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hristianzubcic/Documents/Monash University/2023/Semester 2/FYP/FYP/wiley_scripts/"/>
    </mc:Choice>
  </mc:AlternateContent>
  <xr:revisionPtr revIDLastSave="0" documentId="8_{3E795C16-C4BB-BE49-9157-8559FCF324AD}" xr6:coauthVersionLast="47" xr6:coauthVersionMax="47" xr10:uidLastSave="{00000000-0000-0000-0000-000000000000}"/>
  <bookViews>
    <workbookView xWindow="360" yWindow="760" windowWidth="14940" windowHeight="916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T819" i="1"/>
  <c r="BF820" i="1"/>
  <c r="BT820" i="1"/>
  <c r="BF821" i="1"/>
  <c r="BT821" i="1"/>
  <c r="BF822" i="1"/>
  <c r="BT822" i="1"/>
  <c r="BF823" i="1"/>
  <c r="BT823"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T883" i="1"/>
  <c r="BF884" i="1"/>
  <c r="BT884" i="1"/>
  <c r="BF885" i="1"/>
  <c r="BT885" i="1"/>
  <c r="BF886" i="1"/>
  <c r="BT886" i="1"/>
  <c r="BF887" i="1"/>
  <c r="BT887" i="1"/>
  <c r="BF888" i="1"/>
  <c r="BT888" i="1"/>
  <c r="BF889" i="1"/>
  <c r="BT889"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<sst xmlns="http://schemas.openxmlformats.org/spreadsheetml/2006/main" count="61948" uniqueCount="18509">
  <si>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</si>
  <si>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</si>
  <si>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</si>
  <si>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</si>
  <si>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</si>
  <si>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</si>
  <si>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</si>
  <si>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</si>
  <si>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</si>
  <si>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</si>
  <si>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</si>
  <si>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</si>
  <si>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</si>
  <si>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</si>
  <si>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</si>
  <si>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</si>
  <si>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</si>
  <si>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</si>
  <si>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</si>
  <si>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</si>
  <si>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</si>
  <si>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</si>
  <si>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</si>
  <si>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</si>
  <si>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</si>
  <si>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</si>
  <si>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</si>
  <si>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</si>
  <si>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</si>
  <si>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</si>
  <si>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</si>
  <si>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</si>
  <si>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</si>
  <si>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</si>
  <si>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</si>
  <si>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</si>
  <si>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</si>
  <si>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</si>
  <si>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</si>
  <si>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</si>
  <si>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</si>
  <si>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</si>
  <si>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</si>
  <si>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</si>
  <si>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</si>
  <si>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</si>
  <si>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</si>
  <si>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</si>
  <si>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</si>
  <si>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</si>
  <si>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</si>
  <si>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</si>
  <si>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</si>
  <si>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</si>
  <si>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</si>
  <si>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</si>
  <si>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</si>
  <si>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</si>
  <si>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</si>
  <si>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</si>
  <si>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</si>
  <si>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</si>
  <si>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</si>
  <si>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</si>
  <si>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</si>
  <si>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</si>
  <si>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</si>
  <si>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</si>
  <si>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</si>
  <si>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</si>
  <si>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</si>
  <si>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</si>
  <si>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</si>
  <si>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Miida, S; Arao, Y; Takeda, N; Goto, S; Kojima, Y; Kimura, N; Hayashi, K; Tsuchiya, A; Terai, S</t>
  </si>
  <si>
    <t/>
  </si>
  <si>
    <t>Miida, Suguru; Arao, Yoshihisa; Takeda, Nobutaka; Goto, Shu; Kojima, Yuichi; Kimura, Naruhiro; Hayashi, Kazunao; Tsuchiya, Atsunori; Terai, Shuji</t>
  </si>
  <si>
    <t>A rare cause of esophageal stenosis: Compression due to a thoracic osteophyte</t>
  </si>
  <si>
    <t>DEN OPEN</t>
  </si>
  <si>
    <t>English</t>
  </si>
  <si>
    <t>Article</t>
  </si>
  <si>
    <t>endoscopy; endosonography; esophageal perforation; esophageal stenosis; osteophyte</t>
  </si>
  <si>
    <t>Several cases of esophageal stenosis caused by cervical vertebral osteophytes have been reported; however, few reports of esophageal stenosis caused by thoracic osteophytes are available. We describe the case of an 86-year-old man with esophageal stenosis caused by a thoracic osteophyte near the tracheal bifurcation. An endoscopic ultrasonography examination was scheduled to determine the cause of acute pancreatitis; however, lacerations observed at the bifurcation following endoscope removal during prior esophagogastroduodenoscopy led us to cancel the ultrasonography to avoid potential esophageal perforation. A review of the present case and six similar previous cases of thoracic osteophyte-associated esophageal stenosis (identified via a systematic search of the PubMed database) demonstrated the clinical importance of a thoracic osteophyte near physiological esophageal stenosis. Esophagogastroduodenoscopy and computed tomography should be performed to screen for vertebral osteophytes before endoscopic ultrasonography, endoscopic retrograde cholangiopancreatography, and transesophageal echocardiography to avoid iatrogenic accidents.</t>
  </si>
  <si>
    <t>[Miida, Suguru; Takeda, Nobutaka; Goto, Shu; Kojima, Yuichi; Kimura, Naruhiro; Hayashi, Kazunao; Tsuchiya, Atsunori; Terai, Shuji] Niigata Univ, Grad Sch Med &amp; Dent Sci, Div Gastroenterol &amp; Hepatol, Niigata, Japan; [Arao, Yoshihisa] Niigata Univ Med &amp; Dent Hosp, Uonuma Inst Community Med, Dept Gastroenterol &amp; Hepatol, Niigata, Japan; [Arao, Yoshihisa] Niigata Univ Med &amp; Dent Hosp, Uonuma Inst Community Med, 4132 Urasa, Minami Uonuma, Niigata 9497302, Japan</t>
  </si>
  <si>
    <t>Niigata University; Niigata University; Niigata University</t>
  </si>
  <si>
    <t>Arao, Y (corresponding author), Niigata Univ Med &amp; Dent Hosp, Uonuma Inst Community Med, 4132 Urasa, Minami Uonuma, Niigata 9497302, Japan.</t>
  </si>
  <si>
    <t>y-arao@med.niigata-u.ac.jp</t>
  </si>
  <si>
    <t>Arao, Yoshihisa/0000-0002-3972-8539</t>
  </si>
  <si>
    <t>WILEY</t>
  </si>
  <si>
    <t>HOBOKEN</t>
  </si>
  <si>
    <t>111 RIVER ST, HOBOKEN 07030-5774, NJ USA</t>
  </si>
  <si>
    <t>2692-4609</t>
  </si>
  <si>
    <t>DEN Open</t>
  </si>
  <si>
    <t>APR</t>
  </si>
  <si>
    <t>e260</t>
  </si>
  <si>
    <t>10.1002/deo2.260</t>
  </si>
  <si>
    <t>Gastroenterology &amp; Hepatology</t>
  </si>
  <si>
    <t>Emerging Sources Citation Index (ESCI)</t>
  </si>
  <si>
    <t>K8EA2</t>
  </si>
  <si>
    <t>gold, Green Published</t>
  </si>
  <si>
    <t>2023-10-09</t>
  </si>
  <si>
    <t>WOS:001018702900001</t>
  </si>
  <si>
    <t>Berg, E</t>
  </si>
  <si>
    <t>Berg, Emily</t>
  </si>
  <si>
    <t>Small area prediction of seat-belt use rates using a Bayesian hierarchical unit-level Poisson model with multivariate random effects</t>
  </si>
  <si>
    <t>STAT</t>
  </si>
  <si>
    <t>count data; multivariate; survey sampling</t>
  </si>
  <si>
    <t>INDICATORS; POVERTY</t>
  </si>
  <si>
    <t>The Iowa Seat-Belt Use Survey is an annual survey designed to provide estimates of seat-belt use rates for the state of Iowa in the United States. A desire for county level (substate) estimates motivates the need for small area estimation. Developing a small area model for the seat-belt survey data is challenging for two mean reasons. First, the data consist of multivariate counts. Second, the same sampling units are observed for five different time points. An appropriate model should reflect multivariate dependencies and the longitudinal data structure. We address these challenges though a unit-level Bayesian hierarchical model. The observed counts have Poisson distributions. Latent random effects capture multivariate associations and correlations among the observations for the same sampling unit observed at different time points. We employ the posterior predictive distribution for model comparisons. Using the selected model, we construct small area predictors of two measures of seat-belt use at the county level for 5 years.</t>
  </si>
  <si>
    <t>[Berg, Emily] Iowa State Univ, Dept Stat, Ames, IA 50011 USA; [Berg, Emily] Iowa State Univ, Ames, IA 50011 USA</t>
  </si>
  <si>
    <t>Iowa State University; Iowa State University</t>
  </si>
  <si>
    <t>Berg, E (corresponding author), Iowa State Univ, Ames, IA 50011 USA.</t>
  </si>
  <si>
    <t>emilyb@iastate.edu</t>
  </si>
  <si>
    <t>2049-1573</t>
  </si>
  <si>
    <t>STAT-US</t>
  </si>
  <si>
    <t>Stat</t>
  </si>
  <si>
    <t>DEC</t>
  </si>
  <si>
    <t>e544</t>
  </si>
  <si>
    <t>10.1002/sta4.544</t>
  </si>
  <si>
    <t>Statistics &amp; Probability</t>
  </si>
  <si>
    <t>Science Citation Index Expanded (SCI-EXPANDED)</t>
  </si>
  <si>
    <t>Mathematics</t>
  </si>
  <si>
    <t>8U5AX</t>
  </si>
  <si>
    <t>hybrid</t>
  </si>
  <si>
    <t>WOS:000929966000001</t>
  </si>
  <si>
    <t>Zheng, SB; Xue, Y; Zhao, JL; Li, GR</t>
  </si>
  <si>
    <t>Zheng, Shengbin; Xue, Yuan; Zhao, Junlong; Li, Gaorong</t>
  </si>
  <si>
    <t>Model averaging estimation for generalized partially linear varying-coefficient models</t>
  </si>
  <si>
    <t>generalized semiparametric model; Kullback-Leibler divergence; model averaging estimation; varying-coefficient model</t>
  </si>
  <si>
    <t>NONCONCAVE PENALIZED LIKELIHOOD; SELECTION; REGRESSION</t>
  </si>
  <si>
    <t>Model averaging has long been used as a powerful approach to reduce the risk of model misspecification. However, there is little work on model averaging methods under generalized semiparametric models. In this article, we study model averaging in generalized partially linear varying-coefficient models and propose a semiparametric model averaging estimation (SMAE) method for the canonical parameters. Specifically, we take the partially linear varying-coefficient model as candidate models in which there is only one varying-coefficient component. The different covariates could enjoy the benefit of matching the optimal degrees of freedom and each candidate model can take into account the confounding effects among predictors as well. Moreover, the weight choice criterion based on the Kullback-Leibler divergence is adopted to determine the weights. We prove that the corresponding model averaging estimator is asymptotically optimal under certain regularity conditions. Finally, some simulation studies and a real data analysis are conducted to compare with existing methods, and the results show that the proposed method has better out-of-sample performance.</t>
  </si>
  <si>
    <t>[Zheng, Shengbin; Zhao, Junlong; Li, Gaorong] Beijing Normal Univ, Sch Stat, Beijing 100875, Peoples R China; [Xue, Yuan] Univ Int Business &amp; Econ, Sch Stat, Beijing 100029, Peoples R China</t>
  </si>
  <si>
    <t>Beijing Normal University; University of International Business &amp; Economics</t>
  </si>
  <si>
    <t>Xue, Y (corresponding author), Univ Int Business &amp; Econ, Sch Stat, Beijing 100029, Peoples R China.</t>
  </si>
  <si>
    <t>yuanxue@uibe.edu.cn</t>
  </si>
  <si>
    <t>LI, Gaorong/D-5429-2012</t>
  </si>
  <si>
    <t>LI, Gaorong/0000-0002-1784-3472</t>
  </si>
  <si>
    <t>National Natural Science Foundation of China [12271046, 11871001, 11871104, 12131006, 11971001]; Fundamental Research Funds for the Central Universities in UIBE [CXTD11-05]</t>
  </si>
  <si>
    <t>National Natural Science Foundation of China(National Natural Science Foundation of China (NSFC)); Fundamental Research Funds for the Central Universities in UIBE</t>
  </si>
  <si>
    <t>National Natural Science Foundation of China,Grant/Award Number: 12271046, 11871001,11871104, 12131006 and 11971001; the Fundamental Research Funds for the Central Universities in UIBE (CXTD11-05).</t>
  </si>
  <si>
    <t>e520</t>
  </si>
  <si>
    <t>10.1002/sta4.520</t>
  </si>
  <si>
    <t>7T1FD</t>
  </si>
  <si>
    <t>WOS:000911192200001</t>
  </si>
  <si>
    <t>Dandi, E; Theotokis, P; Petri, MC; Sideropoulou, V; Spandou, E; Tata, DA</t>
  </si>
  <si>
    <t>Dandi, Evgenia; Theotokis, Paschalis; Petri, Maria Christina; Sideropoulou, Vaia; Spandou, Evangelia; Tata, Despina A.</t>
  </si>
  <si>
    <t>Environmental enrichment initiated in adolescence restores the reduced expression of synaptophysin and GFAP in the hippocampus of chronically stressed rats in a sex-specific manner</t>
  </si>
  <si>
    <t>DEVELOPMENTAL PSYCHOBIOLOGY</t>
  </si>
  <si>
    <t>astrocytes; chronic unpredictable stress; hippocampus; plasticity; sex differences; synapses</t>
  </si>
  <si>
    <t>DEPRESSION-LIKE BEHAVIORS; UNPREDICTABLE MILD STRESS; MATERNAL-DEPRIVATION; SYNAPTIC PLASTICITY; ANIMAL-MODELS; CB1 RECEPTORS; ASTROCYTES; EXPOSURE; ANXIETY; SYSTEM</t>
  </si>
  <si>
    <t>This study aims at investigating whether environmental enrichment (EE) initiated in adolescence can alter chronic unpredictable stress (CUS)-associated changes in astroglial and synaptic plasticity markers in male and female rats. To this end, we studied possible alterations in hippocampal glial fibrillary acidic protein (GFAP) and synaptophysin (SYN) in CUS rats previously housed in EE. Wistar rats on postnatal day (PND) 23 were housed for 10 weeks in standard housing (SH) or enriched conditions. On PND 66, animals were exposed to CUS for 4 weeks. SYN and GFAP expressions were evaluated in CA1 and CA3 subfields and dentate gyrus (DG). CUS reduced the expression of SYN in all hippocampal areas, whereas lower GFAP expression was evident only in CA1 and CA3. The reduced expression of SYN in DG and CA3 was evident to male SH/CUS rats, whereas the reduced GFAP expression in CA1 and CA3 was limited to SH/CUS females. EE housing increased the hippocampal expression of both markers and protected against CUS-associated decreases. Our findings indicate that the decreases in the expression of SYN and GFAP following CUS are region and sex-specific and underline the neuroprotective role of EE against these CUS-associated changes.</t>
  </si>
  <si>
    <t>[Dandi, Evgenia; Petri, Maria Christina; Sideropoulou, Vaia; Tata, Despina A.] Aristotle Univ Thessaloniki, Sch Psychol, Lab Cognit Neurosci, Thessaloniki 54124, Greece; [Spandou, Evangelia] Aristotle Univ Thessaloniki, Sch Med, Lab Expt Physiol, Thessaloniki, Greece; [Theotokis, Paschalis] Aristotle Univ Thessaloniki, AHEPA Univ Hosp, Dept Neurol 2, Lab Expt Neurol &amp; Neuroimmunol, Thessaloniki, Greece</t>
  </si>
  <si>
    <t>Aristotle University of Thessaloniki; Aristotle University of Thessaloniki; Aristotle University of Thessaloniki; Ahepa University Hospital</t>
  </si>
  <si>
    <t>Tata, DA (corresponding author), Aristotle Univ Thessaloniki, Sch Psychol, Lab Cognit Neurosci, Thessaloniki 54124, Greece.</t>
  </si>
  <si>
    <t>dtata@psy.auth.gr</t>
  </si>
  <si>
    <t>Tata, Despina/AAH-5300-2020; Theotokis, Paschalis/AAU-8003-2021</t>
  </si>
  <si>
    <t>Tata, Despina/0000-0001-5563-4017; Theotokis, Paschalis/0000-0001-8607-6695</t>
  </si>
  <si>
    <t>This work was supported by the General Secretariat for Research and Technology (GSRT) and the Hellenic Foundation for Research and Innovation (HFRI) (grant number: 95144).; General Secretariat for Research and Technology (GSRT); Hellenic Foundation for Research and Innovation (HFRI); [95144]</t>
  </si>
  <si>
    <t>This work was supported by the General Secretariat for Research and Technology (GSRT) and the Hellenic Foundation for Research and Innovation (HFRI) (grant number: 95144).; General Secretariat for Research and Technology (GSRT)(Greek Ministry of Development-GSRT); Hellenic Foundation for Research and Innovation (HFRI);</t>
  </si>
  <si>
    <t>This work was supported by the General Secretariat for Research and Technology (GSRT) and the Hellenic Foundation for Research and Innovation (HFRI) (grant number: 95144).</t>
  </si>
  <si>
    <t>0012-1630</t>
  </si>
  <si>
    <t>1098-2302</t>
  </si>
  <si>
    <t>DEV PSYCHOBIOL</t>
  </si>
  <si>
    <t>Dev. Psychobiol.</t>
  </si>
  <si>
    <t>NOV</t>
  </si>
  <si>
    <t>e22422</t>
  </si>
  <si>
    <t>10.1002/dev.22422</t>
  </si>
  <si>
    <t>Developmental Biology; Psychology</t>
  </si>
  <si>
    <t>Q6AM5</t>
  </si>
  <si>
    <t>WOS:001058329500001</t>
  </si>
  <si>
    <t>Barry, SM; Barry, GM; Martinez, D; Penrod, RD; Cowan, CW</t>
  </si>
  <si>
    <t>Barry, Sarah M.; Barry, Gabriella M.; Martinez, Dalia; Penrod, Rachel D.; Cowan, Christopher W.</t>
  </si>
  <si>
    <t>The activity-regulated cytoskeleton-associated protein, Arc, functions in the nucleus accumbens shell to limit multiple triggers of cocaine-seeking behaviour</t>
  </si>
  <si>
    <t>ADDICTION BIOLOGY</t>
  </si>
  <si>
    <t>Arc/Arg3.1; cocaine; cue-induced reinstatement; self-administration</t>
  </si>
  <si>
    <t>CUE-INDUCED REINSTATEMENT; IMMEDIATE-EARLY GENE; VENTRAL TEGMENTAL AREA; SYNAPTIC PLASTICITY; PREFRONTAL CORTEX; UP-REGULATION; PRELIMBIC CORTEX; MESSENGER-RNA; EXPRESSION; ARC/ARG3.1</t>
  </si>
  <si>
    <t>Use of addictive substances like cocaine produces enduring associations between the drug experience and cues in the drug-taking environment. In individuals with a substance use disorder (SUD) and attempting to remain abstinent, these powerful drug-cue associations can trigger a return to active drug use, but the molecular mechanisms regulating drug-cue associations remain poorly understood. The activity-regulated cytoskeleton-associated protein (Arc) is induced by cocaine in the nucleus accumbens (NAc), an important brain reward region, but Arc's NAc function in SUD-related behaviour remains unclear. We show here that cocaine self-administration (SA) in rats produced a significant upregulation of Arc protein in both the core and shell subregions of the NAc. Subregion-specific Arc reduction (shRNA) in the medial NAc Shell enhanced both context-associated and cue-reinstated cocaine seeking, but without altering the motivation to work for cocaine, the sensitivity to the reinforcing effects of cocaine or the ability of cocaine priming to reinstate drug seeking. In contrast, we observed no effects of Arc knockdown in the NAc core on any aspect of cocaine SA, extinction or reinstated cocaine seeking, suggesting that Arc functions within the medial NAc shell, but not NAc core, to limit the strength of drug-context and drug-cue associations that promote cocaine-seeking behaviour. The levels of the activity-regulated cytoskeleton-associated protein (Arc) are increased in the nucleus accumbens (NAc) core and shell subregions during cocaine intravenous self-administration. Viral-mediated reduction of Arc in the NAc medial shell, but not NAc core, of adult male rats has no effects on active cocaine taking, but it augments context-associated and cue-reinstated cocaine seeking. These findings suggest that Arc limits future cocaine-seeking behaviour in a NAc subregion-specific manner.image</t>
  </si>
  <si>
    <t>[Barry, Sarah M.; Barry, Gabriella M.; Martinez, Dalia; Penrod, Rachel D.; Cowan, Christopher W.] Med Univ South Carolina, Dept Neurosci, Charleston, SC USA; [Penrod, Rachel D.; Cowan, Christopher W.] Med Univ South Carolina, Dept Neurosci, 173 Ashley Ave,BSB 403,MSC 510, Charleston, SC 29425 USA</t>
  </si>
  <si>
    <t>Medical University of South Carolina; Medical University of South Carolina</t>
  </si>
  <si>
    <t>Penrod, RD; Cowan, CW (corresponding author), Med Univ South Carolina, Dept Neurosci, 173 Ashley Ave,BSB 403,MSC 510, Charleston, SC 29425 USA.</t>
  </si>
  <si>
    <t>penrodam@musc.edu; cowanc@musc.edu</t>
  </si>
  <si>
    <t>We thank Monica Witcher, Ben Zirlin, Emilia Pulver and Yuhong Guo for excellent animal care and behavioural assistance.</t>
  </si>
  <si>
    <t>1355-6215</t>
  </si>
  <si>
    <t>1369-1600</t>
  </si>
  <si>
    <t>ADDICT BIOL</t>
  </si>
  <si>
    <t>Addict. Biol.</t>
  </si>
  <si>
    <t>OCT</t>
  </si>
  <si>
    <t>e13335</t>
  </si>
  <si>
    <t>10.1111/adb.13335</t>
  </si>
  <si>
    <t>Biochemistry &amp; Molecular Biology; Substance Abuse</t>
  </si>
  <si>
    <t>R9EW7</t>
  </si>
  <si>
    <t>WOS:001067322100001</t>
  </si>
  <si>
    <t>Bogetti, X; Bogetti, A; Casto, J; Rule, G; Chong, L; Saxena, S</t>
  </si>
  <si>
    <t>Bogetti, Xiaowei; Bogetti, Anthony; Casto, Joshua; Rule, Gordon; Chong, Lillian; Saxena, Sunil</t>
  </si>
  <si>
    <t>Direct observation of negative cooperativity in a detoxification enzyme at the atomic level by Electron Paramagnetic Resonance spectroscopy and simulation</t>
  </si>
  <si>
    <t>PROTEIN SCIENCE</t>
  </si>
  <si>
    <t>DEER; detoxification enzyme; Enhanced sampling MD; GST; protein dynamics</t>
  </si>
  <si>
    <t>GLUTATHIONE-S-TRANSFERASE; C-TERMINAL REGION; DISTANCE MEASUREMENTS; CATALYTIC MECHANISM; ENVELOPE MODULATION; ETHACRYNIC-ACID; PROTEINS; BINDING; A1-1; CONFORMATION</t>
  </si>
  <si>
    <t>The catalytic activity of human glutathione S-transferase A1-1 (hGSTA1-1), a homodimeric detoxification enzyme, is dependent on the conformational dynamics of a key C-terminal helix a9 in each monomer. However, the structural details of how the two monomers interact upon binding of substrates is not well understood and the structure of the ligand-free state of the hGSTA1-1 homodimer has not been resolved. Here, we used a combination of electron paramagnetic resonance (EPR) distance measurements and weighted ensemble (WE) simulations to characterize the conformational ensemble of the ligand-free state at the atomic level. EPR measurements reveal a broad distance distribution between a pair of Cu(II) labels in the ligand-free state that gradually shifts and narrows as a function of increasing ligand concentration. These shifts suggest changes in the relative positioning of the two a9 helices upon ligand binding. WE simulations generated unbiased pathways for the seconds-timescale transition between alternate states of the enzyme, leading to the generation of atomically detailed structures of the ligand-free state. Notably, the simulations provide direct observations of negative cooperativity between the monomers of hGSTA1-1, which involve the mutually exclusive docking of a9 in each monomer as a lid over the active site. We identify key interactions between residues that lead to this negative cooperativity. Negative cooperativity may be essential for interaction of hGSTA1-1 with a wide variety of toxic substrates and their subsequent neutralization. More broadly, this work demonstrates the power of integrating EPR distances with WE rare-events sampling strategy to gain mechanistic information on protein function at the atomic level.</t>
  </si>
  <si>
    <t>[Bogetti, Xiaowei; Bogetti, Anthony; Casto, Joshua; Chong, Lillian; Saxena, Sunil] Univ Pittsburgh, Dept Chem, Pittsburgh, PA 15260 USA; [Rule, Gordon] Carnegie Mellon Univ, Dept Biol Sci, Pittsburgh, PA USA</t>
  </si>
  <si>
    <t>Pennsylvania Commonwealth System of Higher Education (PCSHE); University of Pittsburgh; Carnegie Mellon University</t>
  </si>
  <si>
    <t>Chong, L; Saxena, S (corresponding author), Univ Pittsburgh, Dept Chem, Pittsburgh, PA 15260 USA.</t>
  </si>
  <si>
    <t>ltchong@pitt.edu; sksaxena@pitt.edu</t>
  </si>
  <si>
    <t>Saxena, Sunil/0000-0001-9098-6114</t>
  </si>
  <si>
    <t>This research was supported by the National Science Foundation (NSF MCB-2112871). Xiaowei Bogetti and Anthony Bogetti would like to thank the University of Pittsburgh for the Andrew Mellon Predoctoral Fellowship. Simulations were performed using the shared [MCB-2112871]; National Science Foundation (NSF) [NSF MRI 2117681]; University of Pittsburgh for the Andrew Mellon Predoctoral Fellowship</t>
  </si>
  <si>
    <t>This research was supported by the National Science Foundation (NSF MCB-2112871). Xiaowei Bogetti and Anthony Bogetti would like to thank the University of Pittsburgh for the Andrew Mellon Predoctoral Fellowship. Simulations were performed using the shared; National Science Foundation (NSF)(National Science Foundation (NSF)); University of Pittsburgh for the Andrew Mellon Predoctoral Fellowship</t>
  </si>
  <si>
    <t>This research was supported by the National Science Foundation (NSF MCB-2112871). Xiaowei Bogetti and Anthony Bogetti would like to thank the University of Pittsburgh for the Andrew Mellon Predoctoral Fellowship. Simulations were performed using the shared computing cluster at the University of Pittsburgh &amp; apos;s Center for Research Computing (NSF MRI 2117681).</t>
  </si>
  <si>
    <t>0961-8368</t>
  </si>
  <si>
    <t>1469-896X</t>
  </si>
  <si>
    <t>PROTEIN SCI</t>
  </si>
  <si>
    <t>Protein Sci.</t>
  </si>
  <si>
    <t>e4770</t>
  </si>
  <si>
    <t>10.1002/pro.4770</t>
  </si>
  <si>
    <t>Biochemistry &amp; Molecular Biology</t>
  </si>
  <si>
    <t>S1KC1</t>
  </si>
  <si>
    <t>WOS:001068816500001</t>
  </si>
  <si>
    <t>Chen, YJ; Yang, KD; Huang, Y; Wang, XJ; Zhao, YL; Ping, P; Guan, SS; Fu, SH</t>
  </si>
  <si>
    <t>Chen, Yujian; Yang, Kaidi; Huang, Ya; Wang, Xuejiao; Zhao, Yali; Ping, Ping; Guan, Shasha; Fu, Shihui</t>
  </si>
  <si>
    <t>Associations between lipid profiles and late-life cognitive impairment among oldest-old and centenarian adults</t>
  </si>
  <si>
    <t>MEDCOMM</t>
  </si>
  <si>
    <t>centenarian; cognitive impairment; lipid profiles; oldest-old</t>
  </si>
  <si>
    <t>MENTAL-STATE-EXAMINATION; HIGH-DENSITY-LIPOPROTEIN; TOTAL CHOLESTEROL; 2 DECADES; RISK; DEMENTIA; PEOPLE; METABOLISM; DECLINE; DISEASE</t>
  </si>
  <si>
    <t>Dyslipidemia and cognitive impairment are common among old adults and the occurrence of them rises exponentially with increasing age. Evidences of the relationships between serum lipids and cognitive impairment are inconsistent or equivocal among older adults. This study aimed to investigate the associations between lipid profiles and late-life cognitive impairment among oldest-old and centenarian adults. In this cross-sectional study, serum lipids were biochemically measured among 606 oldest-old adults and 653 centenarians, and cognitive function was evaluated using mini-mental state examination (MMSE). Multivariate linear and logistic regression analyses were performed to explore the associations between serum lipids and cognitive impairment. Results showed participants with cognitive impairment had lower total cholesterol (TC) levels compared with those without cognitive impairment (p &lt; 0.05). TC levels were positively associated with MMSE (p &lt; 0.05). Furthermore, a negative association was observed between TC levels and cognitive impairment (p for trend = 0.002). This negative association remained statistically significant after adjusting for confounders (p for trend = 0.028). These results suggested that older adults with higher TC levels were likely to have better cognitive function. Taking immoderate cholesterol-lowering drugs among older adults is questionable and requires investigation, and cognitive performance of old adults with lower TC levels deserves more attention.</t>
  </si>
  <si>
    <t>[Chen, Yujian; Zhao, Yali] Chinese Peoples Liberat Army Gen Hosp, Hainan Hosp, Cent Lab, Sanya, Peoples R China; [Yang, Kaidi; Guan, Shasha] Chinese Peoples Liberat Army Gen Hosp, Oncol Dept, Hainan Hosp, Sanya, Peoples R China; [Huang, Ya] Chinese Peoples Liberat Army Gen Hosp, Blood Transfus Dept, Hainan Hosp, Sanya, Peoples R China; [Wang, Xuejiao] Chinese Peoples Liberat Army Gen Hosp, Pediat Dept, Hainan Hosp, Sanya, Peoples R China; [Ping, Ping] Joint Logist Support Force Chinese Peoples Liberat, Gen Stn Drug &amp; Instrument Supervis &amp; Control, Beijing, Peoples R China; [Fu, Shihui] Chinese Peoples Liberat Army Gen Hosp, Dept Cardiol, Hainan Hosp, Sanya, Peoples R China; [Fu, Shihui] Chinese Peoples Liberat Army Gen Hosp, Dept Geriatr Cardiol, Beijing, Peoples R China</t>
  </si>
  <si>
    <t>Chinese People's Liberation Army General Hospital; Chinese People's Liberation Army General Hospital; Chinese People's Liberation Army General Hospital; Chinese People's Liberation Army General Hospital; Chinese People's Liberation Army General Hospital; Chinese People's Liberation Army General Hospital</t>
  </si>
  <si>
    <t>Zhao, YL (corresponding author), Chinese Peoples Liberat Army Gen Hosp, Hainan Hosp, Cent Lab, Sanya, Peoples R China.;Guan, SS (corresponding author), Chinese Peoples Liberat Army Gen Hosp, Oncol Dept, Hainan Hosp, Sanya, Peoples R China.;Ping, P (corresponding author), Joint Logist Support Force Chinese Peoples Liberat, Gen Stn Drug &amp; Instrument Supervis &amp; Control, Beijing, Peoples R China.;Fu, SH (corresponding author), Chinese Peoples Liberat Army Gen Hosp, Dept Cardiol, Hainan Hosp, Sanya, Peoples R China.</t>
  </si>
  <si>
    <t>zhaoyl301@163.com; pingping301@126.com; guanss1@163.com; xiaoxiao0915@126.com</t>
  </si>
  <si>
    <t>We appreciate all those who participated in this study for their continued cooperation.</t>
  </si>
  <si>
    <t>2688-2663</t>
  </si>
  <si>
    <t>MedComm</t>
  </si>
  <si>
    <t>e362</t>
  </si>
  <si>
    <t>10.1002/mco2.362</t>
  </si>
  <si>
    <t>Medicine, Research &amp; Experimental</t>
  </si>
  <si>
    <t>Research &amp; Experimental Medicine</t>
  </si>
  <si>
    <t>R2YG5</t>
  </si>
  <si>
    <t>gold</t>
  </si>
  <si>
    <t>WOS:001063050800001</t>
  </si>
  <si>
    <t>Degiosio, RA; Needham, PG; Andrews, OA; Tristan, H; Grubisha, MJ; Brodsky, JL; Camacho, C; Sweet, RA</t>
  </si>
  <si>
    <t>Degiosio, R. A.; Needham, P. G.; Andrews, O. A.; Tristan, H.; Grubisha, M. J.; Brodsky, J. L.; Camacho, C.; Sweet, R. A.</t>
  </si>
  <si>
    <t>Differential regulation of MAP2 by phosphorylation events in proline-rich versus C-terminal domains</t>
  </si>
  <si>
    <t>FASEB JOURNAL</t>
  </si>
  <si>
    <t>actin; cytoskeleton; microtubule-associated proteins; microtubules; mutagenesis; neurobiology</t>
  </si>
  <si>
    <t>MICROTUBULE-ASSOCIATED PROTEINS; TAU-PHOSPHORYLATION; DYNAMIC INSTABILITY; ACTIN-FILAMENTS; KINASE-A; TUBULIN; POLYMERIZATION; BINDING; ACTIVATION; KINETICS</t>
  </si>
  <si>
    <t>MAP2 is a critical cytoskeletal regulator in neurons. The phosphorylation of MAP2 (MAP2-P) is well known to regulate core functions of MAP2, including microtubule (MT)/actin binding and facilitation of tubulin polymerization. However, site-specific studies of MAP2-P function in regions outside of the MT-binding domain (MTBD) are lacking. We previously identified a set of MAP2 phosphopeptides which are differentially expressed and predominantly increased in the cortex of individuals with schizophrenia relative to nonpsychiatric comparison subjects. The phosphopeptides originated not from the MTBD, but from the flanking proline-rich and C-terminal domains of MAP2. We sought to understand the contribution of MAP2-P at these sites on MAP2 function. To this end, we isolated a series of phosphomimetic MAP2C constructs and subjected them to cell-free tubulin polymerization, MT-binding, actin-binding, and actin polymerization assays. A subset of MAP2-P events significantly impaired these functions, with the two domains displaying different patterns of MAP2 regulation: proline-rich domain mutants T293E and T300E impaired MT assembly and actin-binding affinity but did not affect MT-binding, while C-terminal domain mutants S426E and S439D impaired all three functions. S443D also impaired MT assembly with minimal effects on MT- or actin-binding. Using heterologous cells, we also found that S426E but not T293E had a lower capability for process formation than the wild-type protein. These findings demonstrate the functional utility of MAP2-P in the proline-rich and C-terminal domains and point to distinct, domain-dependent regulations of MAP2 function, which can go on to affect cellular morphology.</t>
  </si>
  <si>
    <t>[Degiosio, R. A.; Grubisha, M. J.; Sweet, R. A.] Univ Pittsburgh, Dept Psychiat, Pittsburgh, PA USA; [Needham, P. G.; Brodsky, J. L.] Univ Pittsburgh, Dept Biol Sci, Pittsburgh, PA USA; [Andrews, O. A.; Tristan, H.] Univ Pittsburgh, Dept Neurosci, Pittsburgh, PA USA; [Camacho, C.] Univ Pittsburgh, Dept Computat &amp; Syst Biol, Pittsburgh, PA USA; [Sweet, R. A.] Univ Pittsburgh, Dept Neurol, UPMC, Pittsburgh, PA USA; [Sweet, R. A.] Biomed Sci Tower,Rm W-1645,3811 OHara St, Pittsburgh, PA 15213 USA</t>
  </si>
  <si>
    <t>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t>
  </si>
  <si>
    <t>Sweet, RA (corresponding author), Biomed Sci Tower,Rm W-1645,3811 OHara St, Pittsburgh, PA 15213 USA.</t>
  </si>
  <si>
    <t>sweetra@upmc.edu</t>
  </si>
  <si>
    <t>Grubisha, Melanie/0000-0002-2494-6103; DeGiosio, Rebecca/0000-0003-1585-671X; Sweet, Robert/0000-0001-9154-9709; Camacho, Carlos/0000-0003-1741-8529</t>
  </si>
  <si>
    <t>HHS | NIH | National Institute of Diabetes and Digestive and Kidney Diseases (NIDDK) [DK079307]; HHS | NIH | National Institute of General Medical Sciences (NIGMS) [GM131732]; HHS | NIH | National Institute of Mental Health (NIMH) [MH116046, MH071533]; HHS | NIH | National Institute on Aging (NIA) [AG027224]</t>
  </si>
  <si>
    <t>HHS | NIH | National Institute of Diabetes and Digestive and Kidney Diseases (NIDDK); HHS | NIH | National Institute of General Medical Sciences (NIGMS)(United States Department of Health &amp; Human ServicesNational Institutes of Health (NIH) - USANIH National Institute of General Medical Sciences (NIGMS)); HHS | NIH | National Institute of Mental Health (NIMH); HHS | NIH | National Institute on Aging (NIA)(United States Department of Health &amp; Human ServicesNational Institutes of Health (NIH) - USANIH National Institute on Aging (NIA))</t>
  </si>
  <si>
    <t>HHS | NIH | National Institute of Diabetes and Digestive and Kidney Diseases (NIDDK), Grant/Award Number: DK079307; HHS | NIH | National Institute of General Medical Sciences (NIGMS), Grant/Award Number: GM131732; HHS | NIH | National Institute of Mental Health (NIMH), Grant/Award Number: MH116046 and MH071533; HHS | NIH | National Institute on Aging (NIA), Grant/Award Number: AG027224</t>
  </si>
  <si>
    <t>0892-6638</t>
  </si>
  <si>
    <t>1530-6860</t>
  </si>
  <si>
    <t>FASEB J</t>
  </si>
  <si>
    <t>Faseb J.</t>
  </si>
  <si>
    <t>e23194</t>
  </si>
  <si>
    <t>10.1096/fj.202300486R</t>
  </si>
  <si>
    <t>Biochemistry &amp; Molecular Biology; Biology; Cell Biology</t>
  </si>
  <si>
    <t>Biochemistry &amp; Molecular Biology; Life Sciences &amp; Biomedicine - Other Topics; Cell Biology</t>
  </si>
  <si>
    <t>R7QI2</t>
  </si>
  <si>
    <t>WOS:001066260200001</t>
  </si>
  <si>
    <t>Farman, RM; Archer, M; Hand, SJ</t>
  </si>
  <si>
    <t>Farman, Roy M.; Archer, Michael; Hand, Suzanne J.</t>
  </si>
  <si>
    <t>A geometric morphometric analysis of variation in Australian frog ilia and taxonomic interpretations</t>
  </si>
  <si>
    <t>JOURNAL OF MORPHOLOGY</t>
  </si>
  <si>
    <t>Amphibia; Australia; frog; geometric morphometrics; ilium; palaeontology</t>
  </si>
  <si>
    <t>GENERAL COEFFICIENT; ANURA; PLEISTOCENE; MORPHOLOGY; PHYLOGENY; CLASSIFICATION; SIMILARITY; FITZINGER; AMPHIBIA; PATTERNS</t>
  </si>
  <si>
    <t>Anurans including frogs and toads exhibit an ilium that is often regarded as taxonomically diagnostic. The ilium, one of the three paired bones that make up the pelvic girdle, has been important in the fossil record for identifying anuran morphotypes. Osteological collections for Australian frogs are rare in herpetological museums, and skeletonizing whole-bodied specimens requires destroying soft tissue morphology which is valuable to anuran specialists working on living species. Computed tomography scans provide the opportunity to study anuran osteology without the loss of soft tissues. Our study, based on microcomputed tomography scans of extant Australian frogs from the public repository Morphosource and from museum collections focuses on the morphological differences between Australian frogs at the familial and generic levels using geometric morphometrics to compare the diagnostic shape of the ilium. Principal component analysis (PCA) and canonical variate analysis (CVA) were conducted to assess differences in the ilium between supraspecific groups of Australian frogs. The canonical variates analysis accurately predicted group membership (i.e., the correct family) with up to 76.2% success for cross-validated predictions and 100% of original group predictions. While the sample was limited to familial and generic level analyses, our research shows that ilial morphology in Australian frogs is taxonomically informative. This research provides a guide for identifying Australian anurans, including fossils, as well as new information relevant to considerations about their phylogenetic relationships, and the potential use of the fossil record to enhance efforts to conserve threatened living frog species.</t>
  </si>
  <si>
    <t>[Farman, Roy M.; Archer, Michael; Hand, Suzanne J.] Univ New South Wales, Earth &amp; Sustainabil Sci Res Ctr, Sch Biol Earth &amp; Environm Sci, Sydney, NSW, Australia; [Farman, Roy M.] Univ New South Wales, Earth &amp; Sustainabil Sci Res Ctr, Sch Biol Earth &amp; Environmental Sci, Sydney, NSW 2052, Australia</t>
  </si>
  <si>
    <t>University of New South Wales Sydney; University of New South Wales Sydney</t>
  </si>
  <si>
    <t>Farman, RM (corresponding author), Univ New South Wales, Earth &amp; Sustainabil Sci Res Ctr, Sch Biol Earth &amp; Environmental Sci, Sydney, NSW 2052, Australia.</t>
  </si>
  <si>
    <t>r.farman@unsw.edu.au</t>
  </si>
  <si>
    <t>Australian Government Research Training Program Scholarship; UNSW</t>
  </si>
  <si>
    <t>Australian Government Research Training Program Scholarship(Australian GovernmentDepartment of Industry, Innovation and Science); UNSW</t>
  </si>
  <si>
    <t>Australian Government Research Training Program Scholarship; Research Infrastructure Programme of UNSW</t>
  </si>
  <si>
    <t>0362-2525</t>
  </si>
  <si>
    <t>1097-4687</t>
  </si>
  <si>
    <t>J MORPHOL</t>
  </si>
  <si>
    <t>J. Morphol.</t>
  </si>
  <si>
    <t>e21642</t>
  </si>
  <si>
    <t>10.1002/jmor.21642</t>
  </si>
  <si>
    <t>Anatomy &amp; Morphology</t>
  </si>
  <si>
    <t>R9WM6</t>
  </si>
  <si>
    <t>WOS:001067781200001</t>
  </si>
  <si>
    <t>Noguchi, Y; Yoshimura, T</t>
  </si>
  <si>
    <t>Noguchi, Yoshihiro; Yoshimura, Tomoaki</t>
  </si>
  <si>
    <t>Comment: Detection of Vaccine Adverse Events Before Package Insert Revisions Using a Japanese Spontaneous Reporting System</t>
  </si>
  <si>
    <t>JOURNAL OF CLINICAL PHARMACOLOGY</t>
  </si>
  <si>
    <t>Letter</t>
  </si>
  <si>
    <t>adverse events; Japanese Adverse Drug Event Report (JADER); package inserts; signal detection; vaccine</t>
  </si>
  <si>
    <t>[Noguchi, Yoshihiro; Yoshimura, Tomoaki] Gifu Pharmaceut Univ, Lab Clin Pharm, Gifu, Japan</t>
  </si>
  <si>
    <t>Gifu Pharmaceutical University</t>
  </si>
  <si>
    <t>Noguchi, Y; Yoshimura, T (corresponding author), Gifu Pharmaceut Univ, Lab Clin Pharm, 1 Chome 25-4 Daigakunishi, Gifu 5011113, Japan.</t>
  </si>
  <si>
    <t>noguchiy@gifu-pu.ac.jp; yoshimurat@gifu-pu.ac.jp</t>
  </si>
  <si>
    <t>0091-2700</t>
  </si>
  <si>
    <t>1552-4604</t>
  </si>
  <si>
    <t>J CLIN PHARMACOL</t>
  </si>
  <si>
    <t>J. Clin. Pharmacol.</t>
  </si>
  <si>
    <t>10.1002/jcph.2324</t>
  </si>
  <si>
    <t>Pharmacology &amp; Pharmacy</t>
  </si>
  <si>
    <t>R6FC4</t>
  </si>
  <si>
    <t>Bronze</t>
  </si>
  <si>
    <t>WOS:001065282400011</t>
  </si>
  <si>
    <t>Sarao, SK; Levin, L</t>
  </si>
  <si>
    <t>Sarao, Simran Kaur; Levin, Liran</t>
  </si>
  <si>
    <t>Predictive factors for maxillofacial fractures, sedentary behavior, and dental trauma literacy</t>
  </si>
  <si>
    <t>DENTAL TRAUMATOLOGY</t>
  </si>
  <si>
    <t>Editorial Material</t>
  </si>
  <si>
    <t>liran@ualberta.ca</t>
  </si>
  <si>
    <t>1600-4469</t>
  </si>
  <si>
    <t>1600-9657</t>
  </si>
  <si>
    <t>DENT TRAUMATOL</t>
  </si>
  <si>
    <t>Dent. Traumatol.</t>
  </si>
  <si>
    <t>10.1111/edt.12885</t>
  </si>
  <si>
    <t>Dentistry, Oral Surgery &amp; Medicine</t>
  </si>
  <si>
    <t>R6ES5</t>
  </si>
  <si>
    <t>WOS:001065271900001</t>
  </si>
  <si>
    <t>Toft, PB; Yashiro, H; Erion, DM; Gillum, MP; Backhed, F; Arora, T</t>
  </si>
  <si>
    <t>Toft, Pernille Baumann; Yashiro, Hiroaki; Erion, Derek M.; Gillum, Matthew Paul; Backhed, Fredrik; Arora, Tulika</t>
  </si>
  <si>
    <t>Microbial dietary protein metabolism regulates GLP-1 mediated intestinal transit</t>
  </si>
  <si>
    <t>GLUCAGON-LIKE PEPTIDE-1; CHAIN FATTY-ACIDS; GUT MICROBIOTA; SECRETION; RECEPTOR</t>
  </si>
  <si>
    <t>Depletion of gut microbiota is associated with inefficient energy extraction and reduced production of short-chain fatty acids from dietary fibers, which regulates colonic proglucagon (Gcg) expression and small intestinal transit in mice. However, the mechanism by which the gut microbiota influences dietary protein metabolism and its corresponding effect on the host physiology is poorly understood. Enteropeptidase inhibitors block host protein digestion and reduce body weight gain in diet-induced obese rats and mice, and therefore they constitute a new class of drugs for targeting metabolic diseases. Enteroendocrine cells (EECs) are dispersed throughout the gut and possess the ability to sense dietary proteins and protein-derived metabolites. Despite this, it remains unclear if enteropeptidase inhibition affects EECs function. In this study, we fed conventional and antibiotic treated mice a western style diet (WSD) supplemented with an enteropeptidase inhibitor (WSD-ETPi), analyzed the expression of gut hormones along the length of the intestine, and measured small intestinal transit under different conditions. The ETPi-supplemented diet promoted higher Gcg expression in the colon and increased circulating Glucagon like peptide-1 (GLP-1) levels, but only in the microbiota-depleted mice. The increase in GLP-1 levels resulted in slower small intestinal transit, which was subsequently reversed by administration of GLP-1 receptor antagonist. Interestingly, small intestinal transit was normalized when an amino acid-derived microbial metabolite, p-cresol, was supplemented along with WSD-ETPi diet, primarily attributed to the reduction of colonic Gcg expression. Collectively, our data suggest that microbial dietary protein metabolism plays an important role in host physiology by regulating GLP-1-mediated intestinal transit.</t>
  </si>
  <si>
    <t>[Toft, Pernille Baumann; Gillum, Matthew Paul; Backhed, Fredrik; Arora, Tulika] Univ Copenhagen, Novo Nord Fdn Ctr Basic Metab Res, Fac Hlth &amp; Med Sci, DK-2200 Copenhagen, Denmark; [Yashiro, Hiroaki; Erion, Derek M.] Takeda Pharmaceut Co Ltd, Gastroenterol Drug Discovery Unit, Cambridge, MA USA; [Backhed, Fredrik] Univ Gothenburg, Dept Mol &amp; Clin Med, Wallenberg Lab, Gothenburg, Sweden; [Backhed, Fredrik] Sahlgrens Univ Hosp, Dept Clin Physiol, Reg Vastra Gotaland, Gothenburg, Sweden; [Gillum, Matthew Paul] Dept Obes &amp; NASHPharmacol, Global Drug Discovery, Malov, Denmark</t>
  </si>
  <si>
    <t>University of Copenhagen; University of Gothenburg; Sahlgrenska University Hospital</t>
  </si>
  <si>
    <t>Arora, T (corresponding author), Univ Copenhagen, Novo Nord Fdn Ctr Basic Metab Res, Fac Hlth &amp; Med Sci, DK-2200 Copenhagen, Denmark.</t>
  </si>
  <si>
    <t>arora@sund.ku.dk</t>
  </si>
  <si>
    <t>Gillum, Matthew/0000-0003-4893-012X; , Hiroaki/0000-0001-5934-6469; Backhed, Fredrik/0000-0002-4871-8818</t>
  </si>
  <si>
    <t>Fondation Leducq (Leducq Foundation); Novo Nordisk Fonden (NNF) [17CVD01]; [NNF15OC001679]</t>
  </si>
  <si>
    <t>Fondation Leducq (Leducq Foundation)(Leducq Foundation); Novo Nordisk Fonden (NNF)(Novo Nordisk Foundation);</t>
  </si>
  <si>
    <t>Fondation Leducq (Leducq Foundation), Grant/Award Number: 17CVD01; Novo Nordisk Fonden (NNF), Grant/Award Number: NNF15OC001679</t>
  </si>
  <si>
    <t>e23201</t>
  </si>
  <si>
    <t>10.1096/fj.202300982R</t>
  </si>
  <si>
    <t>S5GD2</t>
  </si>
  <si>
    <t>WOS:001071440500001</t>
  </si>
  <si>
    <t>Williams, ZJ; French, S; Hollinger, C; Pease, AP; Schott, HC</t>
  </si>
  <si>
    <t>Williams, Zoe J.; French, Stephanie; Hollinger, Charlotte; Pease, Anthony P.; Schott, Harold C.</t>
  </si>
  <si>
    <t>Antemortem diagnosis of renal haemangiosarcoma in a Hanoverian gelding</t>
  </si>
  <si>
    <t>EQUINE VETERINARY EDUCATION</t>
  </si>
  <si>
    <t>Article; Early Access</t>
  </si>
  <si>
    <t>horse; disseminated; kidney; neoplasia</t>
  </si>
  <si>
    <t>THYMIDINE KINASE-ACTIVITY; OCULAR ANGIOSARCOMA; HORSE; SERUM; NEOPLASIA; EQUIDS</t>
  </si>
  <si>
    <t>Haemangiosarcoma is an uncommon neoplasm in horses that is rarely diagnosed antemortem. A 27-year-old Hanoverian gelding was presented to the Michigan State University Veterinary Medical Center for evaluation of lethargy, weight loss, stiffness and more recent colic signs. At presentation, the gelding was alert with mild tachycardia (60 beats/min). Other physical findings were normal except for a mass detected in the area of the left kidney on rectal palpation. Laboratory analyses revealed anaemia, hypoproteinaemia, hypoalbuminaemia and hyperbilirubinaemia consistent with haemorrhage and haemolysis. Transabdominal ultrasonography revealed the left kidney to be an enlarged heterogenous mass, and numerous 1-2 cm diameter hyperechoic nodules (without shadow artefacts) were imaged within the right kidney. After inconclusive results were returned on percutaneous biopsy of the left renal mass, a right renal biopsy yielded a diagnosis of haemangiosarcoma. Palliative care was initiated with dexamethasone, but 19 days after hospital discharge the gelding became recumbent, and humane euthanasia was performed. Necropsy examination confirmed disseminated haemangiosarcoma including both kidneys, adrenal glands, spleen, heart and lungs with the largest neoplasm in the left kidney.</t>
  </si>
  <si>
    <t>[Williams, Zoe J.; Pease, Anthony P.; Schott, Harold C.] Michigan State Univ, Coll Vet Med, Dept Large Anim Clin Sci, E Lansing, MI 48824 USA; [French, Stephanie; Hollinger, Charlotte] Michigan State Univ, Coll Vet Med, Vet Diagnost Lab, E Lansing, MI USA; [Hollinger, Charlotte] Charles River Labs, Mattawan, MI USA; [Pease, Anthony P.] Western Vet Conf, Las Vegas, NV USA</t>
  </si>
  <si>
    <t>Michigan State University; Michigan State University; Charles River Laboratories</t>
  </si>
  <si>
    <t>Schott, HC (corresponding author), Michigan State Univ, Coll Vet Med, Dept Large Anim Clin Sci, E Lansing, MI 48824 USA.</t>
  </si>
  <si>
    <t>schott@msu.edu</t>
  </si>
  <si>
    <t>The assistance of Dr Annie Kullmann, Dr Eric Naplin and Dr Thomas Mullaney is greatly appreciated.</t>
  </si>
  <si>
    <t>0957-7734</t>
  </si>
  <si>
    <t>2042-3292</t>
  </si>
  <si>
    <t>EQUINE VET EDUC</t>
  </si>
  <si>
    <t>Equine Vet. Educ.</t>
  </si>
  <si>
    <t>2023 OCT 1</t>
  </si>
  <si>
    <t>10.1111/eve.13895</t>
  </si>
  <si>
    <t>OCT 2023</t>
  </si>
  <si>
    <t>Veterinary Sciences</t>
  </si>
  <si>
    <t>S7XG0</t>
  </si>
  <si>
    <t>WOS:001073255400001</t>
  </si>
  <si>
    <t>Zhang, C; Wu, S</t>
  </si>
  <si>
    <t>Zhang, Chao; Wu, Shuai</t>
  </si>
  <si>
    <t>Hypomethylation of CD3D promoter induces immune cell infiltration and supports malignant phenotypes in uveal melanoma</t>
  </si>
  <si>
    <t>bioinformatics analysis; CD3D; immune cell infiltration; in vitro cell experiments; methylation; tumor microenvironment; uveal melanoma</t>
  </si>
  <si>
    <t>DNA METHYLATION; EXPRESSION; CANCER</t>
  </si>
  <si>
    <t>Alterations in DNA methylation in malignant diseases have been heralded as promising targets for diagnostic, prognostic, and predictive values. This study was based on epigenetic alterations and immune cell infiltration analysis to investigate the mechanism of CD3D methylation in uveal melanoma (UM). Bioinformatics analysis was performed on transcriptome data, 450 K methylation data, and clinical information of UM patients from the TCGA database. Stromal and immune cell infiltration was evaluated by calculating the StromalScore and ImmuneScore of UM samples. UM samples were divided into high and low StromalScore and ImmuneScore groups, followed by differential and enrichment analyses. PPI network construction and correlation analysis was used to identify the core prognosis-related genes. The bioinformatics analysis results were confirmed in UM cell experiments. StromalScore and ImmuneScore were significantly associated with the prognosis of UM patients. CD3D, IRF1, CCL3, and FN1 were identified as core genes driven by methylation that affected the prognosis of UM patients. CD3D expression showed the highest correlation with its methylation and was closely related to the four key immune cells in UM development. CD3D was hypomethylated and abundantly expressed in UM cells, while silencing of CD3D inhibited the proliferation, migration, and invasion of UM cells in vitro. In summary, this study identifies hypomethylation of CD3D promoter in UM, which was associated with immune cell infiltration of UM.</t>
  </si>
  <si>
    <t>[Zhang, Chao] Second Hosp Jilin Univ, Dept Strabismus &amp; Pediat Ophthalmol, Changchun, Peoples R China; [Wu, Shuai] Second Hosp Jilin Univ, Dept Orbital Dis &amp; Ocular Plast Surg, Changchun, Peoples R China; [Wu, Shuai] Second Hosp Jilin Univ, Dept Orbital Dis &amp; Ocular Plast Surg, 218 Ziqiang St, Changchun 130041, Jilin, Peoples R China</t>
  </si>
  <si>
    <t>Jilin University; Jilin University; Jilin University</t>
  </si>
  <si>
    <t>Wu, S (corresponding author), Second Hosp Jilin Univ, Dept Orbital Dis &amp; Ocular Plast Surg, 218 Ziqiang St, Changchun 130041, Jilin, Peoples R China.</t>
  </si>
  <si>
    <t>wulyon@jlu.edu.cn</t>
  </si>
  <si>
    <t>Not applicable.</t>
  </si>
  <si>
    <t>e23128</t>
  </si>
  <si>
    <t>10.1096/fj.202300505RR</t>
  </si>
  <si>
    <t>Q7ER2</t>
  </si>
  <si>
    <t>WOS:001059122300001</t>
  </si>
  <si>
    <t>Zhang, Y; Lin, GT; Xue, N; Wang, Y; Du, TT; Liu, HH; Xiong, W; Shang, W; Wu, H; Song, L</t>
  </si>
  <si>
    <t>Zhang, Yu; Lin, Guotong; Xue, Na; Wang, Yi; Du, Tingting; Liu, Huihui; Xiong, Wei; Shang, Wei; Wu, Hao; Song, Lei</t>
  </si>
  <si>
    <t>Differential outcomes of high-fat diet on age-related rescaling of cochlear frequency place coding</t>
  </si>
  <si>
    <t>age-related hearing loss; cochlear frequency place coding; high-fat diet; outer hair cells; Prestin; TRPV1</t>
  </si>
  <si>
    <t>OUTER HAIR CELL; MEMBRANE MOTOR; HEARING-LOSS; INDUCED OBESITY; PROTECTS MICE; TRP-CHANNELS; PRESTIN; INFLAMMATION; SENSITIVITY; EXPRESSION</t>
  </si>
  <si>
    <t>Auditory frequency coding is place-specific, which depends on the mechanical coupling of the basilar membrane-outer hair cell (OHC)-tectorial membrane network. Prestin-based OHC electromotility improves cochlear frequency selectivity and sensitivity. Cochlear amplification determines the frequency coding wherein discrete sound frequencies find a 'best' place along the cochlear length. Loss of OHC is the leading cause of age-related hearing loss (ARHL) and is the most common cause of sensorineural hearing loss and compromised speech perception. Lipid interaction with Prestin impacts OHC function. It has been established that high-fat diet (HFD) is associated with ARHL. To determine whether genetic background and metabolism preserve cochlear frequency place coding, we examined the effect of HFD in C57BL/6J (B6) and CBA/CaJ (CBA) on ARHL.We found a significant rescuing effect on ARHL in aged B6 HFD cohort. Prestin levels and cell sizes were better maintained in the experimental B6-HFD group. We also found that distortion product otoacoustic emission (DPOAE) group delay measurement was preserved, which suggested stable frequency place coding. In contrast, the response to HFD in the CBA cohort was modest with no appreciable benefit to hearing threshold. Notably, group delay was shortened with age along with the control. In addition, the frequency dependent OHC nonlinear capacitance gradient was most pronounced at young age but decreased with age. Cochlear RNA-seq analysis revealed differential TRPV1 expression and lipid homeostasis. Activation of TRPV1 and downregulation of arachidonic acid led to downregulation of inflammatory response in B6 HFD, which protects the cochlea from ARHL. The genetic background and metabolic state-derived changes in OHC morphology and function collectively contribute to a redefined cochlear frequency place coding and improved age-related pitch perception.</t>
  </si>
  <si>
    <t>[Zhang, Yu; Lin, Guotong; Xue, Na; Du, Tingting; Liu, Huihui; Wu, Hao; Song, Lei] Shanghai Jiao Tong Univ, Sch Med, Shanghai Peoples Hosp 9, Dept Otolaryngol Head &amp; Neck Surg, Shanghai, Peoples R China; [Zhang, Yu; Lin, Guotong; Xue, Na; Du, Tingting; Liu, Huihui; Xiong, Wei; Shang, Wei; Wu, Hao; Song, Lei] Shanghai Jiao Tong Univ, Sch Med, Ear Inst, Shanghai, Peoples R China; [Zhang, Yu; Lin, Guotong; Xue, Na; Du, Tingting; Liu, Huihui; Wu, Hao; Song, Lei] Shanghai Key Lab Translat Med Ear &amp; Nose Dis, Shanghai, Peoples R China; [Wang, Yi] Tsinghua Univ, Sch Life Sci, Beijing, Peoples R China; [Xiong, Wei] Chinese Inst Brain Res, Beijing, Peoples R China; [Shang, Wei] Anhui Med Univ, Navy Clin Med Sch, Hefei, Peoples R China; [Shang, Wei] Peoples Liberat Army Gen Hosp, Med Ctr 6, Dept Obstet &amp; Gynecol, In Vitro Fertil IVF Ctr, Beijing, Peoples R China; [Shang, Wei] Chinese Peoples Liberat Army Gen Hosp, Dept Obstet &amp; Gynecol, Beijing, Peoples R China</t>
  </si>
  <si>
    <t>Shanghai Jiao Tong University; Shanghai Jiao Tong University; Tsinghua University; Anhui Medical University; Chinese People's Liberation Army General Hospital; Chinese People's Liberation Army General Hospital</t>
  </si>
  <si>
    <t>Wu, H; Song, L (corresponding author), Shanghai Jiao Tong Univ, Sch Med, Shanghai Peoples Hosp 9, Dept Otolaryngol Head &amp; Neck Surg, Shanghai, Peoples R China.</t>
  </si>
  <si>
    <t>wuhao@shsmu.edu.cn; lei.song@vip.126.com</t>
  </si>
  <si>
    <t>Song, Lei/0000-0001-5890-1774</t>
  </si>
  <si>
    <t>We thank Y. Sun from the Liu lab at Chinese Academy of Sciences, Shanghai CAS Center for Excellence in Brain Science and Intelligence Technology for help with the RNA-seq experiment. We thank Drs. Wendol A. Williams, Sr., MD. Sheppard Pratt Physicians PA,; Sheppard Pratt Physicians PA, Baltimore</t>
  </si>
  <si>
    <t>We thank Y. Sun from the Liu lab at Chinese Academy of Sciences, Shanghai CAS Center for Excellence in Brain Science and Intelligence Technology for help with the RNA-seq experiment. We thank Drs. Wendol A. Williams, Sr., MD. Sheppard Pratt Physicians PA, Baltimore, MD. read, revised, and provided final edits for the Manuscript.</t>
  </si>
  <si>
    <t>e23167</t>
  </si>
  <si>
    <t>10.1096/fj.202300457RR</t>
  </si>
  <si>
    <t>Q7EC1</t>
  </si>
  <si>
    <t>WOS:001059107100001</t>
  </si>
  <si>
    <t>Binik, A; Binik, YM</t>
  </si>
  <si>
    <t>Binik, Ariella; Binik, Yitzchak M.</t>
  </si>
  <si>
    <t>Ethical challenges in research on sexual dysfunction</t>
  </si>
  <si>
    <t>BIOETHICS</t>
  </si>
  <si>
    <t>ethics of research on sexual dysfunction; research ethics; sexuality research</t>
  </si>
  <si>
    <t>Despite more than a century of research on sexual dysfunction, there has been limited attention to ethical concerns. This is problematic because sex research involves complex ethical questions that generate confusion for ethics review and have not been addressed by ethical guidelines. We analyze two questions. First, does sexual content raise the risk profile of a research protocol? We argue that there is nothing inherent in sexual content that makes a study high risk and that many sexual dysfunction studies involve no more than minimal risk. Second, we ask whether research interventions that involve seeing participants undressed or having physical contact with a research subject are permissible? We argue that these interventions raise an important ethical challenge-they often involve sexual dysfunction researchers engaging in interventions that would not be conducted in their standard practice. To resolve this, we propose an expertise-based account of the permissibility of sexual dysfunction research.</t>
  </si>
  <si>
    <t>[Binik, Ariella] McMaster Univ, Dept Philosophy, Hamilton, ON, Canada; [Binik, Yitzchak M.] McGill Univ, Dept Psychol, Montreal, PQ, Canada; [Binik, Ariella] McMaster Univ, Dept Philosophy, 1280 Main St West,Univ Hall 318, Hamilton, ON L8S 4L8, Canada</t>
  </si>
  <si>
    <t>McMaster University; McGill University; McMaster University</t>
  </si>
  <si>
    <t>Binik, A (corresponding author), McMaster Univ, Dept Philosophy, 1280 Main St West,Univ Hall 318, Hamilton, ON L8S 4L8, Canada.</t>
  </si>
  <si>
    <t>binika@mcmaster.ca</t>
  </si>
  <si>
    <t>Thank you to Charles Weijer, Marta Meana, and Caroline F. Pukall for valuable comments on an earlier draft of the manuscript. Ariella Binikamp;apos;s research is supported in part by funding from the Social Sciences and Humanities Research Council.; Social Sciences and Humanities Research Council</t>
  </si>
  <si>
    <t>Thank you to Charles Weijer, Marta Meana, and Caroline F. Pukall for valuable comments on an earlier draft of the manuscript. Ariella Binikamp;apos;s research is supported in part by funding from the Social Sciences and Humanities Research Council.; Social Sciences and Humanities Research Council(Social Sciences and Humanities Research Council of Canada (SSHRC))</t>
  </si>
  <si>
    <t>Thank you to Charles Weijer, Marta Meana, and Caroline F. Pukall for valuable comments on an earlier draft of the manuscript. Ariella Binik &amp; apos;s research is supported in part by funding from the Social Sciences and Humanities Research Council.</t>
  </si>
  <si>
    <t>0269-9702</t>
  </si>
  <si>
    <t>1467-8519</t>
  </si>
  <si>
    <t>Bioethics</t>
  </si>
  <si>
    <t>2023 SEP 30</t>
  </si>
  <si>
    <t>10.1111/bioe.13223</t>
  </si>
  <si>
    <t>SEP 2023</t>
  </si>
  <si>
    <t>Ethics; Medical Ethics; Social Issues; Social Sciences, Biomedical</t>
  </si>
  <si>
    <t>Science Citation Index Expanded (SCI-EXPANDED); Social Science Citation Index (SSCI)</t>
  </si>
  <si>
    <t>Social Sciences - Other Topics; Medical Ethics; Social Issues; Biomedical Social Sciences</t>
  </si>
  <si>
    <t>S7UH1</t>
  </si>
  <si>
    <t>WOS:001073178200001</t>
  </si>
  <si>
    <t>Sharma, A; Bist, Y; Chakkingal, F; Kumar, Y; Saxena, DC</t>
  </si>
  <si>
    <t>Sharma, Anamika; Bist, Yograj; Chakkingal, Fazil; Kumar, Yogesh; Saxena, Dharmesh Chandra</t>
  </si>
  <si>
    <t>Preparation, Characterization, and Utilization of Crosslinked and Dual-Modified Banana Starch for Stabilizing Pickering Emulsion</t>
  </si>
  <si>
    <t>STARCH-STARKE</t>
  </si>
  <si>
    <t>banana starch; crosslinking; dual modification; Pickering emulsion; sodium trimetaphosphate</t>
  </si>
  <si>
    <t>CORYPHA-UMBRACULIFERA L.; IN-VITRO DIGESTIBILITY; DRY HEAT-TREATMENT; RHEOLOGICAL PROPERTIES; FUNCTIONAL-PROPERTIES; STRUCTURAL-PROPERTIES; THERMAL-PROPERTIES; LINKING AGENTS; RICE STARCH; CITRIC-ACID</t>
  </si>
  <si>
    <t>The effect of sodium trimetaphosphate (STMP, 1%-3%), STMP + dry heat (STMP-DH, at 180 &amp; DEG;C for 60 min), and octenyl succinic anhydride (OSA, 3%) on functional, structural, morphological, and thermo-rheological properties of banana starch is studied. Similar Fourier-transform infrared (FTIR) and X-ray diffraction (XRD) patterns of modified starches indicate minor structural changes; however, the degree of crystallinity significantly of native starch (26.88%) reduces after crosslinking (16.32%) and dual modification (13.91%). The native granules are flattened, elongated, oval-ellipsoidal, and compact granules, whereas STMP starches have smoother surfaces than STMP-DH starches. Due to changes in structure and functional groups, swelling and solubility of granules decrease, which depreciate the viscosity curve during cooking. In addition, pasting temperature elevates after STMP modification (76.3-83.1 &amp; DEG;C) and remains comparable after STMP-DH (76.3-75.1 &amp; DEG;C). The rheological analysis shows that native starch gel has more shear-thinning behavior and dominant elastic component than modified starches. The modified edible starch particles are successfully used to stabilize oil-in-water Pickering emulsion. The 2% and 3% STMP starches show better storage stability comparable to 3% OSA starch for up to 30 days. However, the loss in functional groups and amphiphilic properties of STMP-DH results in creaming and an inability to perform as desired. Modified banana starch particles are successfully used to stabilize oil-in-water Pickering emulsion. The 2% and 3% sodium trimetaphosphate crosslinked starches show better storage stability up to 30 days which is comparable to 3% octenyl succinic anhydride modified starch.image</t>
  </si>
  <si>
    <t>[Sharma, Anamika; Bist, Yograj; Chakkingal, Fazil; Kumar, Yogesh; Saxena, Dharmesh Chandra] St Longowal Inst Engn &amp; Technol, Dept Food Engn &amp; Technol, Sangrur 148106, Punjab, India</t>
  </si>
  <si>
    <t>Sant Longowal Institute of Engineering &amp; Technology (SLIET)</t>
  </si>
  <si>
    <t>Kumar, Y; Saxena, DC (corresponding author), St Longowal Inst Engn &amp; Technol, Dept Food Engn &amp; Technol, Sangrur 148106, Punjab, India.</t>
  </si>
  <si>
    <t>kyogesh2u@gmail.com; dcsaxena@sliet.ac.in</t>
  </si>
  <si>
    <t>The author, Mr. Yogesh Kumar, is greatly indebted to the All-India Council for Technical Education (AICTE), New Delhi, for financial support through National Doctoral Fellowship (NDF, 2019).; All-India Council for Technical Education (AICTE), New Delhi; National Doctoral Fellowship</t>
  </si>
  <si>
    <t>The author, Mr. Yogesh Kumar, is greatly indebted to the All-India Council for Technical Education (AICTE), New Delhi, for financial support through National Doctoral Fellowship (NDF, 2019).</t>
  </si>
  <si>
    <t>WILEY-V C H VERLAG GMBH</t>
  </si>
  <si>
    <t>WEINHEIM</t>
  </si>
  <si>
    <t>POSTFACH 101161, 69451 WEINHEIM, GERMANY</t>
  </si>
  <si>
    <t>0038-9056</t>
  </si>
  <si>
    <t>1521-379X</t>
  </si>
  <si>
    <t>Starch-Starke</t>
  </si>
  <si>
    <t>10.1002/star.202300084</t>
  </si>
  <si>
    <t>Food Science &amp; Technology</t>
  </si>
  <si>
    <t>S7TY3</t>
  </si>
  <si>
    <t>WOS:001073169400001</t>
  </si>
  <si>
    <t>Haase, B; Koneffke, A; von Lukowicz, M; Gross, M; Mortazawi, K; Poets, CF; Stauch, A; Springer, L</t>
  </si>
  <si>
    <t>Haase, Bianca; Koneffke, Annalena; von Lukowicz, Magnus; Gross, Maximilian; Mortazawi, Kija; Poets, Christian F.; Stauch, Anette; Springer, Laila</t>
  </si>
  <si>
    <t>Hyperextended head position during mask ventilation in neonates may be associated with increased airway obstruction</t>
  </si>
  <si>
    <t>ACTA PAEDIATRICA</t>
  </si>
  <si>
    <t>INFANTS</t>
  </si>
  <si>
    <t>[Haase, Bianca; Koneffke, Annalena; von Lukowicz, Magnus; Gross, Maximilian; Mortazawi, Kija; Poets, Christian F.; Springer, Laila] Univ Childrens Hosp Tuebingen, Dept Neonatol, Tubingen, Germany; [Haase, Bianca] Univ Hosp Tubingen, Dept Diagnost &amp; Intervent Radiol, Tubingen, Germany; [Stauch, Anette] Univ Childrens Hosp Tuebingen, Ctr Pediat Clin Studies CPCS, Tubingen, Germany; [Haase, Bianca] Univ Childrens Hosp Tuebingen, Calwerstr 7, D-72076 Tubingen, Germany</t>
  </si>
  <si>
    <t>Eberhard Karls University of Tubingen; TUBINGEN UNIVERSITY CHILDRENS HOSPITAL; Eberhard Karls University of Tubingen; Eberhard Karls University Hospital; Eberhard Karls University of Tubingen; TUBINGEN UNIVERSITY CHILDRENS HOSPITAL; Eberhard Karls University of Tubingen; TUBINGEN UNIVERSITY CHILDRENS HOSPITAL</t>
  </si>
  <si>
    <t>Haase, B (corresponding author), Univ Childrens Hosp Tuebingen, Calwerstr 7, D-72076 Tubingen, Germany.</t>
  </si>
  <si>
    <t>bianca.haase@med.uni-tuebingen.de</t>
  </si>
  <si>
    <t>Poets, Christian F./0000-0002-1072-0066</t>
  </si>
  <si>
    <t>Open Access funding enabled and organized by Projekt DEAL.</t>
  </si>
  <si>
    <t>0803-5253</t>
  </si>
  <si>
    <t>1651-2227</t>
  </si>
  <si>
    <t>ACTA PAEDIATR</t>
  </si>
  <si>
    <t>Acta Paediatr.</t>
  </si>
  <si>
    <t>2023 SEP 29</t>
  </si>
  <si>
    <t>10.1111/apa.16983</t>
  </si>
  <si>
    <t>Pediatrics</t>
  </si>
  <si>
    <t>S9XP1</t>
  </si>
  <si>
    <t>WOS:001074625800001</t>
  </si>
  <si>
    <t>Maziero, EV; Moro, F; Ballus, CA; Tanabe, EH; Bertuol, DA</t>
  </si>
  <si>
    <t>Maziero, Eluize Vayne; Moro, Felipe; Ballus, Cristiano Augusto; Tanabe, Eduardo Hiromitsu; Bertuol, Daniel Assumpcao</t>
  </si>
  <si>
    <t>Application of pilot-scale molecular distillation for enrichment of phytonutrients from a novel deodorizer distillate of the margarine and shortenings industry</t>
  </si>
  <si>
    <t>JOURNAL OF CHEMICAL TECHNOLOGY AND BIOTECHNOLOGY</t>
  </si>
  <si>
    <t>molecular distillation; vegetable oil blend; deodorizer distillate; squalene; phytosterols; tocopherols</t>
  </si>
  <si>
    <t>SOYBEAN OIL; PALM OIL; OPTIMIZATION; ACID; SEPARATION; SIMULATION; RECOVERY; RAPESEED; ESTERS; PATH</t>
  </si>
  <si>
    <t>BackgroundA wiped-film molecular distillation (WFMD) pilot plant was used to evaluate process conditions for enriching phytonutrients (PN) from a novel vegetable oil deodorizer distillate (VODD) of the margarine and shortenings industry. This byproduct results from the incorporation of new blends of vegetable oils, such as soybean and palm oil, making it of interest due to its distinct chemical composition and matrix, which differ from those of deodorizer distillates studied previously. The significance of the present investigation is related to the properties of the oil blend, requiring the establishment of new process conditions for this specific VODD. Experimental design was used to evaluate the WFMD process variables, with the aim of removing free fatty acids and enabling eight PN to be concentrated in the reprocessing stages.ResultsThe product obtained after three WFMD stages presented a fivefold increase in the total PN concentration, compared to the raw material. Notably, the procedure provided enrichment ratios of 7.2-fold for total tocopherols (including &amp; alpha;-, &amp; beta;-, &amp; lambda;- and &amp; delta;-tocopherols), 4.5-fold for total phytosterols (including campesterol, stigmasterol and &amp; beta;-sitosterol) and 1.2-fold for squalene, together with a deacidification efficiency of 78.93%.ConclusionThe proposed process provided significant concentration gains for all eight PN evaluated, resulting in a value-added product. These excellent results were achieved using only three WFMD stages, without any need for additional processing steps. The data obtained at the pilot scale provide valuable insights for predicting the scalability of the process and facilitating potential industrial implementation. &amp; COPY; 2023 Society of Chemical Industry.</t>
  </si>
  <si>
    <t>[Maziero, Eluize Vayne; Moro, Felipe; Tanabe, Eduardo Hiromitsu; Bertuol, Daniel Assumpcao] Fed Univ Santa Maria UFSM, Chem Engn Dept, Environm Proc Lab LAPAM, Ave Roraima 1000, BR-97105900 Santa Maria, RS, Brazil; [Ballus, Cristiano Augusto] Fed Univ Santa Maria UFSM, Dept Food Sci &amp; Technol, Santa Maria, RS, Brazil</t>
  </si>
  <si>
    <t>Universidade Federal de Santa Maria (UFSM); Universidade Federal de Santa Maria (UFSM)</t>
  </si>
  <si>
    <t>Maziero, EV (corresponding author), Fed Univ Santa Maria UFSM, Chem Engn Dept, Environm Proc Lab LAPAM, Ave Roraima 1000, BR-97105900 Santa Maria, RS, Brazil.</t>
  </si>
  <si>
    <t>eluizevayne@gmail.com</t>
  </si>
  <si>
    <t>The authors thank Bioesans Biotechnological Products SA for financial support. The following Brazilian agencies supported this study: Research Support Foundation of the State of Rio Grande do Sul (FAPERGS); National Council for Scientific and Technological; Research Support Foundation of the State of Rio Grande do Sul (FAPERGS); National Council for Scientific and Technological Development (CNPq); Higher Education Personnel Improvement Coordination (CAPES); Secretariat of Economic Development, Science and Technology of the State of Rio Grande do Sul (SDECT)</t>
  </si>
  <si>
    <t>The authors thank Bioesans Biotechnological Products SA for financial support. The following Brazilian agencies supported this study: Research Support Foundation of the State of Rio Grande do Sul (FAPERGS); National Council for Scientific and Technological; Research Support Foundation of the State of Rio Grande do Sul (FAPERGS)(Fundacao de Amparo a Ciencia e Tecnologia do Estado do Rio Grande do Sul (FAPERGS)); National Council for Scientific and Technological Development (CNPq)(Conselho Nacional de Desenvolvimento Cientifico e Tecnologico (CNPQ)); Higher Education Personnel Improvement Coordination (CAPES)(Coordenacao de Aperfeicoamento de Pessoal de Nivel Superior (CAPES)); Secretariat of Economic Development, Science and Technology of the State of Rio Grande do Sul (SDECT)</t>
  </si>
  <si>
    <t>The authors thank Bioesans Biotechnological Products SA for financial support. The following Brazilian agencies supported this study: Research Support Foundation of the State of Rio Grande do Sul (FAPERGS); National Council for Scientific and Technological Development (CNPq); Higher Education Personnel Improvement Coordination (CAPES); and Secretariat of Economic Development, Science and Technology of the State of Rio Grande do Sul (SDECT).</t>
  </si>
  <si>
    <t>0268-2575</t>
  </si>
  <si>
    <t>1097-4660</t>
  </si>
  <si>
    <t>J CHEM TECHNOL BIOT</t>
  </si>
  <si>
    <t>J. Chem. Technol. Biotechnol.</t>
  </si>
  <si>
    <t>10.1002/jctb.7515</t>
  </si>
  <si>
    <t>Biotechnology &amp; Applied Microbiology; Chemistry, Multidisciplinary; Engineering, Environmental; Engineering, Chemical</t>
  </si>
  <si>
    <t>Biotechnology &amp; Applied Microbiology; Chemistry; Engineering</t>
  </si>
  <si>
    <t>S7KY3</t>
  </si>
  <si>
    <t>WOS:001072934000001</t>
  </si>
  <si>
    <t>Valente, T; Fernandez-Sanchez, A; Contreras, F; Ali, BA; Karim, M; Zein, H</t>
  </si>
  <si>
    <t>Valente, Tatiana; Fernandez-Sanchez, Adrian; Contreras, Fernando; Ali, Bader Al; Karim, Mansour; Zein, Hassan</t>
  </si>
  <si>
    <t>The Jabal al-Yamh and ?atta Valley survey (Emirate of Dubai, UAE): GIS tools applied to archaeological survey and research</t>
  </si>
  <si>
    <t>ARABIAN ARCHAEOLOGY AND EPIGRAPHY</t>
  </si>
  <si>
    <t>GIS; probabilistic identification; remote sensing; southeast Arabia; tomb distribution pattern; tomb orientation</t>
  </si>
  <si>
    <t>LIDAR</t>
  </si>
  <si>
    <t>The survey of extensive and topographically irregular landscapes is not easy. Survey teams often must be creative to cover the largest area possible, in a short time, with limited budgets, without losing quality and effectiveness in their work. The use of techniques employing geographic information system (GIS) tools has tremendously improved the efficiency and quality of the surveys. Such techniques were employed in the Jabal al-Yamh and Hatta Valley (Emirate of Dubai, UAE), and their methodology, implementation and effectiveness are discussed in this paper. The Jabal al-Yamh Research Project, which began in 2018 to survey, excavate, restore and research the prehistoric tombs in the Jabal al-Yamh and the surrounding Hatta Valley, thus used primarily GIS tools employing remote sensing and probabilistic analysis to identify a large number of tombs in this rugged topography, delimitating areas more likely to contain tombs. On the other hand, identifying tomb distribution and orientation patterns through GIS data queries also allowed us to answer several sociocultural questions posed during the development of this project. This paper will thus discuss two primary purposes of this project's survey: methods for identifying new tombs for further excavation and protection, on the one hand, and the interpretation of those same tombs' emplacement, attending to their distribution and orientation pattern, on the other, thus developing a theoretical and predictive model of the distribution of prehistoric tombs in the area.</t>
  </si>
  <si>
    <t>[Valente, Tatiana; Fernandez-Sanchez, Adrian; Contreras, Fernando] Sanisera Archaeol Inst, 68 POB, Mercadal 07740, Menorca, Spain; [Valente, Tatiana] Univ Porto, Fac Arts &amp; Humanities, Porto, Portugal; [Fernandez-Sanchez, Adrian] Univ Complutense Madrid, Dept Geog, Madrid, Spain; [Ali, Bader Al; Karim, Mansour; Zein, Hassan] Architectural Heritage &amp; Antiqu Dept, Dubai, U Arab Emirates</t>
  </si>
  <si>
    <t>Universidade do Porto; Complutense University of Madrid</t>
  </si>
  <si>
    <t>Valente, T (corresponding author), Sanisera Archaeol Inst, 68 POB, Mercadal 07740, Menorca, Spain.</t>
  </si>
  <si>
    <t>tatival@msn.com</t>
  </si>
  <si>
    <t>We would like to thank the staff of the Sanisera Archaeology Institute who worked on this project, showing, as usual, team spirit and resilience in the face of adversity, enjoyment of their work and immeasurable dedication, in particular Anna Zuber for her</t>
  </si>
  <si>
    <t>We would like to thank the staff of the Sanisera Archaeology Institute who worked on this project, showing, as usual, team spirit and resilience in the face of adversity, enjoyment of their work and immeasurable dedication, in particular Anna Zuber for her outstanding photographic and illustrative data recording, and Matthew Menden and Samuel Whittaker for their work organizing and studying the artefacts collected in previous excavations. A special thanks also to the Archaeology Section of Dubai Municipality for their help and support, including financial, in overcoming the difficulties of each archaeological season, and in this survey programme in particular, to Jamal Safi for help mapping the area under study.</t>
  </si>
  <si>
    <t>0905-7196</t>
  </si>
  <si>
    <t>1600-0471</t>
  </si>
  <si>
    <t>ARAB ARCHAEOL EPIGR</t>
  </si>
  <si>
    <t>Arab. Archaeol. Epigr.</t>
  </si>
  <si>
    <t>10.1111/aae.12240</t>
  </si>
  <si>
    <t>Archaeology</t>
  </si>
  <si>
    <t>Arts &amp; Humanities Citation Index (A&amp;HCI)</t>
  </si>
  <si>
    <t>S7KX2</t>
  </si>
  <si>
    <t>WOS:001072932900001</t>
  </si>
  <si>
    <t>Buchhorn, M; Krewald, V</t>
  </si>
  <si>
    <t>Buchhorn, Moritz; Krewald, Vera</t>
  </si>
  <si>
    <t>AOMadillo: A program for fitting angular overlap model parameters</t>
  </si>
  <si>
    <t>JOURNAL OF COMPUTATIONAL CHEMISTRY</t>
  </si>
  <si>
    <t>angular overlap model; ligand field theory; quantum chemistry; transition metals</t>
  </si>
  <si>
    <t>LIGAND-FIELD ANALYSIS; MISDIRECTED VALENCY; BASIS-SETS; ELECTRONIC-STRUCTURE; PLANAR PLATINUM(II); D-S; APPROXIMATION; COMPLEXES; COVALENCY; ENERGY</t>
  </si>
  <si>
    <t>The angular overlap model (AOM) is an established parameterization scheme within ligand field theory (LFT). In principle, its application is fairly straightforward, but can be tedious and involve a trial-and-error approach to identify and judge the best set of parameters. With the availability of quantum chemical methods to predict d-d transitions in transition metal complexes, a rich source of computational spectroscopic data with unambiguous assignments to electronic states is available. Herein, we present AOMadillo, a software package that is designed to interface the output of ab initio LFT calculations from the ORCA suite of programs and performs a least-squares fit for a chosen AOM parameterization. Many steps of the AOM parameterization are automated, so that scans of geometric parameters and evaluations of sets of similar complexes are convenient. The fitting routine is highly configurable, allowing the efficient evaluation of different parameter sets.</t>
  </si>
  <si>
    <t>[Buchhorn, Moritz; Krewald, Vera] Tech Univ Darmstadt, Theoret Chem, Darmstadt, Germany; [Krewald, Vera] Tech Univ Darmstadt, Theoret Chem, Peter Grunberg Str 4, D-64287 Darmstadt, Germany</t>
  </si>
  <si>
    <t>Technical University of Darmstadt; Technical University of Darmstadt</t>
  </si>
  <si>
    <t>Krewald, V (corresponding author), Tech Univ Darmstadt, Theoret Chem, Peter Grunberg Str 4, D-64287 Darmstadt, Germany.</t>
  </si>
  <si>
    <t>vera.krewald@tu-darmstadt.de</t>
  </si>
  <si>
    <t>Krewald, Vera/H-2369-2015</t>
  </si>
  <si>
    <t>Krewald, Vera/0000-0002-4749-4357; Buchhorn, Moritz/0000-0002-6800-1785</t>
  </si>
  <si>
    <t>This work was funded by the Deutsche Forschungsgemeinschaft (DFG, German Research Foundation) - CRC 1487, Iron, upgraded! - project number 443703006. Open Access funding enabled and organized by Projekt DEAL. [CRC 1487, 443703006]; Deutsche Forschungsgemeinschaft (DFG, German Research Foundation)</t>
  </si>
  <si>
    <t>This work was funded by the Deutsche Forschungsgemeinschaft (DFG, German Research Foundation) - CRC 1487, Iron, upgraded! - project number 443703006. Open Access funding enabled and organized by Projekt DEAL.; Deutsche Forschungsgemeinschaft (DFG, German Research Foundation)(German Research Foundation (DFG))</t>
  </si>
  <si>
    <t>This work was funded by the Deutsche Forschungsgemeinschaft (DFG, German Research Foundation) - CRC 1487, Iron, upgraded! - project number 443703006. Open Access funding enabled and organized by Projekt DEAL.</t>
  </si>
  <si>
    <t>0192-8651</t>
  </si>
  <si>
    <t>1096-987X</t>
  </si>
  <si>
    <t>J COMPUT CHEM</t>
  </si>
  <si>
    <t>J. Comput. Chem.</t>
  </si>
  <si>
    <t>2023 SEP 28</t>
  </si>
  <si>
    <t>10.1002/jcc.27224</t>
  </si>
  <si>
    <t>Chemistry, Multidisciplinary</t>
  </si>
  <si>
    <t>Chemistry</t>
  </si>
  <si>
    <t>S6YT4</t>
  </si>
  <si>
    <t>WOS:001072610200001</t>
  </si>
  <si>
    <t>Fan, Y; Gu, X; Nagarajan, NJ</t>
  </si>
  <si>
    <t>Fan, Yun; Gu (Ben), Xiaozhe; Nagarajan, Nandu J.</t>
  </si>
  <si>
    <t>The Founder certification effect, firm disclosures, and the cost of SEO financing</t>
  </si>
  <si>
    <t>JOURNAL OF BUSINESS FINANCE &amp; ACCOUNTING</t>
  </si>
  <si>
    <t>financing cost; founder; management guidance; seasoned equity offerings; voluntary disclosure</t>
  </si>
  <si>
    <t>SEASONED EQUITY OFFERINGS; CORPORATE GOVERNANCE; OPERATING PERFORMANCE; INVESTMENT DECISIONS; UNDERWRITING FEES; FAMILY OWNERSHIP; MARKET; MANAGEMENT; INFORMATION; CHOICE</t>
  </si>
  <si>
    <t>We investigate the effect of founder control on firms' financing costs for seasoned equity offerings (SEOs). Firms issuing SEOs are subject to increased information asymmetry and associated agency conflicts. We hypothesize that founder control has a certification effect that mitigates such problems, and consequently, reduces the cost of issuing SEOs. Consistent with our prediction, firms with founder control enjoy higher abnormal announcement returns and lower SEO gross spreads. We also show that founder firms have better post-SEO operating performance than non-founder firms. Additionally, we document that the founder certification effect is more salient among firms with poorer pre-SEO operating performance and those that do not disclose specific use of the SEO proceeds. Finally, we show that founder firms do not increase the frequency of management earnings forecasts as much as non-founder firms prior to the SEO. Our results are robust to a battery of sensitivity analyses, and our conclusions are consistent with the founder certification effect.</t>
  </si>
  <si>
    <t>[Fan, Yun] Univ Oklahoma, Michael F Price Coll Business, John T Steed Sch Accounting, Norman, OK 73019 USA; [Gu (Ben), Xiaozhe] Univ Southern Indiana, Romain Coll Business, Evansville, IN USA; [Nagarajan, Nandu J.] Univ Texas Arlington, Coll Business, Dept Accounting, Arlington, TX USA</t>
  </si>
  <si>
    <t>University of Oklahoma System; University of Oklahoma - Norman; University of Texas System; University of Texas Arlington</t>
  </si>
  <si>
    <t>Fan, Y (corresponding author), Univ Oklahoma, Michael F Price Coll Business, John T Steed Sch Accounting, Norman, OK 73019 USA.</t>
  </si>
  <si>
    <t>yfan@ou.edu</t>
  </si>
  <si>
    <t>We appreciate the valuable comments and suggestions provided by the Editor, an anonymous reviewer, Wilbur Chen (AAA discussant), Xiaotao (Kelvin) Liu, Wayne Thomas, and participants at the University of Texas at Arlington accounting research workshop, the</t>
  </si>
  <si>
    <t>We appreciate the valuable comments and suggestions provided by the Editor, an anonymous reviewer, Wilbur Chen (AAA discussant), Xiaotao (Kelvin) Liu, Wayne Thomas, and participants at the University of Texas at Arlington accounting research workshop, the 2019 Lone Star Accounting Research Conference, the 2020 AAA Annual Meeting and the 2021 European Accounting Association Annual Congress.</t>
  </si>
  <si>
    <t>0306-686X</t>
  </si>
  <si>
    <t>1468-5957</t>
  </si>
  <si>
    <t>J BUS FINAN ACCOUNT</t>
  </si>
  <si>
    <t>J. Bus. Finan. Account.</t>
  </si>
  <si>
    <t>10.1111/jbfa.12754</t>
  </si>
  <si>
    <t>Business, Finance</t>
  </si>
  <si>
    <t>Social Science Citation Index (SSCI)</t>
  </si>
  <si>
    <t>Business &amp; Economics</t>
  </si>
  <si>
    <t>S7BP1</t>
  </si>
  <si>
    <t>WOS:001072686900001</t>
  </si>
  <si>
    <t>Lennox, AM; Pool, R; Vititoe, KP</t>
  </si>
  <si>
    <t>Lennox, Angela M.; Pool, Roy; Vititoe, Kyle P.</t>
  </si>
  <si>
    <t>Osteogenic and fibroblastic osteosarcoma associated with the alveolar bulla and zygomatic arch in a pet rabbit</t>
  </si>
  <si>
    <t>VETERINARY RECORD CASE REPORTS</t>
  </si>
  <si>
    <t>alveolar bulla; neoplasia; osteosarcoma; rabbit</t>
  </si>
  <si>
    <t>A 2.5-year-old, 2.9 kg, neutered, male domestic rabbit presented for sudden onset of sneezing and wheezing of 2-day duration. Upon physical examination, there was mild dyspnoea characterised by mild to moderate increased inspiratory effort and audible wheeze, without evidence of ocular or nasal discharge. An aggressive expansile lytic mass lesion of the right caudal maxilla extending into the zygomatic arch was identified on skull radiographs. Computed tomography confirmed a large heterogeneously contrast enhancing soft tissue mass associated with the lytic lesion, likely originating from the right alveolar bulla, extending into the zygomatic arch. Histopathological diagnosis was osteosarcoma with areas of osteogenic and fibroblastic patterns. Diseases of the nasal cavity are common in rabbits; while infectious rhinitis remains the most common diagnosis, increasing number of cases of neoplasms involving the maxilla and nasal cavity should remind clinicians to include it in the differential diagnosis list.</t>
  </si>
  <si>
    <t>[Lennox, Angela M.] Avian &amp; Exot Anim Clin, Indianapolis, IN 46268 USA; [Pool, Roy] Texas A&amp;M Univ, Coll Vet Med, Dept Vet Pathobiol, College Stn, TX USA; [Vititoe, Kyle P.] MedVet, Indianapolis, IN USA</t>
  </si>
  <si>
    <t>Texas A&amp;M University System; Texas A&amp;M University College Station</t>
  </si>
  <si>
    <t>Lennox, AM (corresponding author), Avian &amp; Exot Anim Clin, Indianapolis, IN 46268 USA.</t>
  </si>
  <si>
    <t>alennox@exoticvetclinic.com</t>
  </si>
  <si>
    <t>Special thanks to Drury Reavill, DVM, DABVP-Avian, Reptile amp;amp; Amphibian; DACVP for her significant contribution to this work.</t>
  </si>
  <si>
    <t>Special thanks to Drury Reavill, DVM, DABVP-Avian, Reptile &amp; amp; Amphibian; DACVP for her significant contribution to this work.</t>
  </si>
  <si>
    <t>2052-6121</t>
  </si>
  <si>
    <t>VET REC CASE REP</t>
  </si>
  <si>
    <t>Vet. Rec. Case Rep.</t>
  </si>
  <si>
    <t>10.1002/vrc2.734</t>
  </si>
  <si>
    <t>S5WJ7</t>
  </si>
  <si>
    <t>WOS:001071863900001</t>
  </si>
  <si>
    <t>Li, H; Su, JX</t>
  </si>
  <si>
    <t>Li, Hong; Su, Jianxi</t>
  </si>
  <si>
    <t>Mitigating wildfire losses via insurance-linked securities: Modeling and risk management perspectives</t>
  </si>
  <si>
    <t>JOURNAL OF RISK AND INSURANCE</t>
  </si>
  <si>
    <t>basis risks; Bayesian dynamic models; catastrophe bonds; hedge effectiveness; wildfire</t>
  </si>
  <si>
    <t>CATASTROPHE BONDS; REINSURANCE</t>
  </si>
  <si>
    <t>This paper investigates the use of catastrophe (CAT) bonds as a risk management tool for wildfires. We introduce a set of Bayesian dynamic models designed to accurately represent wildfire losses, allowing a thorough examination of wildfire CAT bond pricing and hedge effectiveness. Our model captures crucial attributes of wildfire data, such as zero inflation, overdispersion, temporal fluctuations, and spatial dependence. Employing extensive quantitative analyses of US wildfire data, we highlight that CAT bonds can substantially mitigate tail risk associated with insurers' liability. Importantly, index-based CAT bonds, drawing their payouts from aggregate wildfire losses over a larger geographical scope than an insurer's operational area, also provide effective hedges. Our research underscores the potential of wildfire CAT bonds as an enhancement to traditional reinsurance strategies, offering insurers an improved means to manage and mitigate wildfire exposures amidst inherent uncertainties.</t>
  </si>
  <si>
    <t>[Li, Hong] Univ Guelph, Gordon S Lang Sch Business &amp; Econ, Dept Econ &amp; Finance, Guelph, ON, Canada; [Su, Jianxi] Purdue Univ, Dept Stat, W Lafayette, IN USA; [Li, Hong] Univ Guelph, Gordon S Lang Sch Business &amp; Econ, Dept Econ &amp; Finance, Guelph, ON, Canada</t>
  </si>
  <si>
    <t>University of Guelph; Purdue University System; Purdue University West Lafayette Campus; Purdue University; University of Guelph</t>
  </si>
  <si>
    <t>Li, H (corresponding author), Univ Guelph, Gordon S Lang Sch Business &amp; Econ, Dept Econ &amp; Finance, Guelph, ON, Canada.</t>
  </si>
  <si>
    <t>lihong@uoguelph.ca</t>
  </si>
  <si>
    <t>The authors acknowledge the financial support of the Casualty Actuarial Society Reinsurance Committee. Hong Li is supported in part by funding from the Social Sciences and Humanities Research Council. The authors thank the editor, a senior editor, and two; Casualty Actuarial Society Reinsurance Committee; Social Sciences and Humanities Research Council; Yunnan University of Finance and Economics; Casualty Actuarial Society</t>
  </si>
  <si>
    <t>The authors acknowledge the financial support of the Casualty Actuarial Society Reinsurance Committee. Hong Li is supported in part by funding from the Social Sciences and Humanities Research Council. The authors thank the editor, a senior editor, and two; Casualty Actuarial Society Reinsurance Committee; Social Sciences and Humanities Research Council(Social Sciences and Humanities Research Council of Canada (SSHRC)); Yunnan University of Finance and Economics; Casualty Actuarial Society</t>
  </si>
  <si>
    <t>The authors acknowledge the financial support of the Casualty Actuarial Society Reinsurance Committee. Hong Li is supported in part by funding from the Social Sciences and Humanities Research Council. The authors thank the editor, a senior editor, and two anonymous reviewers for their careful readings and helpful comments. The authors also thank the comments from the Statistical Society of Canada annual meeting in May 2023, the Fields-CFI Workshop on Impacts of Climate Change on Economics, Finance, and Insurance in September 2022, the 24th International Congress on Insurance: Mathematics and Economics in July 2021, and the seminar participants at Zhongnan University of Economics and Law and Yunnan University of Finance and Economics. We are grateful to the Casualty Actuarial Society for the financial support of our research. An earlier version of this paper was disseminated under the title Spatial-Temporal Modeling of Wildfire Losses with Applications in Insurance-Linked Securities Pricing. The usual disclaimer applies.</t>
  </si>
  <si>
    <t>0022-4367</t>
  </si>
  <si>
    <t>1539-6975</t>
  </si>
  <si>
    <t>J RISK INSUR</t>
  </si>
  <si>
    <t>J. Risk Insur.</t>
  </si>
  <si>
    <t>10.1111/jori.12449</t>
  </si>
  <si>
    <t>Business, Finance; Economics</t>
  </si>
  <si>
    <t>S7FA2</t>
  </si>
  <si>
    <t>WOS:001072777800001</t>
  </si>
  <si>
    <t>Wang, CY; Qu, D; Zhou, B; Shang, CZ; Zhang, XY; Tu, YG; Huang, W</t>
  </si>
  <si>
    <t>Wang, Chenyun; Qu, Du; Zhou, Bin; Shang, Chuanzhen; Zhang, Xinyue; Tu, Yongguang; Huang, Wei</t>
  </si>
  <si>
    <t>Self-Healing Behavior of the Metal Halide Perovskites and Photovoltaics</t>
  </si>
  <si>
    <t>SMALL</t>
  </si>
  <si>
    <t>Review; Early Access</t>
  </si>
  <si>
    <t>ion migration; metal halide perovskite; self-healing; solar cells; stability</t>
  </si>
  <si>
    <t>ORGANOMETAL TRIHALIDE PEROVSKITE; METHYLAMMONIUM LEAD IODIDE; LIGHT-INDUCED DEGRADATION; SOLAR-CELLS; HYBRID PEROVSKITE; OPERATIONAL STABILITY; CH3NH3PBI3 PEROVSKITE; ION MIGRATION; FORMAMIDINIUM; SEGREGATION</t>
  </si>
  <si>
    <t>Perovskite solar cells have achieved rapid progress in the new-generation photovoltaic field, but the commercialization lags behind owing to the device stability issue under operational conditions. Ultimately, the instability issue is attributed to the soft lattice of ionic perovskite crystal. In brief, metal halide perovskite materials are susceptible to structural instability processes, including phase segregation, component loss, lattice distortion, and fatigue failure under harsh external stimuli such as high humidity, strong irradiation, wide thermal cycles, and large stress. Developing self-healing perovskites to further improve the unsatisfactory operational stability of their photoelectric devices under harsh stimuli has become a cutting-edge hotspot in this field. This self-healing behavior needs to be studied more comprehensively. Therefore, the self-healing behavior of the metal halide perovskites and photovoltaics is classified and summarized in this review. By discussing recent advances, underlying mechanisms, strategies, and existing challenges, this review provides perspectives on self-healing of perovskite solar cells in the future. Perovskite solar cells (PSCs) encounter phase segregation, component loss, lattice distortion, and fatigue failure, impacting their operational stability. Developing self-healing perovskites to enhance stability under harsh stimuli is a prominent research focus. This review categorizes and summarizes PSCs' self-healing behavior, exploring recent advances, mechanisms, strategies, and challenges, and providing valuable insights for future studies.image</t>
  </si>
  <si>
    <t>[Wang, Chenyun; Qu, Du; Zhou, Bin; Shang, Chuanzhen; Zhang, Xinyue; Tu, Yongguang; Huang, Wei] Northwestern Polytech Univ, Xian Inst Flexible Elect IFE, Frontiers Sci Ctr Flexible Elect FSCFE, Xian 710072, Shaanxi, Peoples R China; [Wang, Chenyun; Qu, Du; Zhou, Bin; Shang, Chuanzhen; Zhang, Xinyue; Tu, Yongguang; Huang, Wei] Northwestern Polytech Univ, Xian Inst Biomed Mat &amp; Engn IBME, Xian 710072, Shaanxi, Peoples R China; [Huang, Wei] Nanjing Tech Univ Nanjing, Key Lab Flexible Elect KLoFE, Nanjing 211816, Jiangsu, Peoples R China; [Huang, Wei] NanjingTech Univ, Inst Adv Mat IAM, Jiangsu Natl Synerget Innovat Ctr Adv Mat SICAM, Nanjing 211816, Jiangsu, Peoples R China; [Huang, Wei] Nanjing Univ Posts &amp; Telecommun NUPT, Key Lab Organ Elect &amp; Informat Displays KLOEID, Nanjing 210046, Jiangsu, Peoples R China; [Huang, Wei] Nanjing Univ Posts &amp; Telecommun, Inst Adv Mat IAM, Nanjing 210023, Jiangsu, Peoples R China; [Tu, Yongguang; Huang, Wei] Northwestern Polytech Univ, Ningbo Inst, Key Lab Flexible Elect Zhejiang Provience, 218 Qingyi Rd, Ningbo 315103, Peoples R China</t>
  </si>
  <si>
    <t>Northwestern Polytechnical University; Northwestern Polytechnical University; Nanjing Tech University; Nanjing University of Posts &amp; Telecommunications; Nanjing University of Posts &amp; Telecommunications; Northwestern Polytechnical University</t>
  </si>
  <si>
    <t>Tu, YG (corresponding author), Northwestern Polytech Univ, Xian Inst Flexible Elect IFE, Frontiers Sci Ctr Flexible Elect FSCFE, Xian 710072, Shaanxi, Peoples R China.;Tu, YG (corresponding author), Northwestern Polytech Univ, Xian Inst Biomed Mat &amp; Engn IBME, Xian 710072, Shaanxi, Peoples R China.;Tu, YG (corresponding author), Northwestern Polytech Univ, Ningbo Inst, Key Lab Flexible Elect Zhejiang Provience, 218 Qingyi Rd, Ningbo 315103, Peoples R China.</t>
  </si>
  <si>
    <t>iamygtu@nwpu.edu.cn</t>
  </si>
  <si>
    <t>This work was funded by the National Natural Science Foundation of China (62004165) and the Fundamental Research Funds for the Central Universities. [62004165]; National Natural Science Foundation of China; Fundamental Research Funds for the Central Universities</t>
  </si>
  <si>
    <t>This work was funded by the National Natural Science Foundation of China (62004165) and the Fundamental Research Funds for the Central Universities.; National Natural Science Foundation of China(National Natural Science Foundation of China (NSFC)); Fundamental Research Funds for the Central Universities(Fundamental Research Funds for the Central Universities)</t>
  </si>
  <si>
    <t>This work was funded by the National Natural Science Foundation of China (62004165) and the Fundamental Research Funds for the Central Universities.</t>
  </si>
  <si>
    <t>1613-6810</t>
  </si>
  <si>
    <t>1613-6829</t>
  </si>
  <si>
    <t>Small</t>
  </si>
  <si>
    <t>10.1002/smll.202307645</t>
  </si>
  <si>
    <t>Chemistry, Multidisciplinary; Chemistry, Physical; Nanoscience &amp; Nanotechnology; Materials Science, Multidisciplinary; Physics, Applied; Physics, Condensed Matter</t>
  </si>
  <si>
    <t>Chemistry; Science &amp; Technology - Other Topics; Materials Science; Physics</t>
  </si>
  <si>
    <t>S7GF8</t>
  </si>
  <si>
    <t>WOS:001072809900001</t>
  </si>
  <si>
    <t>Zaretskaya, N; Utkina, A; Baranov, D; Panin, A; Trofimova, S; Simakova, A; Kurbanov, R</t>
  </si>
  <si>
    <t>Zaretskaya, Nataliya; Utkina, Anna; Baranov, Dmitrii; Panin, Andrei; Trofimova, Svetlana; Simakova, Aleksandra; Kurbanov, Redzhep</t>
  </si>
  <si>
    <t>Limited extension of the MIS 2 proglacial lake in the Severnaya Dvina valley, south-eastern margin of the last Scandinavian Ice Sheet</t>
  </si>
  <si>
    <t>JOURNAL OF QUATERNARY SCIENCE</t>
  </si>
  <si>
    <t>chronology; European Northeast; fluvial sedimentary setting; Last Glacial Maximum; proglacial lake</t>
  </si>
  <si>
    <t>NORTHWESTERN RUSSIA; VYCHEGDA RIVER; LUMINESCENCE; RADIOCARBON; HISTORY; QUARTZ; RATES; DEGLACIATION; SEDIMENT; EVENTS</t>
  </si>
  <si>
    <t>The Severnaya Dvina River valley crosses the former south-eastern margin of the last Scandinavian Ice Sheet. Despite a long research history, there remains considerable controversy about the maximum ice-sheet extent and the expansion of proglacial lakes within the Severnaya Dvina fluvial system. The goal of this study was to address these issues using new material from the valleys of the Severnaya Dvina and the lower Vychegda, thereby contributing to an understanding of the history of the south-eastern sector of the last Scandinavian Ice Sheet and its periglacial areas. We studied a number of geological sections using radiocarbon and optically stimulated luminescence (OSL) dating, pollen and carpological analyses, and found that the Last Glacial Maximum (LGM) proglacial lake occupied the Severnaya Dvina valley between 20-19 ka and about 15.5 ka. The lake was localized within the proglacial isostatic depression and occupied only the Severnaya Dvina valley extending no further than the confluence of the Vychegda River, no more than 110 km from the edge of the ice sheet. The lake formation did not cause any drainage reorganization within and outside the Vychegda fluvial system. Given the small size of the lake and presence of the oldest OSL ages along the entire length of the former lake, we suggest that the onset of the proglacial lake marks the maximum extent of the ice sheet in the area. Consequently, the onset of the local LGM may be dated to 20-19 ka, somewhat earlier than assumed by most previous researchers. The LGM ice sheet boundary was located in the Severnaya Dvina valley downstream from the Vychegda confluence and did not extend into the Vychegda valley, despite previous suggestions. During deglaciation, the lake disappearance together with crustal rebound caused an incision episode in the Vychegda - Severnaya Dvina system and the formation of the Lateglacial alluvial terrace with relative height rising downstream due to the uneven rates of the postglacial uplift.</t>
  </si>
  <si>
    <t>[Zaretskaya, Nataliya; Utkina, Anna; Baranov, Dmitrii; Panin, Andrei; Kurbanov, Redzhep] Russian Acad Sci, Inst Geog, Moscow, Russia; [Utkina, Anna; Kurbanov, Redzhep] Moscow MV Lomonosov State Univ, Fac Geog, Moscow, Russia; [Trofimova, Svetlana] Russian Acad Sci, Ural Branch, Inst Plant &amp; Anim Ecol, Ekaterinburg, Russia; [Simakova, Aleksandra] Russian Acad Sci, Geol Inst, Moscow, Russia</t>
  </si>
  <si>
    <t>Russian Academy of Sciences; Institute of Geography, Russian Academy of Sciences; Lomonosov Moscow State University; Russian Academy of Sciences; Institute of Plant &amp; Animal Ecology of the Russian Academy of Sciences; Russian Academy of Sciences; Geological Institute, Russian Academy of Sciences</t>
  </si>
  <si>
    <t>Utkina, A (corresponding author), Russian Acad Sci, Inst Geog, Moscow, Russia.;Utkina, A (corresponding author), Moscow MV Lomonosov State Univ, Fac Geog, Moscow, Russia.</t>
  </si>
  <si>
    <t>utkina@igras.ru</t>
  </si>
  <si>
    <t>Field studies, laboratory measurements and data synthesis were supported by Russian Science Foundation, project 22-17-00259. Sample preparation was done in IG RAS in the framework of the State Task Force FMGE-2019-0005 (c). [22-17-00259]; Russian Science Foundation</t>
  </si>
  <si>
    <t>Field studies, laboratory measurements and data synthesis were supported by Russian Science Foundation, project 22-17-00259. Sample preparation was done in IG RAS in the framework of the State Task Force FMGE-2019-0005 (c).; Russian Science Foundation(Russian Science Foundation (RSF))</t>
  </si>
  <si>
    <t>Field studies, laboratory measurements and data synthesis were supported by Russian Science Foundation, project 22-17-00259. Sample preparation was done in IG RAS in the framework of the State Task Force FMGE-2019-0005 (c).</t>
  </si>
  <si>
    <t>0267-8179</t>
  </si>
  <si>
    <t>1099-1417</t>
  </si>
  <si>
    <t>J QUATERNARY SCI</t>
  </si>
  <si>
    <t>J. Quat. Sci.</t>
  </si>
  <si>
    <t>10.1002/jqs.3570</t>
  </si>
  <si>
    <t>Geography, Physical; Geosciences, Multidisciplinary</t>
  </si>
  <si>
    <t>Physical Geography; Geology</t>
  </si>
  <si>
    <t>S7DN9</t>
  </si>
  <si>
    <t>WOS:001072738200001</t>
  </si>
  <si>
    <t>Cai, ZD; Xian, PQ; Cheng, YB; Yang, Y; Zhang, YK; He, ZH; Xiong, CW; Guo, ZB; Chen, ZC; Jiang, HQ; Ma, QB; Nian, H; Ge, LF</t>
  </si>
  <si>
    <t>Cai, Zhandong; Xian, Peiqi; Cheng, Yanbo; Yang, Yuan; Zhang, Yakun; He, Zihang; Xiong, Chuwen; Guo, Zhibin; Chen, Zhicheng; Jiang, Huiqian; Ma, Qibin; Nian, Hai; Ge, Liangfa</t>
  </si>
  <si>
    <t>Natural variation of GmFATA1B regulates seed oil content and composition in soybean</t>
  </si>
  <si>
    <t>JOURNAL OF INTEGRATIVE PLANT BIOLOGY</t>
  </si>
  <si>
    <t>GmFATA1B; natural variation; QTL; seed oil content; soybean</t>
  </si>
  <si>
    <t>FATTY-ACID-COMPOSITION; CARRIER-PROTEIN; SUBSTRATE-SPECIFICITY; ACP THIOESTERASE; DOMESTICATION; SELECTION; GENE</t>
  </si>
  <si>
    <t>Soybean (Glycine max) produces seeds that are rich in unsaturated fatty acids and is an important oilseed crop worldwide. Seed oil content and composition largely determine the economic value of soybean. Due to natural genetic variation, seed oil content varies substantially across soybean cultivars. Although much progress has been made in elucidating the genetic trajectory underlying fatty acid metabolism and oil biosynthesis in plants, the causal genes for many quantitative trait loci (QTLs) regulating seed oil content in soybean remain to be revealed. In this study, we identified GmFATA1B as the gene underlying a QTL that regulates seed oil content and composition, as well as seed size in soybean. Nine extra amino acids in the conserved region of GmFATA1B impair its function as a fatty acyl-acyl carrier protein thioesterase, thereby affecting seed oil content and composition. Heterogeneously overexpressing the functional GmFATA1B allele in Arabidopsis thaliana increased both the total oil content and the oleic acid and linoleic acid contents of seeds. Our findings uncover a previously unknown locus underlying variation in seed oil content in soybean and lay the foundation for improving seed oil content and composition in soybean.</t>
  </si>
  <si>
    <t>[Cai, Zhandong; Xian, Peiqi; Cheng, Yanbo; Yang, Yuan; Zhang, Yakun; He, Zihang; Xiong, Chuwen; Guo, Zhibin; Chen, Zhicheng; Jiang, Huiqian; Ma, Qibin; Nian, Hai; Ge, Liangfa] South China Agr Univ, Guangdong Subctr, Natl Ctr Soybean Improvement, Guangzhou 510642, Peoples R China; [Cai, Zhandong] Shaoguan Univ, Guangdong Prov Key Lab Utilizat &amp; Conservat Food &amp;, Shaoguan 512000, Peoples R China; [Cai, Zhandong; Ge, Liangfa] South China Agr Univ, Coll Forestry &amp; Landscape Architecture, Dept Grassland Sci, Guangzhou 510642, Peoples R China; [Nian, Hai] Guangdong Lab Lingnan Modern Agr, Guangzhou 510642, Peoples R China</t>
  </si>
  <si>
    <t>South China Agricultural University; Shaoguan University; South China Agricultural University; Guangdong Laboratory for Lingnan Modern Agriculture</t>
  </si>
  <si>
    <t>Nian, H; Ge, LF (corresponding author), South China Agr Univ, Guangdong Subctr, Natl Ctr Soybean Improvement, Guangzhou 510642, Peoples R China.;Ge, LF (corresponding author), South China Agr Univ, Coll Forestry &amp; Landscape Architecture, Dept Grassland Sci, Guangzhou 510642, Peoples R China.;Nian, H (corresponding author), Guangdong Lab Lingnan Modern Agr, Guangzhou 510642, Peoples R China.</t>
  </si>
  <si>
    <t>hnian@scau.edu.cn; lge@scau.edu.cn</t>
  </si>
  <si>
    <t>This work was supported by the Seed Industry Revitalization Plan of Guangdong Province (2022-NPY-00-007), Key-Areas Research and Development Program of Guangdong Province (2022B0202060005), and the China Agricultural Research System (CARS-04-PS 11). [2022-NPY-00-007]; Seed Industry Revitalization Plan of Guangdong Province [2022B0202060005]; Key-Areas Research and Development Program of Guangdong Province [CARS-04-PS 11]; China Agricultural Research System</t>
  </si>
  <si>
    <t>This work was supported by the Seed Industry Revitalization Plan of Guangdong Province (2022-NPY-00-007), Key-Areas Research and Development Program of Guangdong Province (2022B0202060005), and the China Agricultural Research System (CARS-04-PS 11).; Seed Industry Revitalization Plan of Guangdong Province; Key-Areas Research and Development Program of Guangdong Province; China Agricultural Research System</t>
  </si>
  <si>
    <t>This work was supported by the Seed Industry Revitalization Plan of Guangdong Province (2022-NPY-00-007), Key-Areas Research and Development Program of Guangdong Province (2022B0202060005), and the China Agricultural Research System (CARS-04-PS 11).</t>
  </si>
  <si>
    <t>1672-9072</t>
  </si>
  <si>
    <t>1744-7909</t>
  </si>
  <si>
    <t>J INTEGR PLANT BIOL</t>
  </si>
  <si>
    <t>J. Integr. Plant Biol.</t>
  </si>
  <si>
    <t>2023 SEP 27</t>
  </si>
  <si>
    <t>10.1111/jipb.13561</t>
  </si>
  <si>
    <t>Biochemistry &amp; Molecular Biology; Plant Sciences</t>
  </si>
  <si>
    <t>S7GN3</t>
  </si>
  <si>
    <t>WOS:001072817500001</t>
  </si>
  <si>
    <t>Cao, CE; Liu, F; Yang, Y; Zhang, Q; Huang, JF; Liu, XH</t>
  </si>
  <si>
    <t>Cao, Chunge; Liu, Fang; Yang, Yan; Zhang, Qing; Huang, Junfang; Liu, Xinhong</t>
  </si>
  <si>
    <t>Prenatal whole-exome sequencing in fetuses with increased nuchal translucency</t>
  </si>
  <si>
    <t>MOLECULAR GENETICS &amp; GENOMIC MEDICINE</t>
  </si>
  <si>
    <t>chromosomal microarray analysis; genetic counseling; increased nuchal translucency; prenatal diagnosis; whole-exome sequencing</t>
  </si>
  <si>
    <t>NORMAL KARYOTYPE; DIAGNOSIS; THICKNESS; GUIDELINES; VARIANTS</t>
  </si>
  <si>
    <t>BackgroundIncreased nuchal translucency (NT) is associated with an increased risk for genetic disorders. The aim of this study was to investigate the value of whole-exome sequencing (WES) in detecting genetic abnormalities for fetuses with isolated first-trimester increased NT.MethodsAfter the exclusion of aneuploidies and pathogenic copy number variants (CNVs) by quantitative fluorescent polymerase chain reaction (QF-PCR) and chromosomal microarray analysis (CMA), WES was performed on 63 fetuses with isolated first-trimester increased NT (&amp; GE;3.5 mm).ResultsOverall, WES yielded a 4.8% (3/63) diagnostic rate for fetuses with isolated increased NT. Pathogenic variants were identified in 37.5% (3/8) fetuses that developed additional structural anomalies later in gestation, and no pathogenic variants were detected in increased NT that resolved or remained isolated throughout the pregnancy.ConclusionThis study provides powerful evidence to offer prenatal WES for increased NT only when additional abnormalities are present. Early detailed ultrasound to detect emerging anomalies can help physicians offer prenatal WES to fetuses with a greater likelihood of diagnosis. WES yielded a 4.8% (3/63) diagnostic rate for fetuses with isolated increased NT. Pathogenic variants were identified in 37.5% (3/8) fetuses that developed additional structural anomalies later in gestation, and no pathogenic variants were detected in increased NT that resolved or remained isolated throughout the pregnancy. Our study provides powerful evidence to offer prenatal WES for increased NT only when additional abnormalities are present.image</t>
  </si>
  <si>
    <t>[Cao, Chunge; Zhang, Qing] Zhengzhou Univ, Affiliated Hosp 2, Prenatal Diag Ctr, Zhengzhou, Peoples R China; [Liu, Fang] Chongqing Maternal &amp; Child Healthcare Hosp, Prenatal Diag Ctr, Chongqing, Peoples R China; [Yang, Yan] Sichuan Univ, West China Univ Hosp 2, Prenatal Diag Ctr, Chengdu, Peoples R China; [Liu, Xinhong] Maternal &amp; Child Healthcare Hosp Longhua Dist, Dept Obstet &amp; Gynecol, Shenzhen, Peoples R China</t>
  </si>
  <si>
    <t>Zhengzhou University; Sichuan University</t>
  </si>
  <si>
    <t>Liu, XH (corresponding author), Maternal &amp; Child Healthcare Hosp Longhua Dist, Dept Obstet &amp; Gynecol, Shenzhen, Peoples R China.</t>
  </si>
  <si>
    <t>491044114@qq.com</t>
  </si>
  <si>
    <t>We are grateful to our patients for their sincere participation in this study. We also thank the laboratory staff at Prenatal Diagnosis Center of Urumqi Maternal and Child Health Hospital. This study was supported by grants from the Natural Science Foundat [2018D01A50]; Natural Science Foundation of Xinjiang Province</t>
  </si>
  <si>
    <t>We are grateful to our patients for their sincere participation in this study. We also thank the laboratory staff at Prenatal Diagnosis Center of Urumqi Maternal and Child Health Hospital. This study was supported by grants from the Natural Science Foundat; Natural Science Foundation of Xinjiang Province</t>
  </si>
  <si>
    <t>We are grateful to our patients for their sincere participation in this study. We also thank the laboratory staff at Prenatal Diagnosis Center of Urumqi Maternal and Child Health Hospital. This study was supported by grants from the Natural Science Foundation of Xinjiang Province (2018D01A50). The funders had no role in study design, data collection and analysis, decision to publish, or preparation of the manuscript.</t>
  </si>
  <si>
    <t>2324-9269</t>
  </si>
  <si>
    <t>MOL GENET GENOM MED</t>
  </si>
  <si>
    <t>Mol. Genet. Genom. Med.</t>
  </si>
  <si>
    <t>10.1002/mgg3.2246</t>
  </si>
  <si>
    <t>Genetics &amp; Heredity</t>
  </si>
  <si>
    <t>S5WA4</t>
  </si>
  <si>
    <t>WOS:001071854600001</t>
  </si>
  <si>
    <t>Chang, MY; Hsueh, NC</t>
  </si>
  <si>
    <t>Chang, Meng-Yang; Hsueh, Nai-Chen</t>
  </si>
  <si>
    <t>Access to 2-Sulfonyl-4-arylphenols and 2,6-Bis-sulfonyl 5-Aryl-4-arylidene-2-cyclohexenones via Metal Triflates-Catalyzed Domino Cyclocondensation of 1,3-Bis-sulfonylacetones and 3-Arylacroleins</t>
  </si>
  <si>
    <t>ADVANCED SYNTHESIS &amp; CATALYSIS</t>
  </si>
  <si>
    <t>Cyclocondensation; Bis-sulfonylacetone; Arylacrolein; Arylphenol; Cyclohexenone</t>
  </si>
  <si>
    <t>3+3 BENZANNULATION REACTIONS; ALPHA,BETA-UNSATURATED ALDEHYDES; REGIOSELECTIVE SYNTHESIS; CASCADE REACTIONS; ANNULATION; SULFONYL; DRUGS</t>
  </si>
  <si>
    <t>Herein, metal triflates-catalyzed one-pot domino cyclocondensation of 1,3-bis-sulfonylacetones and 3-arylacroleins via (3+3) or (3+2+1) annulation has been proposed to construct diversified 2-sulfonyl-4-arylphenols and 2,6-bis-sulfonyl 5-aryl-4-arylidene-2-cyclohexenones. In this effective reaction, C-C and C=C bonds are formed via a cascade process and 3-arylacrolein acts as a C3 and C1 synthon during the formation of a six-membered ring system under mild conditions. A plausible mechanism has been proposed and discussed. image</t>
  </si>
  <si>
    <t>[Chang, Meng-Yang; Hsueh, Nai-Chen] Kaohsiung Med Univ, Dept Med &amp; Appl Chem, Kaohsiung 807, Taiwan; [Chang, Meng-Yang] Kaohsiung Med Univ Hosp, Dept Med Res, Kaohsiung 807, Taiwan; [Chang, Meng-Yang] Natl Pingtung Univ Sci &amp; Technol, NPUST Coll Profess Studies, Pingtung 912, Taiwan</t>
  </si>
  <si>
    <t>Kaohsiung Medical University; Kaohsiung Medical University; Kaohsiung Medical University Hospital; National Pingtung University Science &amp; Technology</t>
  </si>
  <si>
    <t>Chang, MY (corresponding author), Kaohsiung Med Univ, Dept Med &amp; Appl Chem, Kaohsiung 807, Taiwan.;Chang, MY (corresponding author), Kaohsiung Med Univ Hosp, Dept Med Res, Kaohsiung 807, Taiwan.;Chang, MY (corresponding author), Natl Pingtung Univ Sci &amp; Technol, NPUST Coll Profess Studies, Pingtung 912, Taiwan.</t>
  </si>
  <si>
    <t>mychang@kmu.edu.tw</t>
  </si>
  <si>
    <t>The authors would like to thank the National Science and Technology Council of the Republic of China (Taiwan) for financial support (NSTC 112-2113-M-037-016-MY3). [NSTC 112-2113-M-037-016-MY3]; National Science and Technology Council of the Republic of China (Taiwan)</t>
  </si>
  <si>
    <t>The authors would like to thank the National Science and Technology Council of the Republic of China (Taiwan) for financial support (NSTC 112-2113-M-037-016-MY3).; National Science and Technology Council of the Republic of China (Taiwan)</t>
  </si>
  <si>
    <t>The authors would like to thank the National Science and Technology Council of the Republic of China (Taiwan) for financial support (NSTC 112-2113-M-037-016-MY3).</t>
  </si>
  <si>
    <t>1615-4150</t>
  </si>
  <si>
    <t>1615-4169</t>
  </si>
  <si>
    <t>ADV SYNTH CATAL</t>
  </si>
  <si>
    <t>Adv. Synth. Catal.</t>
  </si>
  <si>
    <t>10.1002/adsc.202300858</t>
  </si>
  <si>
    <t>Chemistry, Applied; Chemistry, Organic</t>
  </si>
  <si>
    <t>S4NG5</t>
  </si>
  <si>
    <t>WOS:001070945200001</t>
  </si>
  <si>
    <t>Chen, JX; Chen, WH; Zhang, JJ; Zhao, HH; Cui, J; Wu, JZ; Shi, AH</t>
  </si>
  <si>
    <t>Chen, Jiaxin; Chen, Wenhui; Zhang, Jinjia; Zhao, Huanhuan; Cui, Ji; Wu, Junzi; Shi, Anhua</t>
  </si>
  <si>
    <t>Dual effects of endogenous formaldehyde on the organism and drugs for its removal</t>
  </si>
  <si>
    <t>JOURNAL OF APPLIED TOXICOLOGY</t>
  </si>
  <si>
    <t>endogenous formaldehyde; energy metabolism; epigenetics; glutathione; one-carbon cycle; oxidative stress</t>
  </si>
  <si>
    <t>SENSITIVE AMINE OXIDASE; ALPHA-LIPOIC ACID; OXIDATIVE STRESS; EXOGENOUS FORMALDEHYDE; INDUCED NEUROTOXICITY; THERAPEUTIC TARGETS; HEMATOPOIETIC STEM; CELLS DEFICIENT; PC12 CELLS; VITAMIN-E</t>
  </si>
  <si>
    <t>Endogenous formaldehyde (FA) is produced in the human body via various mechanisms to preserve healthy energy metabolism and safeguard the organism. However, endogenous FA can have several negative effects on the body through epigenetic alterations, including cancer growth promotion; neuronal, hippocampal and endothelial damages; atherosclerosis acceleration; haemopoietic stem cell destruction and haemopoietic cell production reduction. Certain medications with antioxidant effects, such as glutathione, vitamin E, resveratrol, alpha lipoic acid and polyphenols, lessen the detrimental effects of endogenous FA by reducing oxidative stress, directly scavenging endogenous FA or promoting its degradation. This study offers fresh perspectives for managing illnesses associated with endogenous FA exposure. This article reviews the physiological and pathological mechanisms underlying the production and metabolism of endogenous formaldehyde, as well as its bidirectional regulatory effects on the human body. Finally, drugs that eliminate endogenous formaldehyde are summarized. This review provides a new perspective on how to treat diseases caused by endogenous formaldehyde in the future.</t>
  </si>
  <si>
    <t>[Chen, Jiaxin; Chen, Wenhui; Zhang, Jinjia; Zhao, Huanhuan; Cui, Ji; Wu, Junzi; Shi, Anhua] Yunnan Univ Chinese Med, Yunnan Key Lab Integrated Tradit Chinese &amp; Western, Kunming, Peoples R China; [Chen, Jiaxin; Chen, Wenhui; Zhang, Jinjia; Zhao, Huanhuan; Cui, Ji; Wu, Junzi; Shi, Anhua] Yunnan Univ Chinese Med, Key Lab Microcosm Syndrome Differentiat, Kunming, Peoples R China; [Wu, Junzi; Shi, Anhua] Yunnan Univ Chinese Med, Dept Basic Med, Kunming, Peoples R China; [Wu, Junzi; Shi, Anhua] Yunnan Univ Chinese Med, Dept Basic Med, 1076 Yuhua Rd, Kunming 650500, Peoples R China</t>
  </si>
  <si>
    <t>Yunnan University of Chinese Medicine; Yunnan University of Chinese Medicine; Yunnan University of Chinese Medicine; Yunnan University of Chinese Medicine</t>
  </si>
  <si>
    <t>Wu, JZ; Shi, AH (corresponding author), Yunnan Univ Chinese Med, Dept Basic Med, 1076 Yuhua Rd, Kunming 650500, Peoples R China.</t>
  </si>
  <si>
    <t>xnfz@ynutcm.edu.cn; 2697349858@qq.com</t>
  </si>
  <si>
    <t>We acknowledged the support of the National Science Foundation of China (no. 82160898). [82160898]; National Science Foundation of China</t>
  </si>
  <si>
    <t>We acknowledged the support of the National Science Foundation of China (no. 82160898).; National Science Foundation of China(National Natural Science Foundation of China (NSFC))</t>
  </si>
  <si>
    <t>We acknowledged the support of the National Science Foundation of China (no. 82160898).</t>
  </si>
  <si>
    <t>0260-437X</t>
  </si>
  <si>
    <t>1099-1263</t>
  </si>
  <si>
    <t>J APPL TOXICOL</t>
  </si>
  <si>
    <t>J. Appl. Toxicol.</t>
  </si>
  <si>
    <t>10.1002/jat.4546</t>
  </si>
  <si>
    <t>Toxicology</t>
  </si>
  <si>
    <t>S5VC3</t>
  </si>
  <si>
    <t>WOS:001071830500001</t>
  </si>
  <si>
    <t>Chu, XX; Zhou, GR; Pang, MF; Zhang, HW</t>
  </si>
  <si>
    <t>Chu, Xiaoxiao; Zhou, Guoren; Pang, Maofu; Zhang, Hongwu</t>
  </si>
  <si>
    <t>Manganese-Catalysed Transfer Hydrogenation of Quinolines under Mild Conditions</t>
  </si>
  <si>
    <t>EUROPEAN JOURNAL OF ORGANIC CHEMISTRY</t>
  </si>
  <si>
    <t>homogeneous catalysis; manganese; pincer complex; quinolines; transfer hydrogenation</t>
  </si>
  <si>
    <t>ASYMMETRIC HYDROGENATION; N-HETEROCYCLES; AMMONIA-BORANE; REDUCTION; ACID; CHEMISTRY; COMPLEX; ALKYNES</t>
  </si>
  <si>
    <t>Herein, an efficient methodology for the homogeneous manganese-catalysed transfer hydrogenation of N-heterocycles by using ammonia-borane as a hydrogen source under mild reaction conditions is reported. Good to excellent isolated yields are achieved by applying a PNP manganese pincer complex. In the reaction, 1,2-dihydroquinoline is detected as intermediate by NMR spectra analysis and deuterium labelling experiment. The catalytic reaction likely proceeded by an outer-sphere pathway based on the bifunctional pincer complex. A PNP pincer manganese complex was applied as catalyst for transfer hydrogenation of quinolines with ammonia borane as hydrogen source. 1,2,3,4-Tetrahydroquinolines were obtained under mild conditions with good to excellent yields. 1,2-Dihydroquinolines were detected by 1H NMR in the progress and isotopic labelling experiments were performed to determine the destination of ammonia-borane hydrogen atoms.image</t>
  </si>
  <si>
    <t>[Chu, Xiaoxiao; Zhou, Guoren; Pang, Maofu; Zhang, Hongwu] Ludong Univ, Sch Chem &amp; Mat Sci, Yantai 264025, Peoples R China</t>
  </si>
  <si>
    <t>Ludong University</t>
  </si>
  <si>
    <t>Pang, MF; Zhang, HW (corresponding author), Ludong Univ, Sch Chem &amp; Mat Sci, Yantai 264025, Peoples R China.</t>
  </si>
  <si>
    <t>pmf1991@163.com; hwzhang@iue.ac.cn</t>
  </si>
  <si>
    <t>This work was supported by National Natural Science Foundation of China (No. 22001107), National Science Foundation of Shandong Province (No. ZR2022QB036).and Shandong Laboratory of Advanced Materials and Green Manufacturing at Yantai (No. AMGM2023F11). [22001107]; National Natural Science Foundation of China [ZR2022QB036]; National Science Foundation of Shandong Province [AMGM2023F11]; Shandong Laboratory of Advanced Materials and Green Manufacturing at Yantai</t>
  </si>
  <si>
    <t>This work was supported by National Natural Science Foundation of China (No. 22001107), National Science Foundation of Shandong Province (No. ZR2022QB036).and Shandong Laboratory of Advanced Materials and Green Manufacturing at Yantai (No. AMGM2023F11).; National Natural Science Foundation of China(National Natural Science Foundation of China (NSFC)); National Science Foundation of Shandong Province(Natural Science Foundation of Shandong Province); Shandong Laboratory of Advanced Materials and Green Manufacturing at Yantai</t>
  </si>
  <si>
    <t>This work was supported by National Natural Science Foundation of China (No. 22001107), National Science Foundation of Shandong Province (No. ZR2022QB036).and Shandong Laboratory of Advanced Materials and Green Manufacturing at Yantai (No. AMGM2023F11).</t>
  </si>
  <si>
    <t>1434-193X</t>
  </si>
  <si>
    <t>1099-0690</t>
  </si>
  <si>
    <t>EUR J ORG CHEM</t>
  </si>
  <si>
    <t>Eur. J. Org. Chem.</t>
  </si>
  <si>
    <t>10.1002/ejoc.202300597</t>
  </si>
  <si>
    <t>Chemistry, Organic</t>
  </si>
  <si>
    <t>S4PU1</t>
  </si>
  <si>
    <t>WOS:001071010800001</t>
  </si>
  <si>
    <t>Fenn-Moltu, G; Ollier, S; Bates, OK; Liebhold, AM; Nahrung, HF; Pureswaran, DS; Yamanaka, T; Bertelsmeier, C</t>
  </si>
  <si>
    <t>Fenn-Moltu, Gyda; Ollier, Sebastien; Bates, Olivia K.; Liebhold, Andrew M.; Nahrung, Helen F.; Pureswaran, Deepa S.; Yamanaka, Takehiko; Bertelsmeier, Cleo</t>
  </si>
  <si>
    <t>Global flows of insect transport and establishment: The role of biogeography, trade and regulations</t>
  </si>
  <si>
    <t>DIVERSITY AND DISTRIBUTIONS</t>
  </si>
  <si>
    <t>establishment; globalization; human-mediated dispersal; insects; interceptions; invasion asymmetry; invasion stages</t>
  </si>
  <si>
    <t>NONNATIVE FOREST INSECTS; BIOLOGICAL INVASIONS; PROPAGULE PRESSURE; EXOTIC BIRDS; LAG-PHASES; DISPERSAL; BIODIVERSITY; PATHWAYS; RISK; INTERCEPTION</t>
  </si>
  <si>
    <t>AimNon-native species are part of almost every biological community worldwide, yet numbers of species establishments have an uneven global distribution. Asymmetrical exchanges of species between regions are likely influenced by a range of mechanisms, including propagule pressure, native species pools, environmental conditions and biosecurity. While the importance of different mechanisms is likely to vary among invasion stages, those occurring prior to establishment (transport and introduction) are difficult to account for. We used records of unintentional insect introductions to test (1) whether insects from some biogeographic regions are more likely to be successful invaders, (2) whether the intensity of trade flows between regions determines how many species are intercepted and how many successfully establish, and (3) whether the variables driving successful transport and successful establishment differ.LocationCanada, mainland USA, Hawaii, Japan, Australia, New Zealand, Great Britain, South Korea, South Africa.MethodsTo disentangle processes occurring during the transport and establishment stages, we analysed border interceptions of 8199 insect species as a proxy for transported species flows, and lists of 2076 established non-native insect species in eight areas. We investigated the influence of biogeographic variables, socio-economic variables and biosecurity regulations on the size of species flows between regions.ResultsDuring transport, the largest species flows generally originated from the Nearctic, Panamanian and Neotropical regions. Insects native to 8 of 12 biogeographic regions were able to establish, with the largest flows of established species on average coming from the Western Palearctic, Neotropical and Australasian/Oceanian regions. Both the biogeographic region of origin and trade intensity significantly influenced the size of species flows between regions during transport and establishment. The transported species richness increased with Gross National Income in the source country, and decreased with geographic distance. More species were able to establish when introduced within their native biogeographic region.Main ConclusionsOur results suggest that accounting for processes occurring prior to establishment is crucial for understanding invasion asymmetry in insects, and for quantifying regional biosecurity risks.</t>
  </si>
  <si>
    <t>[Fenn-Moltu, Gyda; Ollier, Sebastien; Bates, Olivia K.; Liebhold, Andrew M.; Bertelsmeier, Cleo] Univ Lausanne, Dept Ecol &amp; Evolut, Lausanne, Switzerland; [Ollier, Sebastien] Univ Paris Saclay, Dept Ecol Systemat &amp; Evolut, CNRS, AgroParisTech, Orsay, France; [Liebhold, Andrew M.] USDA Forest Serv, Northern Res Stn, Morgantown, WV USA; [Liebhold, Andrew M.] Czech Univ Life Sci Prague, Fac Forestry &amp; Wood Sci, Prague, Czech Republic; [Nahrung, Helen F.] Univ Sunshine Coast, Forest Res Inst, Maroochydore, Qld, Australia; [Pureswaran, Deepa S.] Atlantic Forestry Ctr, Canadian Forest Serv, Fredericton, NB, Canada; [Yamanaka, Takehiko] NARO, Res Ctr Agr Informat Technol, Tsukuba, Ibaraki, Japan; [Fenn-Moltu, Gyda] Univ Lausanne, Dept Ecol &amp; Evolut, CH-1015 Lausanne, Switzerland</t>
  </si>
  <si>
    <t>University of Lausanne; AgroParisTech; Centre National de la Recherche Scientifique (CNRS); UDICE-French Research Universities; Universite Paris Saclay; United States Department of Agriculture (USDA); United States Forest Service; Czech University of Life Sciences Prague; University of the Sunshine Coast; Natural Resources Canada; Canadian Forest Service; National Agriculture &amp; Food Research Organization - Japan; University of Lausanne</t>
  </si>
  <si>
    <t>Fenn-Moltu, G (corresponding author), Univ Lausanne, Dept Ecol &amp; Evolut, CH-1015 Lausanne, Switzerland.</t>
  </si>
  <si>
    <t>gyda.fenn-moltu@unil.ch</t>
  </si>
  <si>
    <t>Canton de Vaud; Centre National de la Recherche Scientifique; Fondation Sandoz-Monique de Meuron pour la releve universitaire; National Science Foundation; Swiss National Science Foundation [DBI-1639145]; Czech Operational Programme Research, Development and Education [310030_192619]; [CZ.02.1 .01/0.0/0.0/16_019/0000803]</t>
  </si>
  <si>
    <t>Canton de Vaud; Centre National de la Recherche Scientifique(Centre National de la Recherche Scientifique (CNRS)); Fondation Sandoz-Monique de Meuron pour la releve universitaire; National Science Foundation(National Science Foundation (NSF)); Swiss National Science Foundation(Swiss National Science Foundation (SNSF)); Czech Operational Programme Research, Development and Education;</t>
  </si>
  <si>
    <t>Canton de Vaud; Centre National de la Recherche Scientifique; Fondation Sandoz-Monique de Meuron pour la releve universitaire; National Science Foundation, Grant/Award Number: DBI-1639145; Swiss National Science Foundation, Grant/Award Number: 310030_192619; The Czech Operational Programme Research, Development and Education, Grant/Award Number: CZ.02.1 .01/0.0/0.0/16_019/0000803</t>
  </si>
  <si>
    <t>1366-9516</t>
  </si>
  <si>
    <t>1472-4642</t>
  </si>
  <si>
    <t>DIVERS DISTRIB</t>
  </si>
  <si>
    <t>Divers. Distrib.</t>
  </si>
  <si>
    <t>10.1111/ddi.13772</t>
  </si>
  <si>
    <t>Biodiversity Conservation; Ecology</t>
  </si>
  <si>
    <t>Biodiversity &amp; Conservation; Environmental Sciences &amp; Ecology</t>
  </si>
  <si>
    <t>S8IU1</t>
  </si>
  <si>
    <t>WOS:001073557000001</t>
  </si>
  <si>
    <t>Horie, M; Takagane, K; Itoh, G; Kuriyama, S; Yanagihara, K; Yashiro, M; Umakoshi, M; Goto, A; Arita, J; Tanaka, M</t>
  </si>
  <si>
    <t>Horie, Misato; Takagane, Kurara; Itoh, Go; Kuriyama, Sei; Yanagihara, Kazuyoshi; Yashiro, Masakazu; Umakoshi, Michinobu; Goto, Akiteru; Arita, Junichi; Tanaka, Masamitsu</t>
  </si>
  <si>
    <t>Exosomes secreted by ST3GAL5(high) cancer cells promote peritoneal dissemination by establishing a premetastatic microenvironment</t>
  </si>
  <si>
    <t>MOLECULAR ONCOLOGY</t>
  </si>
  <si>
    <t>exosomes; mesothelial cell; milky spots; peritoneal dissemination; ST3G5</t>
  </si>
  <si>
    <t>OMENTAL MILKY SPOTS; GENE KNOCK-IN; CARCINOMA; EXPRESSION; MACROPHAGES; METASTASIS; MATURATION; RESPONSES; HYPOXIA; NICHE</t>
  </si>
  <si>
    <t>Peritoneal dissemination of cancer affects patient survival. The behavior of peritoneal mesothelial cells (PMCs) and immune cells influences the establishment of a microenvironment that promotes cancer cell metastasis in the peritoneum. Here, we investigated the roles of lactosylceramide alpha-2,3-sialyltransferase (ST3G5; also known as ST3GAL5 and GM3 synthase) in the exosome-mediated premetastatic niche in peritoneal milky spots (MSs). Exosomes secreted from ST3G5(high) cancer cells (ST3G5(high)-cExos) were found to contain high levels of hypoxia-inducible factor 1-alpha (HIF1a) and accumulated in MSs via uptake in macrophages (Mfs) owing to increased expression of sialic acid-binding Ig-like lectin 1 (CD169; also known as SIGLEC1). ST3G5(high)-cExos induced pro-inflammatory cytokines and glucose metabolic changes in Mfs, and the interaction of these Mfs with PMCs promoted mesothelial-mesenchymal transition (MMT) in PMCs, thereby generating aSMA(+) myofibroblasts. ST3G5(high)-cExos also increased the expression of immune checkpoint molecules and T-cell exhaustion in MSs, which accelerated metastasis to the omentum. These events were prevented following ST3G5 depletion in cancer cells. Mechanistically, ST3G5(high)-cExos upregulated chemokines, including CC-chemokine ligand 5 (CCL5), in recipient Mfs and dendritic cells (DCs), which induced MMT and immunosuppression via activation of signal transducer and activator of transcription 3 (STAT3). Maraviroc, a C-C chemokine receptor type 5 (CCR5) antagonist, prevented ST3G5(high)-cExo-mediated MMT, T-cell suppression, and metastasis in MSs. Our results suggest ST3G5 as a suitable therapeutic target for preventing cExo-mediated peritoneal dissemination.</t>
  </si>
  <si>
    <t>[Horie, Misato; Takagane, Kurara; Itoh, Go; Kuriyama, Sei; Tanaka, Masamitsu] Akita Univ, Grad Sch Med, Dept Mol Med &amp; Biochem, Akita, Japan; [Horie, Misato; Arita, Junichi] Akita Univ, Grad Sch Med, Dept Gastroenterol Surg, Akita, Japan; [Yanagihara, Kazuyoshi] Natl Canc Ctr, Res Inst, Div Rare Canc Res, Tokyo, Japan; [Yashiro, Masakazu] Osaka Metropolitan Univ, Dept Mol Oncol &amp; Therapeut, Grad Sch Med, Osaka, Japan; [Umakoshi, Michinobu; Goto, Akiteru] Akita Univ, Grad Sch Med, Dept Cellular &amp; Organ Pathol, Akita, Japan; [Tanaka, Masamitsu] Akita Univ, Dept Mol Med &amp; Biochem, Graduate Sch Med, 1-1-1 Hondo, Akita 0108543, Japan</t>
  </si>
  <si>
    <t>Akita University; Akita University; National Cancer Center - Japan; Osaka Metropolitan University; Akita University; Akita University</t>
  </si>
  <si>
    <t>Tanaka, M (corresponding author), Akita Univ, Dept Mol Med &amp; Biochem, Graduate Sch Med, 1-1-1 Hondo, Akita 0108543, Japan.</t>
  </si>
  <si>
    <t>mastanak@med.akita-u.ac.jp</t>
  </si>
  <si>
    <t>Tanaka, Masamitsu/0000-0002-4823-9737</t>
  </si>
  <si>
    <t>This work was supported by JSPS KAKENHI grants (22H02897 to M. Tanaka, 22K07163 to G. Itoh, 21K07090 to S. Kuriyama, and 22H04373 to K. Takagane), Takeda Science Foundation grants (to M. Tanaka and G. Itoh), a Research Grant from the Princess Takamatsu Can [22H02897, 22K07163, 21K07090, 22H04373]; JSPS KAKENHI; Takeda Science Foundation [19-25123]; Princess Takamatsu Cancer Research Fund; Research Project Program of Joint Usage/Research Center at the Institute of Development, Aging and Cancer, Tohoku University</t>
  </si>
  <si>
    <t>This work was supported by JSPS KAKENHI grants (22H02897 to M. Tanaka, 22K07163 to G. Itoh, 21K07090 to S. Kuriyama, and 22H04373 to K. Takagane), Takeda Science Foundation grants (to M. Tanaka and G. Itoh), a Research Grant from the Princess Takamatsu Can; JSPS KAKENHI(Ministry of Education, Culture, Sports, Science and Technology, Japan (MEXT)Japan Society for the Promotion of ScienceGrants-in-Aid for Scientific Research (KAKENHI)); Takeda Science Foundation(Takeda Science Foundation (TSF)); Princess Takamatsu Cancer Research Fund; Research Project Program of Joint Usage/Research Center at the Institute of Development, Aging and Cancer, Tohoku University</t>
  </si>
  <si>
    <t>This work was supported by JSPS KAKENHI grants (22H02897 to M. Tanaka, 22K07163 to G. Itoh, 21K07090 to S. Kuriyama, and 22H04373 to K. Takagane), Takeda Science Foundation grants (to M. Tanaka and G. Itoh), a Research Grant from the Princess Takamatsu Cancer Research Fund (19-25123 to M. Tanaka), and the Research Project Program of Joint Usage/Research Center at the Institute of Development, Aging and Cancer, Tohoku University (G. Itoh).</t>
  </si>
  <si>
    <t>1574-7891</t>
  </si>
  <si>
    <t>1878-0261</t>
  </si>
  <si>
    <t>MOL ONCOL</t>
  </si>
  <si>
    <t>Mol. Oncol.</t>
  </si>
  <si>
    <t>10.1002/1878-0261.13524</t>
  </si>
  <si>
    <t>Oncology</t>
  </si>
  <si>
    <t>S7GO5</t>
  </si>
  <si>
    <t>WOS:001072818700001</t>
  </si>
  <si>
    <t>Lito, MFP; Knorst, JK; Noronha, TG; Pohl, MB; Brondani, B; de Araújo, G; Ardenghi, TM; Tomazoni, F</t>
  </si>
  <si>
    <t>Lito, Marcia Farias Pereira; Knorst, Jessica Klockner; Noronha, Thais Gioda; Pohl, Marina Blanco; Brondani, Bruna; de Araujo, Gabriela; Ardenghi, Thiago Machado; Tomazoni, Fernanda</t>
  </si>
  <si>
    <t>Impact of the COVID-19 pandemic on sleep bruxism among adolescents in Brazil: A longitudinal study</t>
  </si>
  <si>
    <t>ORAL DISEASES</t>
  </si>
  <si>
    <t>adolescents; COVID-19 pandemic; oral health; self-report; sleep bruxism</t>
  </si>
  <si>
    <t>PREVALENCE; CHILDREN</t>
  </si>
  <si>
    <t>AimTo evaluate the immediate and late impact of the COVID-19 pandemic on the occurrence of possible sleep bruxism (SB) among adolescents in Brazil.DesignThis is a longitudinal study performed with adolescents (11-15 years old) from Southern Brazil. Baseline data were collected before the Brazilian COVID-19 outbreak (T1). Posteriorly, data were collected after 3 (T2) and 15 months under the Brazilian COVID-19 outbreak. The possible SB was evaluated by the question: 'Do you grind your teeth during your sleep?'. Sociodemographic, psychosocial and clinical variables were also collected. Changes in SB were evaluated by multilevel logistic regression models for repeated measures.ResultsOf the 290 adolescents assessed at T1, 182 were reassessed at both follow-ups. The prevalence of possible SB was 13% at T1, 11% at T2 and 22% at T3. There were no immediate effects of the COVID-19 pandemic on the occurrence of possible SB (T2). Adolescents had odds 2.77 times greater of presented possible SB after 15 months (T3) of COVID-19 pandemic scenarios when compared to T1.ConclusionThere was a considerable and late increase in the possible SB in adolescents in Brazil during the COVID-19 pandemic.</t>
  </si>
  <si>
    <t>[Lito, Marcia Farias Pereira; Noronha, Thais Gioda; Pohl, Marina Blanco; Brondani, Bruna; de Araujo, Gabriela] Univ Fed Santa Maria, Post Grad Program Dent Sci, Santa Maria, Brazil; [Knorst, Jessica Klockner; Ardenghi, Thiago Machado; Tomazoni, Fernanda] Fed Univ Santa Maria UFSM, Sch Dent, Dept Stomatol, Santa Maria, Brazil; [Tomazoni, Fernanda] Univ Fed Santa Maria, Dept Estomatol, Curso Odontol, Av Roraima 1000,Cidade Univ 26F, BR-97015372 Santa Maria, Rio Grande do S, Brazil</t>
  </si>
  <si>
    <t>Universidade Federal de Santa Maria (UFSM); Universidade Federal de Santa Maria (UFSM); Universidade Federal de Santa Maria (UFSM)</t>
  </si>
  <si>
    <t>Tomazoni, F (corresponding author), Univ Fed Santa Maria, Dept Estomatol, Curso Odontol, Av Roraima 1000,Cidade Univ 26F, BR-97015372 Santa Maria, Rio Grande do S, Brazil.</t>
  </si>
  <si>
    <t>fei_tomazoni@hotmail.com</t>
  </si>
  <si>
    <t>Brondani, Bruna/0000-0002-3897-7832; Knorst, Jessica Klockner/0000-0001-7792-8032; de Araujo, Gabriela/0000-0002-2812-3542; ARDENGHI, THIAGO/0000-0002-5109-740X; tomazoni, fernanda/0000-0001-6291-552X</t>
  </si>
  <si>
    <t>The authors would like to thank all the children, their parents and schools that took part in this study, as well as the Health and Education Authorities from Santa Maria, RS, Brazil for all information and authorization.; Health and Education Authorities from Santa Maria, RS, Brazil</t>
  </si>
  <si>
    <t>The authors would like to thank all the children, their parents and schools that took part in this study, as well as the Health and Education Authorities from Santa Maria, RS, Brazil for all information and authorization.</t>
  </si>
  <si>
    <t>1354-523X</t>
  </si>
  <si>
    <t>1601-0825</t>
  </si>
  <si>
    <t>ORAL DIS</t>
  </si>
  <si>
    <t>Oral Dis.</t>
  </si>
  <si>
    <t>10.1111/odi.14714</t>
  </si>
  <si>
    <t>S6JY7</t>
  </si>
  <si>
    <t>WOS:001072218000001</t>
  </si>
  <si>
    <t>Rahavi-Ezabadi, S; Su, YY; Wang, YH; Lin, CW; Chang, CT; Friedman, M; Salapatas, AM; Amali, A; Lin, HC</t>
  </si>
  <si>
    <t>Rahavi-Ezabadi, Sara; Su, Yan-Ye; Wang, Yu-Han; Lin, Chung-Wei; Chang, Chun-Tuan; Friedman, Michael; Salapatas, Anna M.; Amali, Amin; Lin, Hsin-Ching</t>
  </si>
  <si>
    <t>Minimally invasive, single-stage, multilevel surgery for obstructive sleep apnoea: A systematic review and meta-analysis</t>
  </si>
  <si>
    <t>CLINICAL OTOLARYNGOLOGY</t>
  </si>
  <si>
    <t>coblation; obstructive sleep apnoea; pillar implant; radiofrequency surgery; snoring</t>
  </si>
  <si>
    <t>TEMPERATURE-CONTROLLED-RADIOFREQUENCY; UPPER AIRWAY; SOFT PALATE; TONGUE; ADULTS; EFFICACY; IMPLANTS; QUALITY; BASE</t>
  </si>
  <si>
    <t>ObjectivesMinimally invasive, single-staged multilevel surgery (MISS MLS) could be an optimal treatment for selected patients with obstructive sleep apnea (OSA). We aim to systematically review the efficacy of MISS MLS for patients with OSA, as well as the clinical outcomes and possible complications in OSA patients before and after MISS MLS.Design and settingSystematic review and meta-analysis. Six databases were searched, and the PRISMA guideline was followed.ParticipantsPatients with OSA receiving MISS MLS.Main outcome measuresThe random-effects model was adopted for the statistical synthesis. The percentage and 95% confidence interval (CI) were adopted as the effect measurements of MISS MLS for OSA. Subgroup analyses and sensitivity analyses were also performed to identify the heterogeneity among the studies.ResultsThere were initially 154 articles for identification. Eventually, six studies with a total of 848 OSA patients completely met the inclusion criteria and were further enrolled for analysis. The pooled analysis showed statistically significant lower AHI (apnea/hypopnea index, /hr.; mean difference: -8.931, 95% CI: -11.591 to -6.271, I2 = 87.4%), ESS (mean difference: -2.947, 95% CI: -4.465 to -1.429, I2 = 94.9%), and snoring severity with 0-10 visual analog scale after surgery (mean difference: -4.966, 95% CI: -5.804 to -4.128, I2 = 96.4%). The success rate was 46% in mild/moderate OSA; however, 18% in severe OSA. There were no major complications occurred.ConclusionsThe acceptable surgical outcomes, esp. in mild/moderate OSA, and rare complications are the major advantages of MISS MLS. The evidence of this study could aid the decision making in selecting suitable treatment programs for OSA patients.</t>
  </si>
  <si>
    <t>[Rahavi-Ezabadi, Sara] Univ Tehran Med Sci, Otorhinolaryngol Res Ctr, Childrens Med Ctr, Otorhinolaryngol Head &amp; Neck Surg Dept, Tehran, Iran; [Su, Yan-Ye; Lin, Chung-Wei; Lin, Hsin-Ching] Kaohsiung Chang Gung Mem Hosp, Dept Otolaryngol, Kaohsiung, Taiwan; [Su, Yan-Ye; Lin, Hsin-Ching] Kaohsiung Chang Gung Mem Hosp, Sleep Ctr, Kaohsiung, Taiwan; [Su, Yan-Ye; Lin, Hsin-Ching] Kaohsiung Chang Gung Mem Hosp, Robot Surg Ctr, Kaohsiung, Taiwan; [Wang, Yu-Han] Kaohsiung Med Univ, Coll Med, Sch Med, Kaohsiung, Taiwan; [Lin, Chung-Wei] Kaohsiung Chang Gung Mem Hosp, Dept Educ, Kaohsiung, Taiwan; [Chang, Chun-Tuan; Lin, Hsin-Ching] Natl Sun Yat Sen Univ, Inst Healthcare Management, Inst Biomed Sci, Dept Business Management, Kaohsiung, Taiwan; [Friedman, Michael] Rush Univ, Dept Otolaryngol, Div Sleep Surg, Med Ctr, Chicago, IL USA; [Friedman, Michael; Salapatas, Anna M.] Advocate Illinois Masonic Med Ctr, Dept Otolaryngol, Adv Ctr Specialty Care, Chicago, IL USA; [Amali, Amin] Univ Tehran Med Sci, Sleep Breathing Disorders Res Ctr SBDRC, Occupat Sleep Res Ctr OSRC, Otorhinolaryngol Res Ctr,Otorhinolaryngol Head &amp; N, Tehran, Iran; [Lin, Hsin-Ching] Kaohsiung Chang Gung Mem Hosp, Ctr Qual Management, Kaohsiung, Taiwan; [Lin, Hsin-Ching] Chang Gung Univ, Coll Med, Taoyuan, Taiwan; [Lin, Hsin-Ching] Kaohsiung Chang Gung Mem Hosp, Sleep Ctr, Robot Surg Ctr, Dept Otolaryngol, 123 Ta Pei Rd, Kaohsiung 833, Taiwan; [Lin, Hsin-Ching] Kaohsiung Chang Gung Mem Hosp, Ctr Qual Management, 123 Ta Pei Rd, Kaohsiung 833, Taiwan</t>
  </si>
  <si>
    <t>Tehran University of Medical Sciences; Chang Gung Memorial Hospital; Chang Gung Memorial Hospital; Chang Gung Memorial Hospital; Kaohsiung Medical University; Chang Gung Memorial Hospital; National Sun Yat Sen University; Rush University; Tehran University of Medical Sciences; Chang Gung Memorial Hospital; Chang Gung University; Chang Gung Memorial Hospital; Chang Gung Memorial Hospital</t>
  </si>
  <si>
    <t>Lin, HC (corresponding author), Kaohsiung Chang Gung Mem Hosp, Sleep Ctr, Robot Surg Ctr, Dept Otolaryngol, 123 Ta Pei Rd, Kaohsiung 833, Taiwan.;Lin, HC (corresponding author), Kaohsiung Chang Gung Mem Hosp, Ctr Qual Management, 123 Ta Pei Rd, Kaohsiung 833, Taiwan.</t>
  </si>
  <si>
    <t>hclin@adm.cgmh.org.tw</t>
  </si>
  <si>
    <t>The authors thank the research grant from the Ministry of Science and Technology (MOST 110-2314-B-182A-124-MY3), Taiwan. [MOST 110-2314-B-182A-124-MY3]; Ministry of Science and Technology</t>
  </si>
  <si>
    <t>The authors thank the research grant from the Ministry of Science and Technology (MOST 110-2314-B-182A-124-MY3), Taiwan.; Ministry of Science and Technology(Ministry of Science, ICT &amp; Future Planning, Republic of KoreaSpanish Government)</t>
  </si>
  <si>
    <t>The authors thank the research grant from the Ministry of Science and Technology (MOST 110-2314-B-182A-124-MY3), Taiwan.</t>
  </si>
  <si>
    <t>1749-4478</t>
  </si>
  <si>
    <t>1749-4486</t>
  </si>
  <si>
    <t>CLIN OTOLARYNGOL</t>
  </si>
  <si>
    <t>Clin. Otolaryngol.</t>
  </si>
  <si>
    <t>10.1111/coa.14098</t>
  </si>
  <si>
    <t>Otorhinolaryngology</t>
  </si>
  <si>
    <t>S4QQ7</t>
  </si>
  <si>
    <t>WOS:001071033500001</t>
  </si>
  <si>
    <t>Vikram, MV; Yadav, MD</t>
  </si>
  <si>
    <t>Vikram, M. V.; Yadav, Manishkumar D.</t>
  </si>
  <si>
    <t>Recent Advancements in Continuous Crystallization of Proteins</t>
  </si>
  <si>
    <t>CRYSTAL RESEARCH AND TECHNOLOGY</t>
  </si>
  <si>
    <t>continuous; crystallization; insulin; lysozyme; protein</t>
  </si>
  <si>
    <t>OSCILLATORY FLOW; CRYSTAL SHAPE; LYSOZYME; NUCLEATION; INSULIN; BATCH</t>
  </si>
  <si>
    <t>Recently, there have been many studies and reports on various continuous protein crystallization processes. Due to the increasing demand for pharmaceutical proteins such as insulin and monoclonal antibodies, it has become essential to optimize the current industrial processes to meet these demands. There are various comparisons to be made between current batch crystallization processes and continuous processes for proteins. This review paper aims to review the recent advancements in continuous protein crystallization processes, such as slug flow crystallizers, oscillatory baffled crystallizers, and mixed suspension mixed product removal (MSMPR) crystallizers. Continuous crystallization of proteins is a crucial step in the rapid development of drugs and understanding the molecular mechanisms of various biological processes. Continuous crystallization is a valuable tool for advancing structural biology and drug development research by producing high-quality protein crystals. It offers several advantages over batch crystallization, such as high throughput, uniform product characteristics, and amenable scale-up.image</t>
  </si>
  <si>
    <t>[Vikram, M. V.; Yadav, Manishkumar D.] Inst Chem Technol, Dept Chem Engn, Mumbai 400019, India</t>
  </si>
  <si>
    <t>Institute of Chemical Technology - Mumbai</t>
  </si>
  <si>
    <t>Yadav, MD (corresponding author), Inst Chem Technol, Dept Chem Engn, Mumbai 400019, India.</t>
  </si>
  <si>
    <t>md.yadav@ictmumbai.edu.in</t>
  </si>
  <si>
    <t>Authors wish to thank Institute of Chemical Technology Mumbai India for supporting the work.; Institute of Chemical Technology Mumbai India</t>
  </si>
  <si>
    <t>Authors wish to thank Institute of Chemical Technology Mumbai India for supporting the work.</t>
  </si>
  <si>
    <t>0232-1300</t>
  </si>
  <si>
    <t>1521-4079</t>
  </si>
  <si>
    <t>CRYST RES TECHNOL</t>
  </si>
  <si>
    <t>Cryst. Res. Technol.</t>
  </si>
  <si>
    <t>10.1002/crat.202300070</t>
  </si>
  <si>
    <t>Crystallography</t>
  </si>
  <si>
    <t>S4PP2</t>
  </si>
  <si>
    <t>WOS:001071005900001</t>
  </si>
  <si>
    <t>Yin, XM; Li, SS; Guo, K; Song, L; Wang, XL</t>
  </si>
  <si>
    <t>Yin, Xuemei; Li, Shanshan; Guo, Kun; Song, Lei; Wang, Xiaoling</t>
  </si>
  <si>
    <t>Palladium-Catalyzed Enantioselective Hydrofunctionalization of Alkenes: Recent Advances</t>
  </si>
  <si>
    <t>Palladium catalyzed; Hydrofunctionalization; Alkenes; Asymmetric</t>
  </si>
  <si>
    <t>CROSS-COUPLING REACTIONS; HECK-TYPE HYDROARYLATION; ASYMMETRIC HYDROSILYLATION; INTERMOLECULAR HYDROAMINATION; ARYL OLEFINS; COMPLEXES; HYDROESTERIFICATION; FUNCTIONALIZATION; MARKOVNIKOV; NORBORNENE</t>
  </si>
  <si>
    <t>Palladium-catalyzed asymmetric hydrofunctionalization of alkenes is one of the most powerful and straightforward methods to forge a new C-H bond and a new C-X (X=C, N, O, F, Si etc) bond, which provides an efficient way to obtain valuable enantioenriched molecules from cheap and readily available feedstocks. Catalytic asymmetric hydrofunctionalization of simple alkenes is challenging but still highly sought after. This review will mainly focus on the recent advances in Palladium catalyzed asymmetric hydrofunctionalization of alkenes over the past decade, including hydroamination, hydrooxygenation, hydrofluorination, hydrosilylation, hydroarylation, hydroalkenylation and hydrocarbonylation. Asymmetric hydrofunctionalization of alkenes represents a powerful method to obtain valuable enantioenriched molecules from cheap and readily available materials. In this review, the recent advances in Palladium catalyzed asymmetric hydrofunctionalization of alkenes covering mainly contributions over the past decade are summarized. The remained challenges and opportunities in this field are also discussed.image</t>
  </si>
  <si>
    <t>[Yin, Xuemei; Li, Shanshan; Guo, Kun; Song, Lei; Wang, Xiaoling] Southwest Minzu Univ, Sch Pharm, Chengdu 610225, Sichuan, Peoples R China</t>
  </si>
  <si>
    <t>Southwest Minzu University</t>
  </si>
  <si>
    <t>Yin, XM (corresponding author), Southwest Minzu Univ, Sch Pharm, Chengdu 610225, Sichuan, Peoples R China.</t>
  </si>
  <si>
    <t>ucasyinxm@163.com</t>
  </si>
  <si>
    <t>The authors thank the financial supported by the Fundamental Research Funds for the Central Universities, Southwest Minzu University (2021NQNCZ19). The authors also thank Professor Jian Liao (Chengdu Institute of Biology, Chinese Academy of Sciences) for h [2021NQNCZ19]; Fundamental Research Funds for the Central Universities, Southwest Minzu University</t>
  </si>
  <si>
    <t>The authors thank the financial supported by the Fundamental Research Funds for the Central Universities, Southwest Minzu University (2021NQNCZ19). The authors also thank Professor Jian Liao (Chengdu Institute of Biology, Chinese Academy of Sciences) for h; Fundamental Research Funds for the Central Universities, Southwest Minzu University</t>
  </si>
  <si>
    <t>The authors thank the financial supported by the Fundamental Research Funds for the Central Universities, Southwest Minzu University (2021NQNCZ19). The authors also thank Professor Jian Liao (Chengdu Institute of Biology, Chinese Academy of Sciences) for his constructive suggestions on this manuscript.</t>
  </si>
  <si>
    <t>10.1002/ejoc.202300783</t>
  </si>
  <si>
    <t>S4PN9</t>
  </si>
  <si>
    <t>WOS:001071004600001</t>
  </si>
  <si>
    <t>Zhou, R; Li, XZ; Wan, L; Niu, HH; Wang, H; Yang, X; Wang, XZ; Hou, JW; Xu, JZ; Xu, BM</t>
  </si>
  <si>
    <t>Zhou, Ru; Li, Xiaozhang; Wan, Lei; Niu, Haihong; Wang, Huan; Yang, Xi; Wang, Xingzhu; Hou, Jiwei; Xu, Jinzhang; Xu, Baomin</t>
  </si>
  <si>
    <t>Bulk Heterojunction Antimony Selenosulfide Thin-Film Solar Cells with Efficient Charge Extraction and Suppressed Recombination</t>
  </si>
  <si>
    <t>ADVANCED FUNCTIONAL MATERIALS</t>
  </si>
  <si>
    <t>bulk heterojunction; CdS nanorod arrays; O-doping strategy; Sb-2(S, Se)(3); solar cells</t>
  </si>
  <si>
    <t>CDS NANORODS; ENHANCEMENT; ARRAY</t>
  </si>
  <si>
    <t>As an emerging earth-abundant light harvesting material, antimony selenosulfide (Sb-2(S,Se)(3)) has received tremendous attention for photovoltaics. Manipulating the carrier separation and recombination processes is critical to achieve high device efficiency. Compared to the conventional planar heterojunction (PHJ), the bulk heterojunction (BHJ) configuration affords great potential to enable efficient charge extraction. In this work, BHJ Sb-2(S,Se)(3) solar cells are constructed based on CdS nanorod arrays (NRAs). Highly ordered CdS NRAs with appropriate nanorod lengths and diameters are obtained by regulating the growth environment and screening different substrates for CdS deposition. A low-temperature oxygen doping strategy implemented on CdS NRAs is further developed to improve the optoelectronic and defect properties as well as form a favorable cascade band structure for CdS NRAs, so as to realize more efficient charge extraction and suppressed recombination at the heterointerface. As a result, the CdS NRAs-based superstrated BHJ Sb-2(S,Se)(3) solar cell yields a considerable power conversion efficiency of 8.04%, outperforming that of the PHJ device. A careful comparative study of PHJ and BHJ based on electrostatic field simulations indicates that the BHJ allows more efficient charge extraction and transport. This work highlights the great potential of BHJ configuration for constructing high-performance antimony chalcogenide solar cells.</t>
  </si>
  <si>
    <t>[Zhou, Ru; Li, Xiaozhang; Wan, Lei; Niu, Haihong; Wang, Huan; Yang, Xi; Xu, Jinzhang] Hefei Univ Technol, Sch Elect &amp; Automat Engn, Hefei 230009, Peoples R China; [Zhou, Ru] Univ Oxford, Dept Chem, Inorgan Chem Lab, South Pk Rd, Oxford OX1 3QR, England; [Wang, Xingzhu; Xu, Baomin] Southern Univ Sci &amp; Technol, Dept Mat Sci &amp; Engn, Shenzhen 518055, Peoples R China; [Hou, Jiwei] Nanjing Tech Univ, Sch Phys &amp; Math Sci, State Key Lab Mat Oriented Chem Engn, Nanjing 211816, Jiangsu, Peoples R China</t>
  </si>
  <si>
    <t>Hefei University of Technology; University of Oxford; Southern University of Science &amp; Technology; Nanjing Tech University</t>
  </si>
  <si>
    <t>Zhou, R; Wan, L (corresponding author), Hefei Univ Technol, Sch Elect &amp; Automat Engn, Hefei 230009, Peoples R China.;Zhou, R (corresponding author), Univ Oxford, Dept Chem, Inorgan Chem Lab, South Pk Rd, Oxford OX1 3QR, England.;Xu, BM (corresponding author), Southern Univ Sci &amp; Technol, Dept Mat Sci &amp; Engn, Shenzhen 518055, Peoples R China.</t>
  </si>
  <si>
    <t>zhouru@hfut.edu.cn; leiwan@hfut.edu.cn; xu.bm@sustech.edu.cn</t>
  </si>
  <si>
    <t>The financial support by the National Natural Science Foundation of China (nos. 52371219 and U19A2089), the National Natural Science Foundation of Anhui Province (no. 2108085ME147), and the National Natural Science Foundation of Hefei City (no. 2022024), a [52002170]; National Natural Science Foundation of China [2108085ME147]; National Natural Science Foundation of Anhui Province [2022024]; National Natural Science Foundation of Hefei City [PA2021KCPY0036]; Fundamental Research Funds for the Central Universities [BK20190687]; Natural Science Foundation of Jiangsu Province [KL19-03]; State Key Laboratory of Materials-Oriented Chemical Engineering</t>
  </si>
  <si>
    <t>The financial support by the National Natural Science Foundation of China (nos. 52371219 and U19A2089), the National Natural Science Foundation of Anhui Province (no. 2108085ME147), and the National Natural Science Foundation of Hefei City (no. 2022024), a; National Natural Science Foundation of China(National Natural Science Foundation of China (NSFC)); National Natural Science Foundation of Anhui Province; National Natural Science Foundation of Hefei City; Fundamental Research Funds for the Central Universities(Fundamental Research Funds for the Central Universities); Natural Science Foundation of Jiangsu Province(Natural Science Foundation of Jiangsu Province); State Key Laboratory of Materials-Oriented Chemical Engineering</t>
  </si>
  <si>
    <t>The financial support by the National Natural Science Foundation of China (nos. 52371219 and U19A2089), the National Natural Science Foundation of Anhui Province (no. 2108085ME147), and the National Natural Science Foundation of Hefei City (no. 2022024), and the Fundamental Research Funds for the Central Universities (no. PA2021KCPY0036) is acknowledged. J.W.H. acknowledges funding from the National Natural Science Foundation of China (no. 52002170), the Natural Science Foundation of Jiangsu Province (no. BK20190687), and the State Key Laboratory of Materials-Oriented Chemical Engineering (no. KL19-03).</t>
  </si>
  <si>
    <t>1616-301X</t>
  </si>
  <si>
    <t>1616-3028</t>
  </si>
  <si>
    <t>ADV FUNCT MATER</t>
  </si>
  <si>
    <t>Adv. Funct. Mater.</t>
  </si>
  <si>
    <t>10.1002/adfm.202308021</t>
  </si>
  <si>
    <t>S8OY7</t>
  </si>
  <si>
    <t>WOS:001073719500001</t>
  </si>
  <si>
    <t>Anneberg, TJ; Turcotte, MM; Ashman, TL</t>
  </si>
  <si>
    <t>Anneberg, Thomas J.; Turcotte, Martin M.; Ashman, Tia-Lynn</t>
  </si>
  <si>
    <t>Plant neopolyploidy and genetic background differentiate the microbiome of duckweed across a variety of natural freshwater sources</t>
  </si>
  <si>
    <t>MOLECULAR ECOLOGY</t>
  </si>
  <si>
    <t>Araceae; microbial community assembly; plant-microbe symbiosis; synthetic polyploidy; whole-genome duplication</t>
  </si>
  <si>
    <t>POLYPLOIDY; ESTABLISHMENT; COMMUNITY; MODEL; RHIZOSPHERE; PACKAGE; GROWTH; FORCE</t>
  </si>
  <si>
    <t>Whole-genome duplication has long been appreciated for its role in driving phenotypic novelty in plants, often altering the way organisms interface with the abiotic environment. Only recently, however, have we begun to investigate how polyploidy influences interactions of plants with other species, despite the biotic niche being predicted as one of the main determinants of polyploid establishment. Nevertheless, we lack information about how polyploidy affects the diversity and composition of the microbial taxa that colonize plants, and whether this is genotype-dependent and repeatable across natural environments. This information is a first step towards understanding whether the microbiome contributes to polyploid establishment. We, thus, tested the immediate effect of polyploidy on the diversity and composition of the bacterial microbiome of the aquatic plant Spirodela polyrhiza using four pairs of diploids and synthetic autotetraploids. Under controlled conditions, axenic plants were inoculated with pond waters collected from 10 field sites across a broad environmental gradient. Autotetraploids hosted 4%-11% greater bacterial taxonomic and phylogenetic diversity than their diploid progenitors. Polyploidy, along with its interactions with the inoculum source and genetic lineage, collectively explained 7% of the total variation in microbiome composition. Furthermore, polyploidy broadened the core microbiome, with autotetraploids having 15 unique bacterial taxa in addition to the 55 they shared with diploids. Our results show that whole-genome duplication directly leads to novelty in the plant microbiome and importantly that the effect is dependent on the genetic ancestry of the polyploid and generalizable over many environmental contexts.</t>
  </si>
  <si>
    <t>[Anneberg, Thomas J.; Turcotte, Martin M.; Ashman, Tia-Lynn] Univ Pittsburgh, Dept Biol Sci, Pittsburgh, PA 15260 USA</t>
  </si>
  <si>
    <t>Pennsylvania Commonwealth System of Higher Education (PCSHE); University of Pittsburgh</t>
  </si>
  <si>
    <t>Anneberg, TJ; Ashman, TL (corresponding author), Univ Pittsburgh, Dept Biol Sci, Pittsburgh, PA 15260 USA.</t>
  </si>
  <si>
    <t>tjanneberg@gmail.com; tia1@pitt.edu</t>
  </si>
  <si>
    <t>Turcotte, Martin/0000-0003-3949-6958</t>
  </si>
  <si>
    <t>We thank Elizabeth Oamp;apos;Neill for the generation and maintenance of the synthetic neopolyploid lineages, Jason Simmons for assistance in field collection and media preparation and Nevin Cullen for feedback on experimental design and data analysis. Th; Dietrich School of Arts amp;amp; Sciences [2109452, 2027604, 1912180, 1935410]; National Science Foundation</t>
  </si>
  <si>
    <t>We thank Elizabeth Oamp;apos;Neill for the generation and maintenance of the synthetic neopolyploid lineages, Jason Simmons for assistance in field collection and media preparation and Nevin Cullen for feedback on experimental design and data analysis. Th; Dietrich School of Arts amp;amp; Sciences; National Science Foundation(National Science Foundation (NSF))</t>
  </si>
  <si>
    <t>We thank Elizabeth O &amp; apos;Neill for the generation and maintenance of the synthetic neopolyploid lineages, Jason Simmons for assistance in field collection and media preparation and Nevin Cullen for feedback on experimental design and data analysis. This project was supported by the Dietrich School of Arts &amp; amp; Sciences and grants from the National Science Foundation (#2109452 to T.J.A., #2027604 &amp; amp; 1912180 to T-L.A. and #1935410 to M.M.T.).</t>
  </si>
  <si>
    <t>0962-1083</t>
  </si>
  <si>
    <t>1365-294X</t>
  </si>
  <si>
    <t>MOL ECOL</t>
  </si>
  <si>
    <t>Mol. Ecol.</t>
  </si>
  <si>
    <t>2023 SEP 26</t>
  </si>
  <si>
    <t>10.1111/mec.17142</t>
  </si>
  <si>
    <t>Biochemistry &amp; Molecular Biology; Ecology; Evolutionary Biology</t>
  </si>
  <si>
    <t>Biochemistry &amp; Molecular Biology; Environmental Sciences &amp; Ecology; Evolutionary Biology</t>
  </si>
  <si>
    <t>S3PF7</t>
  </si>
  <si>
    <t>WOS:001070315000001</t>
  </si>
  <si>
    <t>Cao, JY; Li, DC; Young, VR; Zou, B</t>
  </si>
  <si>
    <t>Cao, Jingyi; Li, Dongchen; Young, Virginia R.; Zou, Bin</t>
  </si>
  <si>
    <t>Equilibrium reporting strategy: Two rate classes and full insurance</t>
  </si>
  <si>
    <t>bonus-malus system; intra-personal game; moral hazard; Nash equilibrium; underreporting losses</t>
  </si>
  <si>
    <t>MORAL HAZARD; ADVERSE SELECTION; CONTRACTS; ECONOMICS</t>
  </si>
  <si>
    <t>We propose a multiperiod insurance model under a bonus-malus system with two rate classes and consider an insured who has purchased full insurance for her losses. To explore the potential advantage of underreporting her insurable losses, the insured follows a barrier strategy and only reports lossses above the barrier to the insurer. We obtain a unique equilibrium declaration strategy in closed form for a risk-neutral insured who maximizes her expected wealth, and in semiclosed form for a risk-averse insured who maximizes her expected exponential utility of wealth, both over an exogenous random horizon. We find that the equilibrium barriers for the two classes are equal and strictly greater than zero, offering a theoretical explanation for the underreporting of insurable losses, a form of ex post moral hazard. Finally, we consider the case of three rate classes and show, through numerical examples, that the equilibrium barriers are not equal.</t>
  </si>
  <si>
    <t>[Cao, Jingyi; Li, Dongchen] York Univ, Dept Math &amp; Stat, Toronto, ON, Canada; [Young, Virginia R.] Univ Michigan, Dept Math, Ann Arbor, MI 48109 USA; [Zou, Bin] Univ Connecticut, Dept Math, Storrs, CT USA</t>
  </si>
  <si>
    <t>York University - Canada; University of Michigan System; University of Michigan; University of Connecticut</t>
  </si>
  <si>
    <t>Young, VR (corresponding author), Univ Michigan, Dept Math, Ann Arbor, MI 48109 USA.</t>
  </si>
  <si>
    <t>vryoung@umich.edu</t>
  </si>
  <si>
    <t>We are grateful to two anonymous reviewers for their constructive comments and to Joan Schmit for her editorial suggestions. Jingyi Cao and Dongchen Li acknowledge the financial support from the Natural Sciences and Engineering Research Council of Canada ( [05061, 04958]; Natural Sciences and Engineering Research Council of Canada; Cecil J. and Ethel M. Nesbitt Professorship</t>
  </si>
  <si>
    <t>We are grateful to two anonymous reviewers for their constructive comments and to Joan Schmit for her editorial suggestions. Jingyi Cao and Dongchen Li acknowledge the financial support from the Natural Sciences and Engineering Research Council of Canada (; Natural Sciences and Engineering Research Council of Canada(Natural Sciences and Engineering Research Council of Canada (NSERC)CGIAR); Cecil J. and Ethel M. Nesbitt Professorship</t>
  </si>
  <si>
    <t>We are grateful to two anonymous reviewers for their constructive comments and to Joan Schmit for her editorial suggestions. Jingyi Cao and Dongchen Li acknowledge the financial support from the Natural Sciences and Engineering Research Council of Canada (grant numbers 05061 and 04958, respectively). V. R. Young thanks the Cecil J. and Ethel M. Nesbitt Professorship for financial support of her research.</t>
  </si>
  <si>
    <t>10.1111/jori.12451</t>
  </si>
  <si>
    <t>S3SF4</t>
  </si>
  <si>
    <t>WOS:001070394200001</t>
  </si>
  <si>
    <t>Choi, H; Seo, S; Yoon, CJ; Ahn, JB; Kim, CS; Jung, YS; Kim, Y; Toma, FM; Kim, H; Lee, SH</t>
  </si>
  <si>
    <t>Choi, Hojoong; Seo, Sehun; Yoon, Chang Jae; Ahn, Jae-Bin; Kim, Chan-Sol; Jung, Yoonsung; Kim, Yejoon; Toma, Francesca; Kim, Heejoo; Lee, Sanghan</t>
  </si>
  <si>
    <t>Organometal Halide Perovskite-Based Photoelectrochemical Module Systems for Scalable Unassisted Solar Water Splitting</t>
  </si>
  <si>
    <t>ADVANCED SCIENCE</t>
  </si>
  <si>
    <t>organometal halide perovskite; photoelectrochemical water splitting; unassisted solar water splitting; scalable; module</t>
  </si>
  <si>
    <t>COST SB2SE3 PHOTOCATHODES; ELECTROCATALYSTS</t>
  </si>
  <si>
    <t>Despite achievements in the remarkable photoelectrochemical (PEC) performance of photoelectrodes based on organometal halide perovskites (OHPs), the scaling up of small-scale OHP-based PEC systems to large-scale systems remains a great challenge for their practical application in solar water splitting. Significant resistive losses and intrinsic defects are major obstacles to the scaling up of OHP-based PEC systems, leading to the PEC performance degradation of large-scale OHP photoelectrodes. Herein, a scalable design of the OHP-based PEC systems by modularization of the optimized OHP photoelectrodes exhibiting a high solar-to-hydrogen conversion efficiency of 10.4% is suggested. As a proof-of-concept, the OHP-based PEC module achieves an optimal PEC performance by avoiding major obstacles in the scaling up of the OHP photoelectrodes. The constructed OHP module is composed of a total of 16 OHP photoelectrodes, and a photocurrent of 11.52 mA is achieved under natural sunlight without external bias. The successful operation of unassisted solar water splitting using the OHP module without external bias can provide insights into the design of scalable OHP-based PEC systems for future practical application and commercialization. Organometal halide perovskite (OHP)-based photoelectrochemical (PEC) module is introduced as a new approach for scalable design of OHP-based PEC system and characterized under outdoor conditions for real-world verification in this study. The 4 cm2 active area of OHP PEC module exhibits a photocurrent of 11.52 mA without external bias under natural sunlight.image</t>
  </si>
  <si>
    <t>[Choi, Hojoong; Jung, Yoonsung; Kim, Yejoon; Lee, Sanghan] Gwangju Inst Sci &amp; Technol, Sch Mat Sci &amp; Engn, Gwangju 61005, South Korea; [Seo, Sehun; Toma, Francesca] Lawrence Berkeley Natl Lab, Chem Sci Div, 1 Cyclotron Rd, Berkeley, CA 94720 USA; [Seo, Sehun; Toma, Francesca] Lawrence Berkeley Natl Lab, Liquid Sunlight Alliance, 1 Cyclotron Rd, Berkeley, CA 94720 USA; [Seo, Sehun; Toma, Francesca] Helmholtz Zent Hereon, Inst Funct Mat Sustainabil, Kantstr 55, D-14513 Teltow, Germany; [Yoon, Chang Jae; Ahn, Jae-Bin; Kim, Chan-Sol; Kim, Heejoo] Gwangju Inst Sci &amp; Technol, Res Inst Solar &amp; Sustainable Energies, Gwangju 61005, South Korea; [Kim, Heejoo] Gwangju Inst Sci &amp; Technol, Inst Integrated Technol, Grad Sch Energy Convergence, Gwangju 61005, South Korea; [Lee, Sanghan] Gwangju Inst Sci &amp; Technol, Res Ctr Innovat Energy &amp; Carbon Optimized Synth Ch, Gwangju 61005, South Korea</t>
  </si>
  <si>
    <t>Gwangju Institute of Science &amp; Technology (GIST); United States Department of Energy (DOE); Lawrence Berkeley National Laboratory; United States Department of Energy (DOE); Lawrence Berkeley National Laboratory; Gwangju Institute of Science &amp; Technology (GIST); Gwangju Institute of Science &amp; Technology (GIST); Gwangju Institute of Science &amp; Technology (GIST)</t>
  </si>
  <si>
    <t>Lee, SH (corresponding author), Gwangju Inst Sci &amp; Technol, Sch Mat Sci &amp; Engn, Gwangju 61005, South Korea.;Kim, H (corresponding author), Gwangju Inst Sci &amp; Technol, Res Inst Solar &amp; Sustainable Energies, Gwangju 61005, South Korea.;Kim, H (corresponding author), Gwangju Inst Sci &amp; Technol, Inst Integrated Technol, Grad Sch Energy Convergence, Gwangju 61005, South Korea.;Lee, SH (corresponding author), Gwangju Inst Sci &amp; Technol, Res Ctr Innovat Energy &amp; Carbon Optimized Synth Ch, Gwangju 61005, South Korea.</t>
  </si>
  <si>
    <t>heejook@gist.ac.kr; sanghan@gist.ac.kr</t>
  </si>
  <si>
    <t>Toma, Francesca Maria/0000-0003-2332-0798</t>
  </si>
  <si>
    <t>H.C. and S.S. contributed equally to this work. This study was supported by the program of Future Hydrogen Original Technology Development of the National Research Foundation (NRF) of Korea funded by the MSIT (grant no. 2021M3I3A1084747); by the NRF of Kor [2021M3I3A1084747]; program of Future Hydrogen Original Technology Development of the National Research Foundation (NRF) of Korea - MSIT [2021R1A5A1028138]; NRF of Korea - MSIT; GIST Research Institute (GRI); (RISE) - GIST</t>
  </si>
  <si>
    <t>H.C. and S.S. contributed equally to this work. This study was supported by the program of Future Hydrogen Original Technology Development of the National Research Foundation (NRF) of Korea funded by the MSIT (grant no. 2021M3I3A1084747); by the NRF of Kor; program of Future Hydrogen Original Technology Development of the National Research Foundation (NRF) of Korea - MSIT; NRF of Korea - MSIT(National Research Foundation of KoreaMinistry of Science &amp; ICT (MSIT), Republic of Korea); GIST Research Institute (GRI); (RISE) - GIST</t>
  </si>
  <si>
    <t>H.C. and S.S. contributed equally to this work. This study was supported by the program of Future Hydrogen Original Technology Development of the National Research Foundation (NRF) of Korea funded by the MSIT (grant no. 2021M3I3A1084747); by the NRF of Korea grant funded by the MSIT (grant no. 2021R1A5A1028138). H.K. was supported by the GIST Research Institute (GRI, RISE) via a grant funded by the GIST in 2023.</t>
  </si>
  <si>
    <t>2198-3844</t>
  </si>
  <si>
    <t>ADV SCI</t>
  </si>
  <si>
    <t>Adv. Sci.</t>
  </si>
  <si>
    <t>10.1002/advs.202303106</t>
  </si>
  <si>
    <t>Chemistry, Multidisciplinary; Nanoscience &amp; Nanotechnology; Materials Science, Multidisciplinary</t>
  </si>
  <si>
    <t>Chemistry; Science &amp; Technology - Other Topics; Materials Science</t>
  </si>
  <si>
    <t>S4GI0</t>
  </si>
  <si>
    <t>WOS:001070763900001</t>
  </si>
  <si>
    <t>Elhossini, RM; Sayed, IM; Hellal, US; Mahmoud, SAM; Aglan, MS; Hassib, NF; Abdel-Hamid, MS</t>
  </si>
  <si>
    <t>Elhossini, Rasha M.; Sayed, Inas M.; Hellal, Usama Saad; Mahmoud, Sarah A. M.; Aglan, Mona S.; Hassib, Nehal F.; Abdel-Hamid, Mohamed S.</t>
  </si>
  <si>
    <t>A recurrent KCNK4 variant in a dominant pedigree with hypertrichosis and gingival fibromatosis syndrome: Variable phenotypic expressivity and insights on patients &amp; apos; dental management</t>
  </si>
  <si>
    <t>AMERICAN JOURNAL OF MEDICAL GENETICS PART A</t>
  </si>
  <si>
    <t>epilepsy; gingival fibromatosis; hypertrichosis; intellectual/developmental delay; KCNK4</t>
  </si>
  <si>
    <t>MUTATION; TRAAK</t>
  </si>
  <si>
    <t>Abnormal hyperpolarization of the KCNK4 gene, expressed in the nervous system, brain, and periodontal ligament fibroblasts, leads to impaired neurotransmitter sensitivity, cardiac arrhythmias, and endocrine dysfunction, as well as, progressive cell proliferation. De novo gain of function variants in the KCNK4 gene were reported to cause a recognizable syndrome characterized by facial dysmorphism, hypertrichosis, epilepsy, intellectual/developmental delay, and gingival overgrowth (FHEIG, OMIM# 618381). FHEIG is extremely rare with only three reported cases in the literature. Herein, we describe the first inherited KCNK4 variant (c.730G&gt;C, p.Ala244Pro) in an Egyptian boy and his mother. Variable phenotypic expressivity was noted as the patient presented with the full-blown picture of the syndrome while the mother presented only with hypertrichosis and gingival overgrowth without any neurological manifestations. The c.730G&gt;C (p.Ala244Pro) variant was described before in a single patient and when comparing the phenotype with our patient, a phenotype-genotype correlation seems likely. Atrial fibrillation and joint laxity are new associated findings noted in our patient extending the clinical phenotype of the syndrome. Dental management was offered to the affected boy and a dramatic improvement was noted as the patient regained his smile, restored the mastication function, and resumed his psychological stability.</t>
  </si>
  <si>
    <t>[Elhossini, Rasha M.; Aglan, Mona S.] Natl Res Ctr, Human Genet &amp; Genome Res Inst, Clin Genet Dept, Cairo, Egypt; [Sayed, Inas M.; Hellal, Usama Saad; Hassib, Nehal F.] Natl Res Ctr, Human Genet &amp; Genome Res Inst, Orodental Genet Dept, Cairo, Egypt; [Mahmoud, Sarah A. M.] Cairo Univ, Fac Dent, Oral &amp; Maxillofacial Pathol Dept, Cairo, Egypt; [Hassib, Nehal F.] New Giza Univ, Sch Dent, Giza, Egypt; [Abdel-Hamid, Mohamed S.] Natl Res Ctr, Human Genet &amp; Genome Res Inst, Med Mol Genet Dept, El Tahrir St, Cairo, Egypt</t>
  </si>
  <si>
    <t>Egyptian Knowledge Bank (EKB); National Research Centre (NRC); Egyptian Knowledge Bank (EKB); National Research Centre (NRC); Egyptian Knowledge Bank (EKB); Cairo University; Newgiza University (NGU); Egyptian Knowledge Bank (EKB); National Research Centre (NRC)</t>
  </si>
  <si>
    <t>Abdel-Hamid, MS (corresponding author), Natl Res Ctr, Human Genet &amp; Genome Res Inst, Med Mol Genet Dept, El Tahrir St, Cairo, Egypt.</t>
  </si>
  <si>
    <t>mohamadnrc@hotmail.com</t>
  </si>
  <si>
    <t>; Sayed, Inas/N-2685-2018</t>
  </si>
  <si>
    <t>Hassib, Nehal/0000-0001-8902-9018; Sayed, Inas/0000-0001-8028-8566; Abdel-Hamid, Mohamed/0000-0002-2480-0147; elhossini, rasha/0000-0003-1498-6619</t>
  </si>
  <si>
    <t>Our gratitude is extended to our dear friend the late Dr. Ahmad F. Abdel-Azeem who planned and contributed in the dental surgical procedure and passed away before accomplishing the article.</t>
  </si>
  <si>
    <t>1552-4825</t>
  </si>
  <si>
    <t>1552-4833</t>
  </si>
  <si>
    <t>AM J MED GENET A</t>
  </si>
  <si>
    <t>Am. J. Med. Genet. A</t>
  </si>
  <si>
    <t>10.1002/ajmg.a.63415</t>
  </si>
  <si>
    <t>S5LR3</t>
  </si>
  <si>
    <t>WOS:001071585300001</t>
  </si>
  <si>
    <t>Kim, D; Lim-Soh, J</t>
  </si>
  <si>
    <t>Kim, Dahye; Lim-Soh, Jeremy</t>
  </si>
  <si>
    <t>Between-sibling inequality in inheritances: Intergenerational support and patrilineality in South Korea</t>
  </si>
  <si>
    <t>JOURNAL OF MARRIAGE AND FAMILY</t>
  </si>
  <si>
    <t>fairness and equality; families in middle and later life; intergenerational relations; intergenerational transfers</t>
  </si>
  <si>
    <t>GENDER; PARENTS; DIVISION; EXCHANGE; MOTIVES</t>
  </si>
  <si>
    <t>Objective: This study examines sibling inequality in inheritances and investigates the associations between inheritance share, intergenerational support, and patrilineality, as well as the potential interplay between support and patrilineality.Background: While Western studies take an exchange perspective linking inheritance division to intergenerational support, the picture in Asia is complicated by patrilineal norms, which are connected to both inheritance and support.Method: Utilizing the Korean Longitudinal Study of Ageing, this study employs family fixed effects regression to estimate the relationships between actual inheritance division, comprehensive measures of intergenerational support (financial, instrumental, associational, and structural), and patrilineality (gender and birth order).Results: First-born sons receive the lion's share of inheritances, followed by first-born daughters and later-born sons, who receive a lesser share, while later-born daughters receive the least. Meeting the parent frequently and caring for them before death were also associated with a larger share, and these effects were mostly uniform by birth order and gender.Conclusion: Patrilineal traditions continue to dominate inheritance division in contemporary Korea, with first-born sons claiming the largest share regardless of their contributions to intergenerational support. Physical contact and caregiving increase a child's likelihood of receiving a larger share, but ultimately do not change the patrilineal order in inheritance allocations.</t>
  </si>
  <si>
    <t>[Kim, Dahye] Natl Univ Singapore, Fac Arts &amp; Social Sci, Ctr Family &amp; Populat Res, Singapore, Singapore; [Lim-Soh, Jeremy] Natl Univ Singapore, Ctr Ageing Res &amp; Educ, Duke NUS Med Sch, Singapore, Singapore; [Kim, Dahye] Natl Univ Singapore, Ctr Family &amp; Populat Res, Singapore, Singapore</t>
  </si>
  <si>
    <t>National University of Singapore; National University of Singapore; National University of Singapore</t>
  </si>
  <si>
    <t>Kim, D (corresponding author), Natl Univ Singapore, Ctr Family &amp; Populat Res, Singapore, Singapore.</t>
  </si>
  <si>
    <t>dahyekim@nus.edu.sg</t>
  </si>
  <si>
    <t>The authors contributed equally to this work. The authors received no financial support for the research and/or publication of this article.</t>
  </si>
  <si>
    <t>0022-2445</t>
  </si>
  <si>
    <t>1741-3737</t>
  </si>
  <si>
    <t>J MARRIAGE FAM</t>
  </si>
  <si>
    <t>J. Marriage Fam.</t>
  </si>
  <si>
    <t>10.1111/jomf.12944</t>
  </si>
  <si>
    <t>Family Studies; Sociology</t>
  </si>
  <si>
    <t>S5NW7</t>
  </si>
  <si>
    <t>WOS:001071642700001</t>
  </si>
  <si>
    <t>Liang, H; Lu, ML; Mahmood, Z; Li, Z; Chen, ZD; Chen, GW; Li, MD; Huo, YP; Ji, SM</t>
  </si>
  <si>
    <t>Liang, Hui; Lu, Manlin; Mahmood, Zafar; Li, Zheng; Chen, Zeduan; Chen, Guowei; Li, Ming-De; Huo, Yanping; Ji, Shaomin</t>
  </si>
  <si>
    <t>Efficient Intersystem Crossing and Long-lived Charge-Separated State Induced by Space Intramolecular Charge Transfer in a Parallel Geometry Carbazole-Bodipy Dyad</t>
  </si>
  <si>
    <t>ANGEWANDTE CHEMIE-INTERNATIONAL EDITION</t>
  </si>
  <si>
    <t>Charge Separation; Heavy Atom-Free Triplet Photosensitizer; Intersystem Crossing; TTA-Upconversion; Through Space Intramolecular Charge Transfer</t>
  </si>
  <si>
    <t>ANNIHILATION UP-CONVERSION; TRIPLET EXCITED-STATES; PHOTOSENSITIZERS; RECOMBINATION</t>
  </si>
  <si>
    <t>The design of efficient heavy atom-free triplet photosensitizers (PSs) based on through bond charge transfer (TBCT) features is a formidable challenge due to the criteria of orthogonal donor-acceptor geometry. Herein, we propose using parallel (face-to-face) conformation carbazole-bodipy donor-acceptor dyads (BCZ-1 and BCZ-2) featuring through space intramolecular charge transfer (TSCT) process as efficient triplet PS. Efficient intersystem crossing (&amp; phi;&amp; UDelta;=61 %) and long-lived triplet excited state (&amp; tau;T=186 &amp; mu;s) were observed in the TSCT dyad BCZ-1 compared to BCZ-3 (&amp; phi;&amp; UDelta;=0.4 %), the dyad involving TBCT, demonstrating the superiority of the TSCT approach over conventional donor-acceptor system. Moreover, the transient absorption study revealed that TSCT dyads have a faster charge separation and slower intersystem crossing process induced by charge recombination compared to TBCT dyad. A long-lived charge-separated state (CSS) was observed in the BCZ-1 (&amp; tau;CSS=24 ns). For the first time, the TSCT dyad was explored for the triplet-triplet annihilation upconversion, and a high upconversion quantum yield of 11 % was observed. Our results demonstrate a new avenue for designing efficient PSs and open up exciting opportunities for future research in this field. Through space intramolecular charge transfer, a compact electron donor-acceptor (cabazole-bodipy) dyad with face-to-face geometry exhibits long-lived charge-separated state (&amp; tau;CSS=24 ns) and efficient intersystem crossing (&amp; phi;&amp; UDelta;=61 %). This discovery opens a new avenue for designing efficient photosensitizers and photonic applications that depend on long-lived excited states generation.image</t>
  </si>
  <si>
    <t>[Liang, Hui; Mahmood, Zafar; Li, Zheng; Chen, Zeduan; Chen, Guowei; Huo, Yanping; Ji, Shaomin] Guangdong Univ Technol, Sch Chem Engn &amp; Light Ind, Guangzhou 510006, Peoples R China; [Lu, Manlin; Li, Ming-De] Shantou Univ, Coll Chem &amp; Chem Engn, Shantou 515063, Peoples R China; [Lu, Manlin; Li, Ming-De] Shantou Univ, Key Lab Preparat &amp; Applicat Ordered Struct Mat Gua, Shantou 515063, Peoples R China</t>
  </si>
  <si>
    <t>Guangdong University of Technology; Shantou University; Shantou University</t>
  </si>
  <si>
    <t>Ji, SM (corresponding author), Guangdong Univ Technol, Sch Chem Engn &amp; Light Ind, Guangzhou 510006, Peoples R China.</t>
  </si>
  <si>
    <t>smji@gdut.edu.cn</t>
  </si>
  <si>
    <t>Ji, Shaomin/J-7959-2018</t>
  </si>
  <si>
    <t>Ji, Shaomin/0000-0002-3304-2114; Chen, Guowei/0000-0002-4234-5205</t>
  </si>
  <si>
    <t>This work was supported by the National Natural Science Foundation of China (21975053, U2001222) and Guangdong Basic and Applied Basic Research Foundation (2022B1515020041) for financial support. [21975053, U2001222]; National Natural Science Foundation of China [2022B1515020041]; Guangdong Basic and Applied Basic Research Foundation</t>
  </si>
  <si>
    <t>This work was supported by the National Natural Science Foundation of China (21975053, U2001222) and Guangdong Basic and Applied Basic Research Foundation (2022B1515020041) for financial support.; National Natural Science Foundation of China(National Natural Science Foundation of China (NSFC)); Guangdong Basic and Applied Basic Research Foundation</t>
  </si>
  <si>
    <t>This work was supported by the National Natural Science Foundation of China (21975053, U2001222) and Guangdong Basic and Applied Basic Research Foundation (2022B1515020041) for financial support.</t>
  </si>
  <si>
    <t>1433-7851</t>
  </si>
  <si>
    <t>1521-3773</t>
  </si>
  <si>
    <t>ANGEW CHEM INT EDIT</t>
  </si>
  <si>
    <t>Angew. Chem.-Int. Edit.</t>
  </si>
  <si>
    <t>10.1002/anie.202312600</t>
  </si>
  <si>
    <t>S3TA0</t>
  </si>
  <si>
    <t>WOS:001070415700001</t>
  </si>
  <si>
    <t>Ma, CY; He, HY; Qin, JL; Luo, L; Lan, Y; Zhang, J; Yang, L; Jiang, QG; Huang, HJ</t>
  </si>
  <si>
    <t>Ma, Chenyu; He, Haiyan; Qin, Jinlong; Luo, Lang; Lan, Yue; Zhang, Jian; Yang, Lu; Jiang, Quanguo; Huang, Huajie</t>
  </si>
  <si>
    <t>The Marriage of Hydrazone-Linked Covalent Organic Frameworks and MXene Enables Efficient Electrocatalytic Hydrogen Evolution</t>
  </si>
  <si>
    <t>SMALL STRUCTURES</t>
  </si>
  <si>
    <t>covalent organic frameworks; electrocatalysis; heterojunctions; hydrogen evolution; MXenes</t>
  </si>
  <si>
    <t>REDUCED GRAPHENE OXIDE; NANOSHEETS; NANOARCHITECTURES; CATALYSTS; PLATINUM; NANOMATERIALS; ARCHITECTURES; COF</t>
  </si>
  <si>
    <t>Electrochemical water splitting is long regarded as a green and feasible pathway to realize the scalable hydrogen production, while the overall hydrogen evolution reaction (HER) efficiency is largely dependent on the electrocatalytic ability of the cathode catalysts. Herein, the in situ growth of hydrazone-linked covalent organic framework (COF-42) nanocrystals with a unique nanoflower-shaped morphology on 2D ultrathin Ti3C2Tx MXene nanosheets (COF/Ti3C2Tx) is achieved through a convenient and robust stereoassembly strategy. Strikingly, the marriage of COF-42 and Ti3C2Tx nanosheets not only offers multiscale porous channels for the fast transportation of electrolyte and electrons, but also enables the full exposure and activation of numerous catalytically active centers. As a consequence, the optimized COF/Ti3C2Tx nanoarchitecture displays exceptional HER properties in terms of a very low onset potential of 19 mV, a small Tafel slope of 50 mV dec-1 as well as reliable long-term durability, which are comparable to those of commercial Pt/C catalyst. Density functional theory calculations further disclose that the rational combination of COF-42 with Ti3C2Tx provides more diversified active positions with appropriate &amp; UDelta;GH values, thus leading to a boosted hydrogen generation rate. The in situ growth of hydrazone-linked covalent organic framework-42 nanocrystals with a nanoflower-shaped morphology on 2D ultrathin Ti3C2Tx MXene nanosheets is achieved via a robust stereoassembly strategy, which display exceptional electrocatalytic properties toward the hydrogen evolution reaction.image &amp; COPY; 2023 WILEY-VCH GmbH</t>
  </si>
  <si>
    <t>[Ma, Chenyu; He, Haiyan; Qin, Jinlong; Luo, Lang; Lan, Yue; Yang, Lu; Jiang, Quanguo; Huang, Huajie] Hohai Univ, Coll Mech &amp; Mat, Nanjing 210098, Peoples R China; [Zhang, Jian] Nanjing Univ Posts &amp; Telecommun NUPT, Coll Sci, New Energy Technol Engn Lab Jiangsu Prov, Nanjing 210023, Peoples R China</t>
  </si>
  <si>
    <t>Hohai University; Nanjing University of Posts &amp; Telecommunications</t>
  </si>
  <si>
    <t>He, HY; Jiang, QG; Huang, HJ (corresponding author), Hohai Univ, Coll Mech &amp; Mat, Nanjing 210098, Peoples R China.</t>
  </si>
  <si>
    <t>he.haiyan@hhu.edu.cn; jiangqg@hhu.edu.cn; huanghuajie@hhu.edu.cn</t>
  </si>
  <si>
    <t>Huang, Huajie/GLR-9597-2022</t>
  </si>
  <si>
    <t>This work was financially supported by the National Natural Science Foundation of China (grant no. 22209037) and the Fundamental Research Funds for the Central Universities (grant no. B220202042). The authors would also like to thank Dr. Beibei Xiao of Jia [22209037]; National Natural Science Foundation of China [B220202042]; Fundamental Research Funds for the Central Universities</t>
  </si>
  <si>
    <t>This work was financially supported by the National Natural Science Foundation of China (grant no. 22209037) and the Fundamental Research Funds for the Central Universities (grant no. B220202042). The authors would also like to thank Dr. Beibei Xiao of Jia; National Natural Science Foundation of China(National Natural Science Foundation of China (NSFC)); Fundamental Research Funds for the Central Universities(Fundamental Research Funds for the Central Universities)</t>
  </si>
  <si>
    <t>This work was financially supported by the National Natural Science Foundation of China (grant no. 22209037) and the Fundamental Research Funds for the Central Universities (grant no. B220202042). The authors would also like to thank Dr. Beibei Xiao of Jiangsu University of Science and Technology for the computer resources provided.</t>
  </si>
  <si>
    <t>2688-4062</t>
  </si>
  <si>
    <t>SMALL STRUCT</t>
  </si>
  <si>
    <t>Small Struct.</t>
  </si>
  <si>
    <t>10.1002/sstr.202300279</t>
  </si>
  <si>
    <t>Chemistry, Physical; Nanoscience &amp; Nanotechnology; Materials Science, Multidisciplinary</t>
  </si>
  <si>
    <t>S4GS3</t>
  </si>
  <si>
    <t>WOS:001070774300001</t>
  </si>
  <si>
    <t>Manca, F; Lewsey, J</t>
  </si>
  <si>
    <t>Manca, Francesco; Lewsey, Jim</t>
  </si>
  <si>
    <t>Previous psychiatric hospitalizations as risk factors for single and multiple future alcohol-related hospitalizations in patients with alcohol use disorders</t>
  </si>
  <si>
    <t>ADDICTION</t>
  </si>
  <si>
    <t>Alcohol dependence; alcohol use disorder; comorbidities; mental health; multiple failure survival analysis; observational study; Prentice Williams and Peterson model; psychiatric disorders; relapse; routine health-care data</t>
  </si>
  <si>
    <t>RELAPSE</t>
  </si>
  <si>
    <t>Background and aimsPeople with alcohol use disorder (AUD) often have co-occurring psychiatric conditions. The association between psychiatric conditions and AUD relapse has not yet been fully explored. This study aimed to quantify different psychiatric comorbidities as risk factors for first and multiple AUD rehospitalizations in patients already hospitalized once for AUD.MethodsWe used a nation-wide routine health-care database in Scotland, UK, between 2010 and 2019. Individuals with a first hospitalization for AUD (codes F10.0-9 in the ICD-10 codes) were checked for previous hospitalizations where the main or co-occurring cause was a psychiatric condition (any other F0-F99 code in ICD-10). The final cohort included 23 529 patients, 18 620 of whom did not have a history of any other psychiatric comorbidity. First, individuals with a history of any previous psychiatric hospitalization were grouped and compared with those without on the basis of time to AUD rehospitalization. Then, individuals with different histories of psychiatric hospitalization were compared with each other. Cox and Prentice, Williams and Peterson gap-time models were used for single and multiple AUD rehospitalizations, respectively.ResultsThe AUD rehospitalization rate in individuals with a previous psychiatric hospitalization was 8% higher compared with those without [hazard ratio (HR) = 1.08, 95% confidence interval (CI) = 1.01-1.14]. The difference in rehospitalization rate reduced following the first rehospitalization (HR at second rehospitalization from first: 0.95, 95% CI = 0.87-1.04 and HR at third rehospitalization from second: 0.94, 95% CI = 0.84-1.07). Mood disorders and neurotic, stress-related and somatoform disorders were associated with a 54% (HR = 1.54, 95% CI = 1.38-1.72) and 39% (HR = 1.39, 95% CI = 1.17-1.66) increase in the risk of a first AUD rehospitalization. Other conditions, such as disorders due to psychoactive substance use or schizophrenia, were associated with decreases in future AUD rehospitalization (HR = 0.89, 95% CI = 0.82-0.97 and HR = 0.82, 95% CI = 0.58-1.16, respectively).ConclusionsPatients with AUD appear to have different rates of AUD rehospitalization based on different co-occurring psychiatric conditions. Addiction-related characteristics may be more relevant risk indicators for multiple AUD readmission than psychiatric comorbidities.</t>
  </si>
  <si>
    <t>[Manca, Francesco; Lewsey, Jim] Univ Glasgow, Sch Hlth &amp; Wellbeing, Glasgow, Scotland; [Manca, Francesco] Univ Glasgow, Sch Hlth &amp; Wellbeing, 90 Byres Rd, Glasgow G12 8RZ, Scotland</t>
  </si>
  <si>
    <t>University of Glasgow; University of Glasgow</t>
  </si>
  <si>
    <t>Manca, F (corresponding author), Univ Glasgow, Sch Hlth &amp; Wellbeing, 90 Byres Rd, Glasgow G12 8RZ, Scotland.</t>
  </si>
  <si>
    <t>francesco.manca@glasgow.ac.uk</t>
  </si>
  <si>
    <t>Manca, Francesco/0000-0002-2954-6774</t>
  </si>
  <si>
    <t>We would like to thank Dr Elisabetta Manfredini for the insightful input and conversations during the conceptualization and development of the study. We would also like to thank Dr Peter Rice for the valuable and helpful exchanges interpreting results and</t>
  </si>
  <si>
    <t>We would like to thank Dr Elisabetta Manfredini for the insightful input and conversations during the conceptualization and development of the study. We would also like to thank Dr Peter Rice for the valuable and helpful exchanges interpreting results and suggestions regarding Scottish data. We also acknowledge the support of the eDRIS team (Public Health Scotland) for their involvement in obtaining approvals, provision and linking data and the use of the secure analytical platform within the National Safe Haven.</t>
  </si>
  <si>
    <t>0965-2140</t>
  </si>
  <si>
    <t>1360-0443</t>
  </si>
  <si>
    <t>Addiction</t>
  </si>
  <si>
    <t>10.1111/add.16352</t>
  </si>
  <si>
    <t>Substance Abuse; Psychiatry</t>
  </si>
  <si>
    <t>S3OR2</t>
  </si>
  <si>
    <t>WOS:001070300500001</t>
  </si>
  <si>
    <t>Nyangchak, N</t>
  </si>
  <si>
    <t>Nyangchak, Niangjijia</t>
  </si>
  <si>
    <t>Green growth as a pathway toward sustainable development: A systems thinking on the Qinghai-Tibet Plateau in China</t>
  </si>
  <si>
    <t>SUSTAINABLE DEVELOPMENT</t>
  </si>
  <si>
    <t>circular economy; green growth; index framework; Qinghai-Tibet Plateau; sustainable development; systems thinking</t>
  </si>
  <si>
    <t>INDICATORS; INDUSTRY</t>
  </si>
  <si>
    <t>Green growth gained traction as a global climate change strategy and pathway toward sustainable development. China's green growth has been on the rise since the turn of the century, yet it is little understood in the context of its provinces. Previous studies focus on ranking green growth across countries and regions, not on assessing individual provinces over time. This study employs systems thinking and constructs an index framework to assess the environmental, economic, and social dimensions of green growth as a pathway toward sustainable development in Qinghai on the Qinghai-Tibet Plateau. The study finds that green growth has steadily increased between 2000 and 2021 despite a volatile growth rate. The 10th-13th Five-Year Plans showed similar trends. Short-term green growth performance fluctuated in its dimensions and pillars, while long-term performance increased steadily. Qinghai is well-positioned to achieve sustainable development and build a circular economy. The study further discusses sustainable policy implications.</t>
  </si>
  <si>
    <t>[Nyangchak, Niangjijia] SOAS Univ London, Dept Econ, London, England; [Nyangchak, Niangjijia] SOAS Univ London, Dept Econ, 10 Thornhaugh St, London WC1H 0XG, England</t>
  </si>
  <si>
    <t>University of London; University of London School Oriental &amp; African Studies (SOAS); University of London; University of London School Oriental &amp; African Studies (SOAS)</t>
  </si>
  <si>
    <t>Nyangchak, N (corresponding author), SOAS Univ London, Dept Econ, 10 Thornhaugh St, London WC1H 0XG, England.</t>
  </si>
  <si>
    <t>j_niang@soas.ac.uk</t>
  </si>
  <si>
    <t>This article is part of my doctoral dissertation at the Department of Economics, SOAS University of London, UK. I appreciate the feedback provided by Dr. Dic Lo and Dr. Risa Morimoto. In addition, I thank Mr. Frank Yihamp;apos;s longstanding support for m; SOAS University of London, UK</t>
  </si>
  <si>
    <t>This article is part of my doctoral dissertation at the Department of Economics, SOAS University of London, UK. I appreciate the feedback provided by Dr. Dic Lo and Dr. Risa Morimoto. In addition, I thank Mr. Frank Yih &amp; apos;s longstanding support for my academic research.</t>
  </si>
  <si>
    <t>0968-0802</t>
  </si>
  <si>
    <t>1099-1719</t>
  </si>
  <si>
    <t>SUSTAIN DEV</t>
  </si>
  <si>
    <t>Sustain. Dev.</t>
  </si>
  <si>
    <t>10.1002/sd.2770</t>
  </si>
  <si>
    <t>Development Studies; Green &amp; Sustainable Science &amp; Technology; Regional &amp; Urban Planning</t>
  </si>
  <si>
    <t>Development Studies; Science &amp; Technology - Other Topics; Public Administration</t>
  </si>
  <si>
    <t>S4AT9</t>
  </si>
  <si>
    <t>WOS:001070619000001</t>
  </si>
  <si>
    <t>Stelmaszak, M; Parry, G</t>
  </si>
  <si>
    <t>Stelmaszak, Marta; Parry, Glenn</t>
  </si>
  <si>
    <t>Data are in the eye of the beholder: Co-creation for sustainable personal data value</t>
  </si>
  <si>
    <t>STRATEGIC CHANGE-BRIEFINGS IN ENTREPRENEURIAL FINANCE</t>
  </si>
  <si>
    <t>personal data; personalization; value; value co-creation; value-in-use</t>
  </si>
  <si>
    <t>BIG DATA; PRIVACY; ONLINE</t>
  </si>
  <si>
    <t>Recent scholarship re-casts the value of data from financial to value in use, where value is a multi-faceted, dynamic, emergent construct, co-created by stakeholders. To date, the dynamics of the co-creation of value from the use of personal data have been investigated from the starting point of use. However, personal data do not have inherent value, rather their value emerges during design against projected future use. We conducted a case study of the development of a personalized e-book and captured the different perceptions of the value of personal data from firm, intermediary, and customer perspectives, namely means to an end, medium of exchange, and net benefit, respectively. The diversity of perspectives highlights ontological differences in the perception of what data are, which in turn creates epistemological tensions and different expectations of the characteristics of data embedded in value co-creation. By detailing how the value of personal data is co-created in practice, we argue that co-creation during design creates conditions for sustainable data value necessary for the continuing operation of products and services based on personalization.</t>
  </si>
  <si>
    <t>[Stelmaszak, Marta] Portland State Univ, Sch Business, Portland, OR 97201 USA; [Parry, Glenn] Univ Surrey, Surrey Business Sch, Guildford, England</t>
  </si>
  <si>
    <t>Portland State University; University of Surrey</t>
  </si>
  <si>
    <t>Stelmaszak, M (corresponding author), Portland State Univ, Sch Business, Portland, OR 97201 USA.</t>
  </si>
  <si>
    <t>stmarta@pdx.edu</t>
  </si>
  <si>
    <t>The authors gratefully acknowledge the support of the EPSRC Grants DROPS (EP/R033374/1 and EP/R033374/2) and DECADE (EP/T022485/1) in the preparation of this work. [EP/R033374/1, EP/R033374/2, EP/T022485/1]; EPSRC</t>
  </si>
  <si>
    <t>The authors gratefully acknowledge the support of the EPSRC Grants DROPS (EP/R033374/1 and EP/R033374/2) and DECADE (EP/T022485/1) in the preparation of this work.; EPSRC(UK Research &amp; Innovation (UKRI)Engineering &amp; Physical Sciences Research Council (EPSRC))</t>
  </si>
  <si>
    <t>The authors gratefully acknowledge the support of the EPSRC Grants DROPS (EP/R033374/1 and EP/R033374/2) and DECADE (EP/T022485/1) in the preparation of this work.</t>
  </si>
  <si>
    <t>JOHN WILEY &amp; SONS LTD</t>
  </si>
  <si>
    <t>CHICHESTER</t>
  </si>
  <si>
    <t>THE ATRIUM, SOUTHERN GATE, CHICHESTER PO19 8SQ, W SUSSEX, ENGLAND</t>
  </si>
  <si>
    <t>1086-1718</t>
  </si>
  <si>
    <t>1099-1697</t>
  </si>
  <si>
    <t>STRATEG CHANG</t>
  </si>
  <si>
    <t>Strateg. Chang.</t>
  </si>
  <si>
    <t>10.1002/jsc.2556</t>
  </si>
  <si>
    <t>S3SL4</t>
  </si>
  <si>
    <t>WOS:001070400200001</t>
  </si>
  <si>
    <t>Touceda-Suarez, M; Cowan, D; Rockey, E; Barberan, A</t>
  </si>
  <si>
    <t>Touceda-Suarez, Maria; Cowan, Dena; Rockey, Emily; Barberan, Albert</t>
  </si>
  <si>
    <t>Effects of historical agricultural crops on the soil microbiome of a living agricultural museum in the Sonoran Desert</t>
  </si>
  <si>
    <t>AGRONOMY JOURNAL</t>
  </si>
  <si>
    <t>NITROGEN-FERTILIZATION; COMMUNITY STRUCTURE; MANAGEMENT; CHEMISTRY; DYNAMICS; DATABASE; PLANTS; ALTER</t>
  </si>
  <si>
    <t>Although soil has been a central piece in agricultural knowledge for most of recorded history, introductions of exotic plant assemblages can produce loss of soil quality, especially in more fragile ecosystems such as drylands. Here, we investigate the impact of indigenous and introduced plant assemblages associated with ethno-agricultural traditions of Tucson, AZ, on soil microbial communities using 16S rRNA gene (bacteria and archaea) and internal transcribed spacer region (fungi) metabarcoding. We found differences in soil microbial community diversity and composition across plant assemblages associated with ethno-agricultural traditions. However, we found the largest community structure differences between managed cultivated plots and not cultivated desert soils. Managed cultivated plots were characterized by higher diversity (23% increment for bacteria/archaea, and 40% for fungi) and a higher abundance of nitrifying bacteria (19% higher) and cellulolytic bacteria (39% higher) relative to minimally disturbed plots, suggesting higher rates of decomposition and nitrogen cycling. Given the observed influence of management on soil microbial communities, we conclude that efforts to build arid-specific sustainable agricultural solutions would benefit from the use of adapted plants that require minimal management. Microbial community diversity and composition were different across plant assemblages.Management of crop soils increased microbial diversity and abundance of nitrifying bacteria.Arid-specific sustainable agriculture would benefit from the use of low-input adapted plants.</t>
  </si>
  <si>
    <t>[Touceda-Suarez, Maria; Barberan, Albert] Univ Arizona, Dept Environm Sci, Tucson, AZ USA; [Cowan, Dena; Rockey, Emily] Mission Garden Living Agr Museum, Tucson, AZ USA; [Touceda-Suarez, Maria] Univ Arizona, Dept Environm Sci, Tucson, AZ 85721 USA; [Touceda-Suarez, Maria] 1657 E Helen St, Tucson, AZ 85719 USA</t>
  </si>
  <si>
    <t>University of Arizona; University of Arizona</t>
  </si>
  <si>
    <t>Touceda-Suarez, M (corresponding author), Univ Arizona, Dept Environm Sci, Tucson, AZ 85721 USA.;Touceda-Suarez, M (corresponding author), 1657 E Helen St, Tucson, AZ 85719 USA.</t>
  </si>
  <si>
    <t>mtoucedasuarez@email.arizona.edu</t>
  </si>
  <si>
    <t>0002-1962</t>
  </si>
  <si>
    <t>1435-0645</t>
  </si>
  <si>
    <t>AGRON J</t>
  </si>
  <si>
    <t>Agron. J.</t>
  </si>
  <si>
    <t>10.1002/agj2.21456</t>
  </si>
  <si>
    <t>Agronomy</t>
  </si>
  <si>
    <t>Agriculture</t>
  </si>
  <si>
    <t>S5ST4</t>
  </si>
  <si>
    <t>WOS:001071769400001</t>
  </si>
  <si>
    <t>Yang, L; Wang, YY; Wang, X; Shafique, S; Zheng, F; Huang, LK; Liu, XH; Zhang, J; Zhu, YJ; Xiao, CX; Hu, ZY</t>
  </si>
  <si>
    <t>Yang, Liu; Wang, Yanyan; Wang, Xu; Shafique, Shareen; Zheng, Fei; Huang, Like; Liu, Xiaohui; Zhang, Jing; Zhu, Yuejin; Xiao, Chuanxiao; Hu, Ziyang</t>
  </si>
  <si>
    <t>Identification the Role of Grain Boundaries in Polycrystalline Photovoltaics via Advanced Atomic Force Microscope</t>
  </si>
  <si>
    <t>atomic force microscope; conductive atomic force microscopy; grain boundary; grain interior; Kelvin probe force microscopy; polycrystalline photovoltaic materials; solar cells</t>
  </si>
  <si>
    <t>PEROVSKITE SOLAR-CELLS; SCANNING PROBE MICROSCOPIES; THIN-FILM; DEFECT PASSIVATION; NANOSCALE MEASUREMENTS; HALIDE PEROVSKITES; PERFORMANCE; EFFICIENCY; PHOTOCURRENT; CHALLENGES</t>
  </si>
  <si>
    <t>Atomicforce microscopy (AFM)-based scanning probing techniques, including Kelvinprobe force microscopy (KPFM) and conductive atomic force microscopy (C-AFM), have been widely applied to investigate thelocal electromagnetic, physical, or molecular characteristics of functional materials on a microscopic scale. The microscopic inhomogeneities of the electronic properties of polycrystalline photovoltaic materials can be examined by these advanced AFM techniques, which bridge the local properties of materials to overall device performance and guide the optimization of the photovoltaic devices. In this review, the critical roles of local optoelectronic heterogeneities, especially at grain interiors (GIs) and grain boundaries (GBs) of polycrystalline photovoltaic materials, including versatile polycrystalline silicon, inorganic compound materials, and emerging halide perovskites, studied by KPFM and C-AFM, are systematically identified. How the band alignment and electrical properties of GIs and GBs affect the carrier transport behavior are discussed from the respective of photovoltaic research. Further exploiting the potential of such AFM-based techniques upon a summary of their up-to-date applications in polycrystalline photovoltaic materials is beneficial to acomprehensive understanding of the design and manipulation principles of thenovel solar cells and facilitating the development of the next-generation photovoltaics and optoelectronics. The critical roles of local optoelectronic heterogeneities, especially at grain interiors (GIs) and grain boundaries (GBs) of polycrystalline photovoltaic materials, including polycrystalline silicon, inorganic compound materials, and emerging halide perovskites, can be identified by the advanced atomic force microscope (AFM)-based techniques, which bridge the local properties of materials to overall device performance and guide the optimization of the photovoltaic devices.image</t>
  </si>
  <si>
    <t>[Yang, Liu; Wang, Yanyan; Wang, Xu; Shafique, Shareen; Zheng, Fei; Huang, Like; Liu, Xiaohui; Zhang, Jing; Hu, Ziyang] Ningbo Univ, Dept Microelect Sci &amp; Engn, Lab Clean Energy Storage &amp; Convers, Sch Phys Sci &amp; Technol,Ningbo Collaborat Innovat C, Ningbo 315211, Peoples R China; [Wang, Yanyan] Fudan Univ, Ctr Micronano Syst, Sch Informat Sci &amp; Technol SIST, Shanghai 200433, Peoples R China; [Zhu, Yuejin] Ningbo Univ, Sch Sci &amp; Engn, Coll Sci &amp; Technol, Ningbo 315300, Peoples R China; [Xiao, Chuanxiao] Chinese Acad Sci, Ningbo Inst Mat Technol &amp; Engn NIMTE, Ningbo 315201, Zhejiang, Peoples R China</t>
  </si>
  <si>
    <t>Ningbo University; Fudan University; Ningbo University; Chinese Academy of Sciences; Ningbo Institute of Materials Technology and Engineering, CAS</t>
  </si>
  <si>
    <t>Zheng, F; Hu, ZY (corresponding author), Ningbo Univ, Dept Microelect Sci &amp; Engn, Lab Clean Energy Storage &amp; Convers, Sch Phys Sci &amp; Technol,Ningbo Collaborat Innovat C, Ningbo 315211, Peoples R China.</t>
  </si>
  <si>
    <t>zhengfei@nbu.edu.cn; huziyang@nbu.edu.cn</t>
  </si>
  <si>
    <t>This work was supported by the National Natural Science Foundation of China (Grant Nos. 62074088 and 62174094), the Foundation of Zhejiang Educational Commission (Grant No. Y201737090), the Natural Science Foundation of Ningbo City (Grant No. 2017A610018), [62074088, 62174094]; National Natural Science Foundation of China [Y201737090]; Foundation of Zhejiang Educational Commission [2017A610018]; Natural Science Foundation of Ningbo City [2018B10055]; Ningbo Samp;amp;T Innovation 2025 Major Special Programme; K.C. Wong Magna Fund in Ningbo University</t>
  </si>
  <si>
    <t>This work was supported by the National Natural Science Foundation of China (Grant Nos. 62074088 and 62174094), the Foundation of Zhejiang Educational Commission (Grant No. Y201737090), the Natural Science Foundation of Ningbo City (Grant No. 2017A610018),; National Natural Science Foundation of China(National Natural Science Foundation of China (NSFC)); Foundation of Zhejiang Educational Commission; Natural Science Foundation of Ningbo City; Ningbo Samp;amp;T Innovation 2025 Major Special Programme; K.C. Wong Magna Fund in Ningbo University</t>
  </si>
  <si>
    <t>This work was supported by the National Natural Science Foundation of China (Grant Nos. 62074088 and 62174094), the Foundation of Zhejiang Educational Commission (Grant No. Y201737090), the Natural Science Foundation of Ningbo City (Grant No. 2017A610018), and the Ningbo S &amp; amp;T Innovation 2025 Major Special Programme (2018B10055). Z.H. would like to thank the sponsorship by K.C. Wong Magna Fund in Ningbo University.</t>
  </si>
  <si>
    <t>10.1002/smll.202304362</t>
  </si>
  <si>
    <t>S4GR0</t>
  </si>
  <si>
    <t>WOS:001070773000001</t>
  </si>
  <si>
    <t>Zou, PL; Chen, Z; He, QX; Zhuo, YM</t>
  </si>
  <si>
    <t>Zou, Peiliang; Chen, Zheng; He, Qixiong; Zhuo, Yumin</t>
  </si>
  <si>
    <t>Polyphyllin I induces ferroptosis in castration-resistant prostate cancer cells through the ERK/DNMT1/ACSL4 axis</t>
  </si>
  <si>
    <t>PROSTATE</t>
  </si>
  <si>
    <t>ACSL4; castration-resistant prostate cancer; DNMT1; ERK; ferroptosis; Polyphyllin I</t>
  </si>
  <si>
    <t>BackgroundCastration-resistant prostate cancer (CRPC) inevitably arises after androgen deprivation therapy (ADT). Therefore, there is an urgent need to search for novel treatment strategies for CRPC. Polyphyllin I (PPI), one of the steroidal saponins in paris polyphylla, has been shown to have an anticancer effect. This study investigated the role and mechanism of PPI in CRPC cell ferroptosis.MethodsProtein levels of GPX4, p-extracellular regulated protein kinases (ERK), ERK, DNMT1, and ACSL4 were measured by Western blot. DNMT1 and ACSL4 mRNA expression was analyzed by reverse transcription-quantitative polymerase chain reaction (RT-qPCR). Prostate cancer cells (DU145, PC3) were treated with PPI. Cell viability was assessed utilizing Cell Counting Kit-8 (CCK-8) assay. The role of PPI in regulating ferroptosis was determined by analyzing lipid reactive oxygen species (ROS), malonyl dialdehyde (MDA), iron (Fe2+), and glutathione (GSH) content. Chromatin immunoprecipitation (ChIP) assay verified the effect of DNMT1 on the ACSL4 promoter. The methylation level of ACSL4 promoter was assessed utilizing MSP. A nude mice xenograft was adopted to detect the effect of PPI in vivo.ResultsPPI inhibited CRPC cell proliferation, reduced levels of GSH and GPX4, and increased levels of MDA, Fe2+, and ROS, while ERK inhibitor reversed the effect of PPI on ferroptosis. PPI repressed the methylation level of ACSL4 promoter by inhibiting DNMT1. DNMT1 knockdown promoted CRPC cell ferroptosis by regulating ACSL4. PPI induced ferroptosis and suppressed CRPC growth in nude mice.ConclusionPPI can be used as a ferroptosis inducer to induce ferroptosis in CRPC cells via the ERK/DNMT1/ACSL4 axis, suggesting that PPI may be a new strategy for CRPC treatment.</t>
  </si>
  <si>
    <t>[Zou, Peiliang; Chen, Zheng; Zhuo, Yumin] Jinan Univ, Dept Urol, Affiliated Hosp 1, Guangzhou, Peoples R China; [Zou, Peiliang; He, Qixiong] Zhaoqing Med Coll, Sch Clin Med, Zhaoqing, Peoples R China; [Zhuo, Yumin] Jinan Univ, Affiliated Hosp 1, 613,Huangpu Ave West, Guangzhou 510630, Peoples R China</t>
  </si>
  <si>
    <t>Jinan University; Jinan University</t>
  </si>
  <si>
    <t>Zhuo, YM (corresponding author), Jinan Univ, Affiliated Hosp 1, 613,Huangpu Ave West, Guangzhou 510630, Peoples R China.</t>
  </si>
  <si>
    <t>zhuoyumin1027@163.com</t>
  </si>
  <si>
    <t>This study was supported by the Leading Specialist Construction Project-Department of Urology, the First Affiliated Hospital, Jinan University (a01106), Science and Technology Planning for Fundamental and Applied Basic Research of Guangzhou-Municipal Schoo [a01106]; Leading Specialist Construction Project-Department of Urology [202201020037, 202201020051]; Science and Technology Planning for Fundamental and Applied Basic Research of Guangzhou-Municipal School (Institution) [JNU1AF-CFTP-2022-a01207]; Clinical Frontier Technology Program of the First Affiliated Hospital of Jinan University, China [808037]; Science Research Project of Talent Introduction Fund of the First Affiliated Hospital, Jinan University [2022040303005]; Zhaoqing Science Technology Innovation Guidance Project</t>
  </si>
  <si>
    <t>This study was supported by the Leading Specialist Construction Project-Department of Urology, the First Affiliated Hospital, Jinan University (a01106), Science and Technology Planning for Fundamental and Applied Basic Research of Guangzhou-Municipal Schoo; Leading Specialist Construction Project-Department of Urology; Science and Technology Planning for Fundamental and Applied Basic Research of Guangzhou-Municipal School (Institution); Clinical Frontier Technology Program of the First Affiliated Hospital of Jinan University, China; Science Research Project of Talent Introduction Fund of the First Affiliated Hospital, Jinan University; Zhaoqing Science Technology Innovation Guidance Project</t>
  </si>
  <si>
    <t>This study was supported by the Leading Specialist Construction Project-Department of Urology, the First Affiliated Hospital, Jinan University (a01106), Science and Technology Planning for Fundamental and Applied Basic Research of Guangzhou-Municipal School (Institution) Joint Funding (202201020037, 202201020051), Clinical Frontier Technology Program of the First Affiliated Hospital of Jinan University, China (No. JNU1AF-CFTP-2022-a01207), Science Research Project of Talent Introduction Fund of the First Affiliated Hospital, Jinan University (808037) and The Zhaoqing Science Technology Innovation Guidance Project (2022040303005).</t>
  </si>
  <si>
    <t>0270-4137</t>
  </si>
  <si>
    <t>1097-0045</t>
  </si>
  <si>
    <t>Prostate</t>
  </si>
  <si>
    <t>10.1002/pros.24626</t>
  </si>
  <si>
    <t>Endocrinology &amp; Metabolism; Urology &amp; Nephrology</t>
  </si>
  <si>
    <t>S3OR8</t>
  </si>
  <si>
    <t>WOS:001070301100001</t>
  </si>
  <si>
    <t>Du, MZ; Tang, AL; Yu, JG; Geng, YF; Wang, ZT; Guo, Q; Zhong, YF; Lu, SR; Zhou, ER</t>
  </si>
  <si>
    <t>Du, Mengzhen; Tang, Ailing; Yu, Jiagui; Geng, Yanfang; Wang, Zongtao; Guo, Qiang; Zhong, Yufei; Lu, Shirong; Zhou, Erjun</t>
  </si>
  <si>
    <t>Benzotriazole-Based D-p-A-Type Photovoltaic Polymers Break Through 17% Efficiency</t>
  </si>
  <si>
    <t>ADVANCED ENERGY MATERIALS</t>
  </si>
  <si>
    <t>benzotriazole; high mobility; molecular conformation; morphology; organic photovoltaics</t>
  </si>
  <si>
    <t>ORGANIC SOLAR-CELLS; ACCEPTOR; DONOR</t>
  </si>
  <si>
    <t>Benzo[d][1,2,3]triazole (BTA) unit is one of the most classic electron-accepting units (A) to construct donor (D)-&amp; pi;-A-type photovoltaic polymers. However, the highest power conversion efficiency (PCE) of organic photovoltaics (OPVs) based on BTA-containing polymers is restricted to 15-16%, lagging other promising polymers. Thus, investigating the structure-performance relationship and breaking the efficiency bottleneck of BTA-based polymers is challenging but critical. Herein, the effects of fusing two thiophene rings at D (PE52), &amp; pi; (PE4), and A (PE39) units of a classic D-&amp; pi;-A-type BTA-containing polymer J52-Cl, respectively, on the backbone conformation, crystallinity, molecular stacking, and photovoltaic performance are systematically investigated. When blended with a BTA-containing non-fullerene acceptor (NFA), Y18, all three polymers with extending conjugated backbones can decrease the energy loss of photovoltaic devices. Notably, PE4, with a linear backbone conformation, realizes the champion PCE of 17.08%, with a short-circuit current density (JSC) of 26.83 mA cm-2, a large breakthrough for BTA-based photovoltaic polymers. What's more, the photovoltaic device based on PE4:Y18 combination fabricated by a non-halogenated solvent of o-xylene also displays an excellent PCE of 16.87%. The results indicate that fusing thiophene rings to BTA-polymers, especially at &amp; pi;-bridge, is a simple and effective method to improve the photovoltaic performance via modulating the molecular conformation and crystallinity. Thiophene rings are fused on the donor (D), &amp; pi;, and acceptor (A) units, respectively, to extend the conjugation length and fine-tune molecular conformation of the classic D-&amp; pi;-A-type benzotriazole (BTA)-containing polymer. Thiophene fusion on the &amp; pi;-bridge produces the linear backbone and the highest carrier mobilities, contributing to a champion power conversion efficiency above 17%, a breakthrough for BTA-based photovoltaic polymers.image</t>
  </si>
  <si>
    <t>[Du, Mengzhen; Yu, Jiagui; Wang, Zongtao; Guo, Qiang; Zhou, Erjun] Zhengzhou Univ, Sch Mat Sci &amp; Engn, Zhengzhou 450001, Peoples R China; [Du, Mengzhen; Tang, Ailing; Yu, Jiagui; Geng, Yanfang; Wang, Zongtao; Zhou, Erjun] Natl Ctr Nanosci &amp; Technol, Beijing 100190, Peoples R China; [Zhong, Yufei] NingboTech Univ, Sch Mat Sci &amp; Engn, Ningbo 315100, Peoples R China; [Lu, Shirong] Taizhou Univ, Dept Mat Sci &amp; Technol, Taizhou 318000, Peoples R China</t>
  </si>
  <si>
    <t>Zhengzhou University; Chinese Academy of Sciences; National Center for Nanoscience &amp; Technology - China; NingboTech University; Taizhou University</t>
  </si>
  <si>
    <t>Zhou, ER (corresponding author), Zhengzhou Univ, Sch Mat Sci &amp; Engn, Zhengzhou 450001, Peoples R China.;Zhou, ER (corresponding author), Natl Ctr Nanosci &amp; Technol, Beijing 100190, Peoples R China.</t>
  </si>
  <si>
    <t>zhouej@nanoctr.cn</t>
  </si>
  <si>
    <t>The authors thank the support from the National Natural Science Foundation of China (NSFC, Nos. 52073067, 22109142). [52073067, 22109142]; National Natural Science Foundation of China (NSFC)</t>
  </si>
  <si>
    <t>The authors thank the support from the National Natural Science Foundation of China (NSFC, Nos. 52073067, 22109142).; National Natural Science Foundation of China (NSFC)(National Natural Science Foundation of China (NSFC))</t>
  </si>
  <si>
    <t>The authors thank the support from the National Natural Science Foundation of China (NSFC, Nos. 52073067, 22109142).</t>
  </si>
  <si>
    <t>1614-6832</t>
  </si>
  <si>
    <t>1614-6840</t>
  </si>
  <si>
    <t>ADV ENERGY MATER</t>
  </si>
  <si>
    <t>Adv. Energy Mater.</t>
  </si>
  <si>
    <t>2023 SEP 25</t>
  </si>
  <si>
    <t>10.1002/aenm.202302429</t>
  </si>
  <si>
    <t>Chemistry, Physical; Energy &amp; Fuels; Materials Science, Multidisciplinary; Physics, Applied; Physics, Condensed Matter</t>
  </si>
  <si>
    <t>Chemistry; Energy &amp; Fuels; Materials Science; Physics</t>
  </si>
  <si>
    <t>S3HN6</t>
  </si>
  <si>
    <t>WOS:001070114200001</t>
  </si>
  <si>
    <t>Finell, E; Tolvanen, A; Shuttleworth, I; Durrheim, K; Vuorenmaa, M</t>
  </si>
  <si>
    <t>Finell, Eerika; Tolvanen, Asko; Shuttleworth, Ian; Durrheim, Kevin; Vuorenmaa, Maaret</t>
  </si>
  <si>
    <t>The identification environment matters: Students &amp; apos; social identification, perceived physical school environment, and anxiety - A cross-level interaction model</t>
  </si>
  <si>
    <t>BRITISH JOURNAL OF SOCIAL PSYCHOLOGY</t>
  </si>
  <si>
    <t>anxiety; multilevel analyses; perceived physical environment; social identification; social identity approach to health</t>
  </si>
  <si>
    <t>MENTAL-HEALTH; IN-GROUP; ORGANIZATIONAL-CLIMATE; EARLY ADOLESCENTS; BLACK SHEEP; IDENTITY; MULTILEVEL; SUPPORT; DEPRESSION; STRESS</t>
  </si>
  <si>
    <t>The social identity approach to health argues that well-being depends on the psychosocial circumstances of the groups to which individuals belong. However, little is known about how the average level of identification in the group - 'the identification environment' - buffers the negative health consequences of stressors. We used multilevel modelling to investigate whether identification environment in a school modified the association between the students' perceptions of the quality of their school's physical environment and their reported levels of anxiety. In two representative samples of Finnish school students (N = 678 schools/71,392 students; N = 704 schools/85,989 students), weak identification environment was related to increased anxiety. In addition, in schools where identification environment was weaker, the student level relationship between perceived physical environment and anxiety was stronger, and students were more anxious. Our results provide evidence that identification environment needs to be considered when we analyse how group membership affects well-being.</t>
  </si>
  <si>
    <t>[Finell, Eerika] Univ Eastern Finland, Fac Social Sci &amp; Business Studies, Kuopio, Finland; [Tolvanen, Asko] Univ Jyvaskyla, Methodol Ctr Human Sci, Jyvaskyla, Finland; [Shuttleworth, Ian] Queens Univ Belfast, Sch Nat &amp; Built Environm, Belfast, North Ireland; [Durrheim, Kevin] Univ Johannesburg, Fac Humanities, Johannesburg, South Africa; [Vuorenmaa, Maaret] Finnish Inst Hlth &amp; Welf, Publ Hlth &amp; Welf, Knowledge Management &amp; Cocreat, Helsinki, Finland; [Finell, Eerika] Univ Eastern Finland, Fac Social Sci &amp; Business Studies, Kuopio Campus,POB 1627, Kuopio 70211, Finland</t>
  </si>
  <si>
    <t>University of Eastern Finland; University of Jyvaskyla; Queens University Belfast; University of Johannesburg; University of Eastern Finland</t>
  </si>
  <si>
    <t>Finell, E (corresponding author), Univ Eastern Finland, Fac Social Sci &amp; Business Studies, Kuopio Campus,POB 1627, Kuopio 70211, Finland.</t>
  </si>
  <si>
    <t>eerika.finell@uef.fi</t>
  </si>
  <si>
    <t>Tolvanen, Asko/0000-0001-6430-8897</t>
  </si>
  <si>
    <t>We gratefully acknowledge funding from the Academy of Finland number 323125 (Eerika Finell). [323125]; Academy of Finland</t>
  </si>
  <si>
    <t>We gratefully acknowledge funding from the Academy of Finland number 323125 (Eerika Finell).; Academy of Finland(Research Council of Finland)</t>
  </si>
  <si>
    <t>We gratefully acknowledge funding from the Academy of Finland number 323125 (Eerika Finell).</t>
  </si>
  <si>
    <t>0144-6665</t>
  </si>
  <si>
    <t>2044-8309</t>
  </si>
  <si>
    <t>BRIT J SOC PSYCHOL</t>
  </si>
  <si>
    <t>Br. J. Soc. Psychol.</t>
  </si>
  <si>
    <t>10.1111/bjso.12686</t>
  </si>
  <si>
    <t>Psychology, Social</t>
  </si>
  <si>
    <t>Psychology</t>
  </si>
  <si>
    <t>S2SK0</t>
  </si>
  <si>
    <t>WOS:001069717700001</t>
  </si>
  <si>
    <t>Kahal, F; Alshayeb, S; Torbey, A; Al Helwani, O; Kadri, S; Al Helwani, A; Al-Habal, S; Moufti, M; Johari, M; Aldarra, A; Alswaedan, G; Albaghajati, S; Sarraj, H; Ataya, S; Mansour, M; Sakka, K</t>
  </si>
  <si>
    <t>Kahal, Fares; Alshayeb, Sarah; Torbey, Andre; Al Helwani, Omar; Kadri, Saeed; Al Helwani, Ahmad; Al-Habal, Sedra; Moufti, Mayssa; Johari, Massa; Aldarra, Ahmad; Alswaedan, Ghufran; Albaghajati, Sara; Sarraj, Hala; Ataya, Sham; Mansour, Mazenh; Sakka, Kanaan</t>
  </si>
  <si>
    <t>The prevalence of menstrual disorders and their association with psychological stress in Syrian students enrolled at health-related schools: A cross-sectional study</t>
  </si>
  <si>
    <t>INTERNATIONAL JOURNAL OF GYNECOLOGY &amp; OBSTETRICS</t>
  </si>
  <si>
    <t>Damascus; dysmenorrhea; gynecology; medical faculties; menstrual disorders; perceived stress; premenstrual disorder; Syria</t>
  </si>
  <si>
    <t>FEMALE UNIVERSITY-STUDENTS; PRIMARY DYSMENORRHEA; PREMENSTRUAL-SYNDROME; PATTERNS; MENARCHE; IMPACT; CYCLE; PAIN; AGE</t>
  </si>
  <si>
    <t>ObjectivesMenstrual disorders are among the most prevalent health issues among young female students studying in health science faculties. This study aimed to provide insights into the menstrual patterns among medical faculty students and determine whether stress can be a risk factor for its various disorders.MethodsThis cross-sectional study was conducted in the Faculties of Medicine, Dentistry, and Pharmacy at the Syrian Private University, Damascus, Syria, between October and November 2022. A total of 980 female students anonymously completed the identification of menstrual problems and the perceived stress scale (PSS) questionnaire. The data were analyzed using SPSS-25.ResultsThe mean age of students was 21.52 &amp; PLUSMN; 2.06 years. The most common menstrual disorders in this study were dysmenorrhea (88%), and premenstrual syndrome (87%). A total of 82% had mild to moderate stress, 10% had high stress, and 8% had low stress. Moderate to high perceived stress was associated with an increased risk of PMS (OR = 1.79, P = 0.0037).ConclusionThese findings stress the importance of universities, especially health science faculties, establishing protocols for early detection and intervention in students with stress and menstrual disorders. Implementing stress reduction education and timely counseling, along with preventive measures, is crucial for students' well-being. Further research is needed to refine interventions for this group. Moderate to high perceived stress was associated with an increased risk of PMS (OR = 1.79, P = 0.0037), 88% had dysmenorrhea, and 87% had PMS.</t>
  </si>
  <si>
    <t>[Kahal, Fares; Alshayeb, Sarah; Torbey, Andre; Al Helwani, Omar; Kadri, Saeed; Al Helwani, Ahmad; Al-Habal, Sedra; Moufti, Mayssa; Johari, Massa; Aldarra, Ahmad; Alswaedan, Ghufran; Albaghajati, Sara; Sarraj, Hala; Ataya, Sham; Mansour, Mazenh] Syrian Private Univ, Fac Med, Damascus, Syria; [Sakka, Kanaan] Syrian Private Univ, Fac Med, Dept Obstet &amp; Gynecol, Damascus, Syria; [Kahal, Fares] Syrian Private Univ, Fac Med, Mazzeh St,POB 36822, Damascus, Syria</t>
  </si>
  <si>
    <t>Kahal, F (corresponding author), Syrian Private Univ, Fac Med, Mazzeh St,POB 36822, Damascus, Syria.</t>
  </si>
  <si>
    <t>fareskahal@hotmail.com</t>
  </si>
  <si>
    <t>We are thankful to the management of the Syrian Private University for their support in the field of research. We are also thankful to all the students that agreed to participate in this study.</t>
  </si>
  <si>
    <t>0020-7292</t>
  </si>
  <si>
    <t>1879-3479</t>
  </si>
  <si>
    <t>INT J GYNECOL OBSTET</t>
  </si>
  <si>
    <t>Int. J. Gynecol. Obstet.</t>
  </si>
  <si>
    <t>10.1002/ijgo.15152</t>
  </si>
  <si>
    <t>Obstetrics &amp; Gynecology</t>
  </si>
  <si>
    <t>S1WF5</t>
  </si>
  <si>
    <t>WOS:001069137200001</t>
  </si>
  <si>
    <t>Kodama, N; Yokomizu, Y; Takenaka, W; Iwata, M; Danish, MSS</t>
  </si>
  <si>
    <t>Kodama, Naoto; Yokomizu, Yasunobu; Takenaka, Waku; Iwata, Mikimasa; Danish, M. S. S.</t>
  </si>
  <si>
    <t>DC Arc Quenching Using Ablation of Polymer Narrow-Section Arranged around Fuse Element</t>
  </si>
  <si>
    <t>IEEJ TRANSACTIONS ON ELECTRICAL AND ELECTRONIC ENGINEERING</t>
  </si>
  <si>
    <t>fuse; DC arc; DC interruption; polymer</t>
  </si>
  <si>
    <t>This paper was arranged a polymer cylinder around a Cu fuse-element to increase both an arc resistance rarc$$ {r}_{\mathrm{arc}} $$ during a DC arc quenching process and an insulation resistance Rins$$ {R}_{\mathrm{ins}} $$ after the DC arc quenching. The used polymer cylinder equips a narrow-section with a width wP$$ {w}_{\mathrm{P}} $$ made from the polymer. A position of the narrow-section was around an arc-ignition point of the Cu fuse-element. Silica-sand (SiO2-sand) was filled inside the polymer cylinder. Then, a damping DC with a prospective peak of 1000 A was energized to the Cu fuse-element. As an experimental result, rarc$$ {r}_{\mathrm{arc}} $$ was successfully increased with wP$$ {w}_{\mathrm{P}} $$ of the narrow-section. In addition, the rise in wP$$ {w}_{\mathrm{P}} $$ of the narrow-section also increased Rins$$ {R}_{\mathrm{ins}} $$ to more than 10 M &amp; omega;$$ \mathrm{M}\Omega $$ under the DC 1000 V application after the arc quenching. In order to interpret rarc$$ {r}_{\mathrm{arc}} $$ rise and high Rins$$ {R}_{\mathrm{ins}} $$ under the polymer cylinder arrangement, chemical composition, an electrical resistivity &amp; rho;$$ \rho $$, and a thermal diffusivity &amp; alpha;$$ \alpha $$ of Cu/SiO2/Polymer vapor mixture was also calculated. Based on the experimental result and calculation result, rarc$$ {r}_{\mathrm{arc}} $$ rise can be interpreted based on rise in &amp; rho;$$ \rho $$ and &amp; alpha;$$ \alpha $$ due to the polymer vapor admixing into Cu/SiO2 vapor mixture. In addition, increasing Rins$$ {R}_{\mathrm{ins}} $$ can also be interpreted by the polymer ablation of the narrow-section of the cylinder. The results are useful to further increase the interruption capacity of the DC fuse. &amp; COPY; 2023 Institute of Electrical Engineer of Japan and Wiley Periodicals LLC.</t>
  </si>
  <si>
    <t>[Kodama, Naoto; Yokomizu, Yasunobu; Takenaka, Waku] Nagoya Univ, Dept Elect Engn, Furocho,Chikusa Ku, Nagoya, Aichi 4648603, Japan; [Iwata, Mikimasa; Danish, M. S. S.] Nagoya Univ, Inst Mat &amp; Syst Sustainabil, Furo Cho,Chikusa Ku, Nagoya, Aichi 4688603, Japan</t>
  </si>
  <si>
    <t>Nagoya University; Nagoya University</t>
  </si>
  <si>
    <t>Kodama, N (corresponding author), Nagoya Univ, Dept Elect Engn, Furocho,Chikusa Ku, Nagoya, Aichi 4648603, Japan.</t>
  </si>
  <si>
    <t>kodama@nuee.nagoya-u.ac.jp</t>
  </si>
  <si>
    <t>This study was supported by a Grant-in-Aid for Early-Career Scientists JSPS KAKENHI Grant Number JP21436293. [JP21436293]</t>
  </si>
  <si>
    <t>This study was supported by a Grant-in-Aid for Early-Career Scientists JSPS KAKENHI Grant Number JP21436293.</t>
  </si>
  <si>
    <t>1931-4973</t>
  </si>
  <si>
    <t>1931-4981</t>
  </si>
  <si>
    <t>IEEJ T ELECTR ELECTR</t>
  </si>
  <si>
    <t>IEEJ Trans. Electr. Electron. Eng.</t>
  </si>
  <si>
    <t>10.1002/tee.23911</t>
  </si>
  <si>
    <t>Engineering, Electrical &amp; Electronic</t>
  </si>
  <si>
    <t>Engineering</t>
  </si>
  <si>
    <t>S3LQ9</t>
  </si>
  <si>
    <t>WOS:001070221500001</t>
  </si>
  <si>
    <t>Li, YQ; Dai, S; Zhou, XG; He, KP; Sun, XY</t>
  </si>
  <si>
    <t>Li, Yuqian; Dai, Shu; Zhou, Xiaoguang; He, Kaipeng; Sun, Xinyi</t>
  </si>
  <si>
    <t>Chinese students &amp; apos; attitudes towards US universities in the US-China conflict</t>
  </si>
  <si>
    <t>JOURNAL OF CONSUMER BEHAVIOUR</t>
  </si>
  <si>
    <t>COUNTRY-OF-ORIGIN; CONSUMER ANIMOSITY; HIGHER-EDUCATION; PURCHASE INTENTION; PRODUCT IMAGE; UNITED-STATES; BRAND EQUITY; PERCEPTIONS; QUALITY; GLOBALIZATION</t>
  </si>
  <si>
    <t>Globalization has been the catalyst of world economic development in the past decades. However, the phenomenon has recently been severely challenged by a wave of deglobalization. Within this new trend, the conflict between the United States (US) and China has attracted the attention of scholars from various fields because of the two countries' significance in the world economy. In this study, we focus on the higher education sector, which is highly relevant to globalization, and explore the factors that may affect Chinese college students' attitudes towards US universities, including country image, cultural openness, consumer animosity and perceived quality. In particular, we distinguish between cognitive and affective animosity and test their different impacts on students' attitudes. The results show that students' perception of the US's image positively influences attitudes towards the country's universities thanks to the mediation of perceived quality. Moreover, cultural openness and cognitive animosity are positively related to attitudes, whereas affective animosity exerts a negative impact on attitudes. The implications and limitations of this study are also discussed.</t>
  </si>
  <si>
    <t>[Li, Yuqian] Nanjing Xiaozhuang Univ, Sch Teacher Educ, Nanjing, Peoples R China; [Dai, Shu] Lingnan Normal Univ, Zhanjiang, Peoples R China; [Zhou, Xiaoguang] Jinan Univ, Sch Management, Guangzhou, Peoples R China; [He, Kaipeng] Beijing Forestry Univ, Sch Landscape Architecture, Beijing, Peoples R China; [Sun, Xinyi] Suzhou Sci &amp; Technol Town Foreign Language Sch, Suzhou, Peoples R China</t>
  </si>
  <si>
    <t>Nanjing Xiaozhuang University; LingNan Normal University; Jinan University; Beijing Forestry University</t>
  </si>
  <si>
    <t>Dai, S (corresponding author), Lingnan Normal Univ, Zhanjiang, Peoples R China.</t>
  </si>
  <si>
    <t>daishuwww@163.com</t>
  </si>
  <si>
    <t>The authors have nothing to report.</t>
  </si>
  <si>
    <t>1472-0817</t>
  </si>
  <si>
    <t>1479-1838</t>
  </si>
  <si>
    <t>J CONSUM BEHAV</t>
  </si>
  <si>
    <t>J. Consum. Behav.</t>
  </si>
  <si>
    <t>10.1002/cb.2241</t>
  </si>
  <si>
    <t>Business</t>
  </si>
  <si>
    <t>S1UY4</t>
  </si>
  <si>
    <t>WOS:001069104000001</t>
  </si>
  <si>
    <t>Lysakovski, P; Kopp, B; Tessonnier, T; Mein, S; Ferrari, A; Haberer, T; Debus, J; Mairani, A</t>
  </si>
  <si>
    <t>Lysakovski, Peter; Kopp, Benedikt; Tessonnier, Thomas; Mein, Stewart; Ferrari, Alfredo; Haberer, Thomas; Debus, Juergen; Mairani, Andrea</t>
  </si>
  <si>
    <t>Development and validation of MonteRay, a fast Monte Carlo dose engine for carbon ion beam radiotherapy</t>
  </si>
  <si>
    <t>MEDICAL PHYSICS</t>
  </si>
  <si>
    <t>carbon ions; dose calculation; fast Monte Carlo; radiotherapy</t>
  </si>
  <si>
    <t>SCANNED PROTON; FLUKA; SIMULATIONS; THERAPY; DISTRIBUTIONS; TRANSPORT; ENERGY; GEANT4; SYSTEM; MODEL</t>
  </si>
  <si>
    <t>BackgroundMonte Carlo (MC) simulations are considered the gold-standard for accuracy in radiotherapy dose calculation; so far however, no commercial treatment planning system (TPS) provides a fast MC for supporting clinical practice in carbon ion therapy.PurposeTo extend and validate the in-house developed fast MC dose engine MonteRay for carbon ion therapy, including physical and biological dose calculation.MethodsMonteRay is a CPU MC dose calculation engine written in C++ that is capable of simulating therapeutic proton, helium and carbon ion beams. In this work, development steps taken to include carbon ions in MonteRay are presented. Dose distributions computed with MonteRay are evaluated using a comprehensive validation dataset, including various measurements (pristine Bragg peaks, spread out Bragg peaks in water and behind an anthropomorphic phantom) and simulations of a patient plan. The latter includes both physical and biological dose comparisons. Runtimes of MonteRay were evaluated against those of FLUKA MC on a standard benchmark problem.ResultsDosimetric comparisons between MonteRay and measurements demonstrated good agreement. In terms of pristine Bragg peaks, mean errors between simulated and measured integral depth dose distributions were between -2.3% and +2.7%. Comparing SOBPs at 5, 12.5 and 20 cm depth, mean absolute relative dose differences were 0.9%, 0.7% and 1.6% respectively. Comparison against measurements behind an anthropomorphic head phantom revealed mean absolute dose differences of 1.2%&amp; PLUSMN;1.1%$1.2\% \pm 1.1\;\% \;$with global 3%/3 mm 3D-&amp; gamma; passing rates of 99.3%, comparable to those previously reached with FLUKA (98.9%). Comparisons against dose predictions computed with the clinical treatment planning tool RayStation 11B for a meningioma patient plan revealed excellent local 1%/1 mm 3D-&amp; gamma; passing rates of 98% for physical and 94% for biological dose. In terms of runtime, MonteRay achieved speedups against reference FLUKA simulations ranging from 14x to 72x, depending on the beam's energy and the step size chosen.ConclusionsValidations against clinical dosimetric measurements in homogeneous and heterogeneous scenarios and clinical TPS calculations have proven the validity of the physical models implemented in MonteRay. To conclude, MonteRay is viable as a fast secondary MC engine for supporting clinical practice in proton, helium and carbon ion radiotherapy.</t>
  </si>
  <si>
    <t>[Lysakovski, Peter; Kopp, Benedikt; Tessonnier, Thomas; Mein, Stewart; Ferrari, Alfredo; Haberer, Thomas; Debus, Juergen; Mairani, Andrea] Heidelberg Univ Hosp, Heidelberg Ion Beam Therapy Ctr HIT, Dept Radiat Oncol, Heidelberg, Germany; [Lysakovski, Peter] Heidelberg Univ, Fac Phys &amp; Astron, Heidelberg, Germany; [Tessonnier, Thomas; Mein, Stewart; Mairani, Andrea] Heidelberg Univ Hosp UKHD, German Canc Consortium DKTK, Natl Ctr Tumor Dis NCT, Clin Cooperat Unit Translat Radiat Oncol,Core Ctr, Heidelberg, Germany; [Mein, Stewart; Debus, Juergen; Mairani, Andrea] German Canc Res Ctr, Heidelberg, Germany; [Mein, Stewart] Heidelberg Univ Hosp UKHD, Heidelberg Fac Med MFHD, Div Mol &amp; Translat Radiat Oncol, Heidelberg, Germany; [Mein, Stewart] Heidelberg Univ Hosp UKHD, Dept Radiat Oncol, Heidelberg, Germany; [Mein, Stewart; Debus, Juergen] Heidelberg Univ Hosp UKHD, Heidelberg Fac Med MFHD, Heidelberg Inst Radiat Oncol HIRO, Natl Ctr Radiat Oncol NCRO, Heidelberg, Germany; [Mein, Stewart] Univ Penn, Dept Radiat Oncol, Philadelphia, PA USA; [Debus, Juergen] Heidelberg Univ Hosp UKHD, Clin Cooperat Unit Radiat Oncol, German Canc Consortium DKTK, Core Ctr Heidelberg,Natl Ctr Tumor Dis NCT,Dept Ra, Heidelberg, Germany; [Mairani, Andrea] Natl Ctr Oncol Hadrontherapy CNAO, Med Phys, Pavia, Italy</t>
  </si>
  <si>
    <t>Ruprecht Karls University Heidelberg; Ruprecht Karls University Heidelberg; Helmholtz Association; German Cancer Research Center (DKFZ); Ruprecht Karls University Heidelberg; Helmholtz Association; German Cancer Research Center (DKFZ); University of Pennsylvania; Helmholtz Association; German Cancer Research Center (DKFZ); Ruprecht Karls University Heidelberg; Centro Nazionale di Adroterapia Oncologica (CNAO)</t>
  </si>
  <si>
    <t>Mairani, A (corresponding author), Heidelberg Univ Hosp, Heidelberg Ion Beam Therapy Ctr HIT, Dept Radiat Oncol, Heidelberg, Germany.</t>
  </si>
  <si>
    <t>Andrea.Mairani@med.uni-heidelberg.de</t>
  </si>
  <si>
    <t>Open access funding enabled and organized by Projekt DEAL.</t>
  </si>
  <si>
    <t>The authors acknowledge financial support through the German Federal Ministry of Education and Research (BMBF) (Grant number: 13GW0436A).r Open access funding enabled and organized by Projekt DEAL.</t>
  </si>
  <si>
    <t>0094-2405</t>
  </si>
  <si>
    <t>2473-4209</t>
  </si>
  <si>
    <t>MED PHYS</t>
  </si>
  <si>
    <t>Med. Phys.</t>
  </si>
  <si>
    <t>10.1002/mp.16754</t>
  </si>
  <si>
    <t>Radiology, Nuclear Medicine &amp; Medical Imaging</t>
  </si>
  <si>
    <t>S3CN8</t>
  </si>
  <si>
    <t>WOS:001069984100001</t>
  </si>
  <si>
    <t>Prebil, K; Prelog, PR</t>
  </si>
  <si>
    <t>Prebil, Karla; Rus Prelog, Polona</t>
  </si>
  <si>
    <t>Acute massive pulmonary embolism during antipsychotic treatment: case report with opinion</t>
  </si>
  <si>
    <t>PSYCHOGERIATRICS</t>
  </si>
  <si>
    <t>Editorial Material; Early Access</t>
  </si>
  <si>
    <t>antipsychotic treatment; olanzapine; pulmonary embolism; risperidone; schizophrenia; venous thromboembolism prophylaxis</t>
  </si>
  <si>
    <t>VENOUS THROMBOEMBOLISM</t>
  </si>
  <si>
    <t>[Prebil, Karla; Rus Prelog, Polona] Univ Ljubljana, Ctr Clin Psychiat, Univ Psychiat Clin Ljubljana, Ljubljana, Slovenia; [Rus Prelog, Polona] Univ Ljubljana, Med Fac, Ljubljana, Slovenia; [Rus Prelog, Polona] Univ Psychiat Clin Ljubljana, Ctr Clin Psychiat, Chengdujska 45, Ljubljana, Slovenia</t>
  </si>
  <si>
    <t>University of Ljubljana; University of Ljubljana; University Medical Centre Ljubljana</t>
  </si>
  <si>
    <t>Prelog, PR (corresponding author), Univ Psychiat Clin Ljubljana, Ctr Clin Psychiat, Chengdujska 45, Ljubljana, Slovenia.</t>
  </si>
  <si>
    <t>polona.rus@psih-klinika.si</t>
  </si>
  <si>
    <t>We would like to thank the patient who shared the data.</t>
  </si>
  <si>
    <t>1346-3500</t>
  </si>
  <si>
    <t>1479-8301</t>
  </si>
  <si>
    <t>Psychogeriatrics</t>
  </si>
  <si>
    <t>10.1111/psyg.13026</t>
  </si>
  <si>
    <t>Geriatrics &amp; Gerontology; Psychiatry</t>
  </si>
  <si>
    <t>S5GZ3</t>
  </si>
  <si>
    <t>WOS:001071462600001</t>
  </si>
  <si>
    <t>Renshaw, AA; Pitman, MB</t>
  </si>
  <si>
    <t>Renshaw, Andrew A.; Pitman, Martha B.</t>
  </si>
  <si>
    <t>Risk of malignancy in renal biopsy: A review</t>
  </si>
  <si>
    <t>CANCER CYTOPATHOLOGY</t>
  </si>
  <si>
    <t>accuracy; biopsy; fine-needle aspiration; kidney; risk of malignancy</t>
  </si>
  <si>
    <t>FINE-NEEDLE-ASPIRATION; DIAGNOSIS; ACCURACY; FNA</t>
  </si>
  <si>
    <t>The risks of malignancy for cytologic categories in renal biopsy specimens differ from the risks in most other sites. There are obvious areas in which cytopathologists can do better at classifying these cases, and the routine use of immunohistochemistry and core-needle biopsy may improve the accuracy of the classification of these specimens. In renal biopsy specimens, the risks of malignancy for cytologic categories are different than the risks of malignancy in most other sites, mostly because of the very high underlying malignancy rate, and there are obvious areas in which cytopathologists can do better at classifying these cases. The routine use of immunohistochemistry and core-needle biopsy may improve the accuracy of the classification of these specimens.</t>
  </si>
  <si>
    <t>[Renshaw, Andrew A.] Baptist Hosp Miami, Dept Pathol, Miami, FL USA; [Renshaw, Andrew A.] Miami Canc Inst, Miami, FL USA; [Pitman, Martha B.] Massachusetts Gen Hosp, Dept Pathol, Boston, MA USA; [Renshaw, Andrew A.] Baptist Hosp Miami, Dept Pathol, 8900 North Kendall Dr, Miami, FL 33176 USA</t>
  </si>
  <si>
    <t>Baptist Hospital Miami; Harvard University; Massachusetts General Hospital; Baptist Hospital Miami</t>
  </si>
  <si>
    <t>Renshaw, AA (corresponding author), Baptist Hosp Miami, Dept Pathol, 8900 North Kendall Dr, Miami, FL 33176 USA.</t>
  </si>
  <si>
    <t>andrewr@baptisthealth.net</t>
  </si>
  <si>
    <t>1934-662X</t>
  </si>
  <si>
    <t>1934-6638</t>
  </si>
  <si>
    <t>CANCER CYTOPATHOL</t>
  </si>
  <si>
    <t>Cancer Cytopathol.</t>
  </si>
  <si>
    <t>10.1002/cncy.22759</t>
  </si>
  <si>
    <t>Oncology; Pathology</t>
  </si>
  <si>
    <t>S5CH5</t>
  </si>
  <si>
    <t>WOS:001071339800001</t>
  </si>
  <si>
    <t>Shi, M; Zhang, JY; Liu, D</t>
  </si>
  <si>
    <t>Shi, Miao; Zhang, Jiyu; Liu, Dan</t>
  </si>
  <si>
    <t>Full-thickness defect closure assisted by snare traction: Simple and effective method</t>
  </si>
  <si>
    <t>DIGESTIVE ENDOSCOPY</t>
  </si>
  <si>
    <t>RESECTION</t>
  </si>
  <si>
    <t>a video of this article.</t>
  </si>
  <si>
    <t>[Shi, Miao; Zhang, Jiyu; Liu, Dan] Zhengzhou Univ, Affiliated Hosp 1, Dept Hematol, Zhengzhou, Peoples R China; [Liu, Dan] Zhengzhou Univ, Affiliated Hosp 1, Dept Gastroenterol &amp; Hepatol, 1 Eastern Jianshe Rd, Zhengzhou 450052, Peoples R China</t>
  </si>
  <si>
    <t>Zhengzhou University; Zhengzhou University</t>
  </si>
  <si>
    <t>Liu, D (corresponding author), Zhengzhou Univ, Affiliated Hosp 1, Dept Gastroenterol &amp; Hepatol, 1 Eastern Jianshe Rd, Zhengzhou 450052, Peoples R China.</t>
  </si>
  <si>
    <t>wilmawell@163.com</t>
  </si>
  <si>
    <t>Liu, Dan/0000-0001-8313-4343</t>
  </si>
  <si>
    <t>Natural Science Foundation of Henan Province [212300410397]</t>
  </si>
  <si>
    <t>Natural Science Foundation of Henan Province</t>
  </si>
  <si>
    <t>THIS STUDY WAS supported by funding from the Natural Science Foundation of Henan Province to author D.L. (grant number 212300410397).</t>
  </si>
  <si>
    <t>0915-5635</t>
  </si>
  <si>
    <t>1443-1661</t>
  </si>
  <si>
    <t>DIGEST ENDOSC</t>
  </si>
  <si>
    <t>Dig. Endosc.</t>
  </si>
  <si>
    <t>10.1111/den.14675</t>
  </si>
  <si>
    <t>Gastroenterology &amp; Hepatology; Surgery</t>
  </si>
  <si>
    <t>S5KL9</t>
  </si>
  <si>
    <t>WOS:001071553900001</t>
  </si>
  <si>
    <t>Wang, CJ; Zhifu, Y; Liu, ZX; Cheng, YQ; Wei, W; Sun, L; Sang, SB</t>
  </si>
  <si>
    <t>Wang, Chunjing; Zhifu, Yin; Liu, Zixian; Cheng, Yongqiang; Wei, Wei; Sun, Lei; Sang, Shengbo</t>
  </si>
  <si>
    <t>Mechanism and influencing factors analysis of polyethylene oxide electrohydrodynamic printing</t>
  </si>
  <si>
    <t>POLYMER ENGINEERING AND SCIENCE</t>
  </si>
  <si>
    <t>cone-jet printing; electrohydrodynamic (EHD) printing; finite element simulation; polyethylene oxide (PEO) solution</t>
  </si>
  <si>
    <t>COMPOSITE ELECTRODES</t>
  </si>
  <si>
    <t>Electrohydrodynamic (EHD) printing is a micro-nano printing technology based on the principles of electric field and fluid dynamics. It is characterized by high resolution, high precision, and high speed, applied to various materials, including metals, ceramics, and organic materials. Compared with traditional printing technologies, EHD printing offers advantages such as low manufacturing cost, simple process, and direct fabrication, making it highly promising in the field of micro-nano manufacturing. Polyethylene oxide (PEO) is a highly water-soluble polymer that has been widely used in various fields due to its low toxicity and ease of processing. In this study, a finite element simulation model was developed using simulation software to simulate and analyze the mechanisms of focused jetting and deposition of PEO solution under an electric field. Based on the principles of electrohydrodynamics, a self-built EHD printing system was used to investigate the influence of different solution mass fractions and printing parameters on fiber formation, and the optimal process window of EHD printing PEO solution was obtained. Ultimately, ordered deposition of fiber lines ranging from 1.761 to 6.093 &amp; mu;m was achieved. The simulation results were consistent with the experimental results, validating the effectiveness of the established model in guiding jetting outcomes.HighlightsIndependently building a low-cost electrohydrodynamic (EHD) printing system.Finite element simulation of EHD printing process.Mechanism analysis of PEO solution jetting and deposition.Optimal process window for PEO solution EHD printing.Influence of key process parameters on fiber forming width. Schematic diagram of the EHD printing system and its injection and simulation process.image</t>
  </si>
  <si>
    <t>[Wang, Chunjing; Liu, Zixian; Cheng, Yongqiang; Sun, Lei; Sang, Shengbo] Taiyuan Univ Technol, Coll Elect Informat &amp; Opt Engn, Shanxi Key Lab Micro Nano Sensors &amp; Artificial Int, Taiyuan, Peoples R China; [Wang, Chunjing] Shanxi Res Inst 6D Artificial Intelligence Biomed, Taiyuan, Peoples R China; [Zhifu, Yin] Guilin Univ Elect Technol, Guangxi Key Lab Automatic Detecting Technol &amp; Inst, Guilin, Peoples R China; [Zhifu, Yin] Wuhan Univ Sci &amp; Technol, State Key Lab Refractories &amp; Met, Wuhan, Peoples R China; [Liu, Zixian; Cheng, Yongqiang; Sun, Lei; Sang, Shengbo] Taiyuan Univ Technol, Minist Educ, Key Lab Adv Transducers &amp; Intelligent Control Syst, Taiyuan, Peoples R China; [Wei, Wei] Shanxi Vocat Univ Engn Sci &amp; Technol, Architectural Engn Inst, Jinzhong, Peoples R China</t>
  </si>
  <si>
    <t>Taiyuan University of Technology; Guilin University of Electronic Technology; Wuhan University of Science &amp; Technology; Taiyuan University of Technology; Shanxi Vocational University of Engineering Science &amp; Technology</t>
  </si>
  <si>
    <t>Sun, L; Sang, SB (corresponding author), Taiyuan Univ Technol, Coll Elect Informat &amp; Opt Engn, Shanxi Key Lab Micro Nano Sensors &amp; Artificial Int, Taiyuan, Peoples R China.</t>
  </si>
  <si>
    <t>sunlei@tyut.edu.cn; sunboa-sang@tyut.edu.cn</t>
  </si>
  <si>
    <t>This work is supported by Basic Research Program of Shanxi for Youths (No.202103021223069), Guangxi Key Laboratory of Automatic Detecting Technology and Instruments (YQ22208), State Key Laboratory of Refractories and Metallurgy (No.G202202), National Natur [202103021223069]; Basic Research Program of Shanxi for Youths [YQ22208]; Guangxi Key Laboratory of Automatic Detecting Technology and Instruments; State Key Laboratory of Refractories and Metallurgy (No.G202202) [51975400, 62031022]; National Natural Science Foundation of China [2020XM06]; Shanxi Provincial Key Medical Scientific Research Project [202103021223069, 202103021221006, 20210302123040]; Shanxi Provincial Basic Research Project [2021L044, 2022SX-TD026]; Scientific and Technological Innovation Programs of Higher Education Institutions in Shanxi</t>
  </si>
  <si>
    <t>This work is supported by Basic Research Program of Shanxi for Youths (No.202103021223069), Guangxi Key Laboratory of Automatic Detecting Technology and Instruments (YQ22208), State Key Laboratory of Refractories and Metallurgy (No.G202202), National Natur; Basic Research Program of Shanxi for Youths; Guangxi Key Laboratory of Automatic Detecting Technology and Instruments; State Key Laboratory of Refractories and Metallurgy (No.G202202); National Natural Science Foundation of China(National Natural Science Foundation of China (NSFC)); Shanxi Provincial Key Medical Scientific Research Project; Shanxi Provincial Basic Research Project; Scientific and Technological Innovation Programs of Higher Education Institutions in Shanxi</t>
  </si>
  <si>
    <t>This work is supported by Basic Research Program of Shanxi for Youths (No.202103021223069), Guangxi Key Laboratory of Automatic Detecting Technology and Instruments (YQ22208), State Key Laboratory of Refractories and Metallurgy (No.G202202), National Natural Science Foundation of China (No. 51975400, No. 62031022), Shanxi Provincial Key Medical Scientific Research Project (2020XM06), Shanxi Provincial Basic Research Project (No. 202103021221006, No. 20210302123040, No. 202103021223069), Scientific and Technological Innovation Programs of Higher Education Institutions in Shanxi (No. 2021L044), and Shanxi-Zheda Institute of Advanced Materials and Chemical Engineering (2022SX-TD026).</t>
  </si>
  <si>
    <t>0032-3888</t>
  </si>
  <si>
    <t>1548-2634</t>
  </si>
  <si>
    <t>POLYM ENG SCI</t>
  </si>
  <si>
    <t>Polym. Eng. Sci.</t>
  </si>
  <si>
    <t>10.1002/pen.26508</t>
  </si>
  <si>
    <t>Engineering, Chemical; Polymer Science</t>
  </si>
  <si>
    <t>Engineering; Polymer Science</t>
  </si>
  <si>
    <t>S2TB5</t>
  </si>
  <si>
    <t>WOS:001069735300001</t>
  </si>
  <si>
    <t>Wang, QY; Li, W; Zhang, XZ; Chung, SL; Dai, JL; Jin, Z</t>
  </si>
  <si>
    <t>Wang, Qiuyue; Li, Wen; Zhang, Xiaozhuo; Chung, Shuet Ling; Dai, Jinling; Jin, Zhu</t>
  </si>
  <si>
    <t>Tauroursodeoxycholic acid protects Schwann cells from high glucose-induced cytotoxicity by targeting NLRP3 to regulate cell migration and pyroptosis</t>
  </si>
  <si>
    <t>BIOTECHNOLOGY AND APPLIED BIOCHEMISTRY</t>
  </si>
  <si>
    <t>diabetic peripheral neuropathy; NLRP3; pyroptosis; Schwann cells; tauroursodeoxycholic acid</t>
  </si>
  <si>
    <t>DIABETIC PERIPHERAL NEUROPATHY; MICROBIOTA</t>
  </si>
  <si>
    <t>Diabetic peripheral neuropathy (DPN) is the most prevalent complication of type 2 diabetes mellitus (T2DM), and it seriously affects the quality of life of patients. Tauroursodeoxycholic acid (TUDCA) is a bile acid that plays a protective role against various diseases. However, the function of TUDCA in DPN progression needs to be elucidated. Hence, this study clarified the action of TUDCA on DPN development and explored its mechanism of action. Fecal samples were collected from 50 patients with T2DM or DPN. Schwann cells induced by high levels were constructed to simulate an uncontrolled diabetic state. Cell viability and migration were measured using the CCK-8 and wound-healing assays, respectively. Reactive oxygen species and pyroptosis were detected using flow cytometry. Parabacteroides goldsteinii and Parabacteroides distasonis levels were decreased in the feces of patients with DPN. TUDCA enhanced the viability and migration ability of high glucose-stimulated Schwann cells. In addition, Schwann cell pyroptosis stimulated by high glucose levels was inhibited by TUDCA. Furthermore, the protective roles of TUDCA in cell viability, migration ability, and pyroptosis of Schwann cells stimulated by high glucose were suppressed by the overexpression of NLRP3. TUDCA enhanced cell viability and migration and suppressed pyroptosis in Schwann cells stimulated by high glucose levels by modulating NLRP3 expression. Thus, TUDCA may be a promising drug for DPN therapy.</t>
  </si>
  <si>
    <t>[Wang, Qiuyue; Li, Wen; Zhang, Xiaozhuo; Chung, Shuet Ling; Dai, Jinling; Jin, Zhu] Shanghai Univ Tradit Chinese Med, Shanghai Peoples Hosp 7, Dept Acupuncture &amp; Moxibust, Shanghai, Peoples R China; [Jin, Zhu] Shanghai Univ Tradit Chinese Med, Shanghai Peoples Hosp 7, Dept Acupuncture &amp; Moxibust, Shanghai 200137, Peoples R China</t>
  </si>
  <si>
    <t>Shanghai University of Traditional Chinese Medicine; Shanghai University of Traditional Chinese Medicine</t>
  </si>
  <si>
    <t>Jin, Z (corresponding author), Shanghai Univ Tradit Chinese Med, Shanghai Peoples Hosp 7, Dept Acupuncture &amp; Moxibust, Shanghai 200137, Peoples R China.</t>
  </si>
  <si>
    <t>112706196@qq.com</t>
  </si>
  <si>
    <t>This research was funded by Shanghai Municipal Commission of Health A randomized controlled study on the prevention and treatment of metabolic syndrome by Luamp;apos;s acupuncture and moxibustion for strengthening the spleen and stomach, 202040002; Shan [202040002]; Shanghai Municipal Commission of Health A randomized controlled study on the prevention and treatment of metabolic syndrome [PWRzj2020-03]; Shanghai University of Traditional Chinese Medicine Reserve outstanding Chinese medicine talents</t>
  </si>
  <si>
    <t>This research was funded by Shanghai Municipal Commission of Health A randomized controlled study on the prevention and treatment of metabolic syndrome by Luamp;apos;s acupuncture and moxibustion for strengthening the spleen and stomach, 202040002; Shan; Shanghai Municipal Commission of Health A randomized controlled study on the prevention and treatment of metabolic syndrome; Shanghai University of Traditional Chinese Medicine Reserve outstanding Chinese medicine talents</t>
  </si>
  <si>
    <t>This research was funded by Shanghai Municipal Commission of Health A randomized controlled study on the prevention and treatment of metabolic syndrome by Lu &amp; apos;s acupuncture and moxibustion for strengthening the spleen and stomach, 202040002; Shanghai University of Traditional Chinese Medicine Reserve outstanding Chinese medicine talents; the heir to Pudong &amp; apos;s traditional Chinese medicine, PWRzj2020-03.</t>
  </si>
  <si>
    <t>0885-4513</t>
  </si>
  <si>
    <t>1470-8744</t>
  </si>
  <si>
    <t>BIOTECHNOL APPL BIOC</t>
  </si>
  <si>
    <t>Biotechnol. Appl. Biochem.</t>
  </si>
  <si>
    <t>10.1002/bab.2518</t>
  </si>
  <si>
    <t>Biochemistry &amp; Molecular Biology; Biotechnology &amp; Applied Microbiology</t>
  </si>
  <si>
    <t>S3EZ9</t>
  </si>
  <si>
    <t>WOS:001070048300001</t>
  </si>
  <si>
    <t>Xing, JL; Zhu, G; Fang, XZ; Chen, GF</t>
  </si>
  <si>
    <t>Xing, Jinglei; Zhu, Ge; Fang, Xingzhong; Chen, Guofei</t>
  </si>
  <si>
    <t>Preparation of soluble colorless poly(amide-imide) films with high glass transition temperature and low coefficient of thermal expansion by coordination interaction of Li cations</t>
  </si>
  <si>
    <t>JOURNAL OF POLYMER SCIENCE</t>
  </si>
  <si>
    <t>coordination; high T-g; high transparency; low CTE; poly(amide-imide)</t>
  </si>
  <si>
    <t>HIGH-T-G; POLYIMIDE FILMS; LOW-CTE; TRANS-1,4-CYCLOHEXANE UNIT; ULTRALOW COEFFICIENTS; ALICYCLIC POLYIMIDES; LOW-K; RESISTANT; TRANSPARENT; IMIDE)S</t>
  </si>
  <si>
    <t>To meet the needs of high heat-resistant and colorless polyimide (CPI) films, a series of poly(amide-imide) (PAI) films were synthesized by copolymerization of 1,2,3,4-cyclobutanetetracarboxylic dianhydride (CBDA), terephthaloyl chloride (TPC), 4,4'-(hexafluoroisopropylidene)diphthalic anhydride (6FDA) and 2,2'-bis(trifluoromethyl)benzidine (TFDB) with the addition of lithium chloride (LiCl) for ionic coordination. The coordination of Li cations with carbonyl groups significantly reduced the coefficient of thermal expansion (CTE) and improved the mechanical properties. Moreover, by adjusting the ratio of CBDA and TPC, all PAI films exhibited high glass transition temperature (T-g), low CTE and high transparency. Among these PAI films, PAI-6-2Li exhibited excellent comprehensive performance with a high T(g )of 363 degrees C, low CTE of 6.4 ppm/K, high transmittance of 84% at 400 nm and tensile modulus of 7.2 GPa, which was expected to be used in the field of flexible displays.</t>
  </si>
  <si>
    <t>[Xing, Jinglei; Zhu, Ge; Fang, Xingzhong; Chen, Guofei] Chinese Acad Sci, Ningbo Inst Mat Technol &amp; Engn, Ningbo, Zhejiang, Peoples R China; [Xing, Jinglei] Univ Chinese Acad Sci, Sch Chem Sci, Beijing, Peoples R China; [Fang, Xingzhong; Chen, Guofei] Chinese Acad Sci, Ningbo Inst Mat Technol &amp; Engn, Ningbo 315201, Zhejiang, Peoples R China</t>
  </si>
  <si>
    <t>Chinese Academy of Sciences; Ningbo Institute of Materials Technology and Engineering, CAS; Chinese Academy of Sciences; University of Chinese Academy of Sciences, CAS; Chinese Academy of Sciences; Ningbo Institute of Materials Technology and Engineering, CAS</t>
  </si>
  <si>
    <t>Fang, XZ; Chen, GF (corresponding author), Chinese Acad Sci, Ningbo Inst Mat Technol &amp; Engn, Ningbo 315201, Zhejiang, Peoples R China.</t>
  </si>
  <si>
    <t>fxzhong@nimte.ac.cn; gfchen@nimte.ac.cn</t>
  </si>
  <si>
    <t>This work was financially supported by the National Key Research and Development Program of China (No. 2018YFA0209200 and 2022YFB3803300), and Key Research and Development Program of Jiangbei New District of Nanjing City (No. ZDYF20200119). [2018YFA0209200, 2022YFB3803300]; National Key Research and Development Program of China [ZDYF20200119]; Key Research and Development Program of Jiangbei New District of Nanjing City</t>
  </si>
  <si>
    <t>This work was financially supported by the National Key Research and Development Program of China (No. 2018YFA0209200 and 2022YFB3803300), and Key Research and Development Program of Jiangbei New District of Nanjing City (No. ZDYF20200119).; National Key Research and Development Program of China; Key Research and Development Program of Jiangbei New District of Nanjing City</t>
  </si>
  <si>
    <t>This work was financially supported by the National Key Research and Development Program of China (No. 2018YFA0209200 and 2022YFB3803300), and Key Research and Development Program of Jiangbei New District of Nanjing City (No. ZDYF20200119).</t>
  </si>
  <si>
    <t>111 RIVER ST, HOBOKEN, NJ 07030 USA</t>
  </si>
  <si>
    <t>2642-4150</t>
  </si>
  <si>
    <t>2642-4169</t>
  </si>
  <si>
    <t>J POLYM SCI</t>
  </si>
  <si>
    <t>J. Polym. Sci.</t>
  </si>
  <si>
    <t>10.1002/pol.20230462</t>
  </si>
  <si>
    <t>Polymer Science</t>
  </si>
  <si>
    <t>S4JJ0</t>
  </si>
  <si>
    <t>WOS:001070843200001</t>
  </si>
  <si>
    <t>Jelodari, M; Amirhosseini, MH; Giraldez-Hayes, A</t>
  </si>
  <si>
    <t>Jelodari, Mahdi; Amirhosseini, Mohammad Hossein; Giraldez-Hayes, Andrea</t>
  </si>
  <si>
    <t>An AI powered system to enhance self-reflection practice in coaching</t>
  </si>
  <si>
    <t>COGNITIVE COMPUTATION AND SYSTEMS</t>
  </si>
  <si>
    <t>coaching; conversation map; intent classification; knowledge graph; natural language processing; personal development; transformer models; visual summary</t>
  </si>
  <si>
    <t>MANAGEMENT; AGENCY; BOTS</t>
  </si>
  <si>
    <t>Self-reflection practice in coaching can help with time management by promoting self-awareness. Through this process, a coach can identify habits, tendencies and behaviours that may be causing distraction or make them less productive. This insight can be used to make changes in behaviour and establish new habits that promote effective use of time. This can also help the coach to prioritise goals and create a clear roadmap. An AI powered system has been proposed that maps the conversion onto topics and relations that could help the coach with note-taking and progress identification throughout the session. This system enables the coach to actively self-reflect on time management and make sure the conversation follows the target framework. This will help the coach to better understand the goal setting, breakthrough moment, and client accountability. The proposed end-to-end system is capable of identifying coaching segments (Goal, Option, Reality, and Way forward) across a session with 85% accuracy. Experimental evaluation has also been conducted on the coaching dataset which includes over 1k one-to-one English coaching sessions. In regards to the novelty, there are no datasets of such nor study of this kind to enable self-reflection actively and evaluate in-session performance of the coach.</t>
  </si>
  <si>
    <t>[Jelodari, Mahdi] Keptika Ltd, London, England; [Amirhosseini, Mohammad Hossein] Univ East London, Sch Architecture Comp &amp; Engn, Dept Comp Sci &amp; Digital Technol, London, England; [Giraldez-Hayes, Andrea] Sch Psychol, Dept Profess Psychol, Wellbeing &amp; Psychol Serv Clin, London, England</t>
  </si>
  <si>
    <t>University of East London</t>
  </si>
  <si>
    <t>Amirhosseini, MH (corresponding author), Univ East London, Sch Architecture Comp &amp; Engn, Dept Comp Sci &amp; Digital Technol, London, England.</t>
  </si>
  <si>
    <t>M.H.Amirhosseini@uel.ac.uk</t>
  </si>
  <si>
    <t>We would like to thank Dr Joel Digirolamo from the international coaching federation for his helpful advice on reflective coaching and outcome measurements. We would also like to thank Saber Jelodari and Mousoumi Chudhury for helping with data labeling, re</t>
  </si>
  <si>
    <t>We would like to thank Dr Joel Digirolamo from the international coaching federation for his helpful advice on reflective coaching and outcome measurements. We would also like to thank Saber Jelodari and Mousoumi Chudhury for helping with data labeling, review and dataset topic tagging.</t>
  </si>
  <si>
    <t>2517-7567</t>
  </si>
  <si>
    <t>COGN COMPUT SYST</t>
  </si>
  <si>
    <t>Cogn. Comput. Syst.</t>
  </si>
  <si>
    <t>2023 SEP 24</t>
  </si>
  <si>
    <t>10.1049/ccs2.12087</t>
  </si>
  <si>
    <t>Computer Science, Artificial Intelligence; Robotics</t>
  </si>
  <si>
    <t>Computer Science; Robotics</t>
  </si>
  <si>
    <t>S6JG7</t>
  </si>
  <si>
    <t>WOS:001072200000001</t>
  </si>
  <si>
    <t>Kudlacova, J; Kuzilkova, D; Barta, F; Brdickova, N; Vavrova, A; Kostka, L; Hovorka, O; Kalina, T; Etrych, T</t>
  </si>
  <si>
    <t>Kudlacova, Julia; Kuzilkova, Daniela; Barta, Frantisek; Brdickova, Nadezda; Vavrova, Adela; Kostka, Libor; Hovorka, Ondrej; Kalina, Tomasc; Etrych, Tomasc</t>
  </si>
  <si>
    <t>Hybrid Macromolecular Constructs as a Platform for Spectral Nanoprobes for Advanced Cellular Barcoding in Flow Cytometry</t>
  </si>
  <si>
    <t>MACROMOLECULAR BIOSCIENCE</t>
  </si>
  <si>
    <t>antibody-polymer-dye conjugates; cellular barcoding; double fluorescence; flow cytometry; nanoprobes</t>
  </si>
  <si>
    <t>RAFT-SYNTHESIZED POLYMERS; CLASS-I EXPRESSION; HPMA COPOLYMERS; DOWN-REGULATION; ACUTE-LEUKEMIA; ALLELIC LEVEL; ANTIBODY; FLUORESCENT; REDUCTION; AFFINITY</t>
  </si>
  <si>
    <t>Herein, an advanced bioconjugation technique to synthesize hybrid polymer-antibody nanoprobes tailored for fluorescent cell barcoding in flow cytometry-based immunophenotyping of leukocytes is applied. A novel approach of attachment combining two fluorescent dyes on the copolymer precursor and its conjugation to antibody is employed to synthesize barcoded nanoprobes of antibody polymer dyes allowing up to six nanoprobes to be resolved in two-dimensional cytometry analysis. The major advantage of these nanoprobes is the construct design in which the selected antibody is labeled with an advanced copolymer bearing two types of fluorophores in different molar ratios. The cells after antibody recognition and binding to the target antigen have a characteristic double fluorescence signal for each nanoprobe providing a unique position on the dot plot, thus allowing antibody-based barcoding of cellular samples in flow cytometry assays. This technique is valuable for cellular assays that require low intersample variability and is demonstrated by the live cell barcoding of clinical samples with B cell abnormalities. In total, the samples from six various donors were successfully barcoded using only two detection channels. This barcoding of clinical samples enables sample preparation and measurement in a single tube. An advanced bioconjugation technique of hybrid polymer-antibody nanoprobes tailored for fluorescent cell barcoding in flow cytometry-based immunophenotyping of leukocytes is developed. The approach based on attachment of two fluorescent dyes on the copolymer precursor and its conjugation to antibody is employed to synthesize barcoded nanoprobes of antibody polymer dyes allowing up to six nanoprobes to be resolved in two-dimensional cytometry analysis.image</t>
  </si>
  <si>
    <t>[Kudlacova, Julia; Kostka, Libor; Etrych, Tomasc] Inst Macromol Chem CAS, Dept Biomed Polymers, Heyrovskeho Nam 2, Prague 16200, Czech Republic; [Kuzilkova, Daniela; Brdickova, Nadezda; Vavrova, Adela; Kalina, Tomasc] Charles Univ Prague, Fac Med 2, Dept Paediat Haematol &amp; Oncol, CLIP Childhood Leukemia Invest Prague, V Uvalu 84, Prague 15006, Czech Republic; [Kuzilkova, Daniela; Brdickova, Nadezda; Vavrova, Adela; Kalina, Tomasc] Univ Hosp Motol, V Uvalu 84, Prague 15006, Czech Republic; [Barta, Frantisek; Hovorka, Ondrej] ITA Intertact Sro, R&amp;D Div, Cernokostelecka 143, Prague 10800, Czech Republic</t>
  </si>
  <si>
    <t>Czech Academy of Sciences; Institute of Macromolecular Chemistry of the Czech Academy of Sciences; Charles University Prague; Motol University Hospital</t>
  </si>
  <si>
    <t>Etrych, T (corresponding author), Inst Macromol Chem CAS, Dept Biomed Polymers, Heyrovskeho Nam 2, Prague 16200, Czech Republic.</t>
  </si>
  <si>
    <t>etrych@imc.cas.cz</t>
  </si>
  <si>
    <t>Kostka, Libor/H-4182-2014</t>
  </si>
  <si>
    <t>Kostka, Libor/0000-0002-7770-1855</t>
  </si>
  <si>
    <t>J.K., D.K., T.K., and T.E. contributed equally to this work. This work was supported by the Ministry of Health of the Czech Republic (projects NU21-08-00280 and NU23J-03-00026), the Ministry of Industry and Trade of the Czech Republic (project FV10370), an [NU21-08-00280, NU23J-03-00026]; Ministry of Health of the Czech Republic [FV10370]; Ministry of Industry and Trade of the Czech Republic [LX22NPO5102]; National Institute for Cancer Research; European Union - Next Generation EU</t>
  </si>
  <si>
    <t>J.K., D.K., T.K., and T.E. contributed equally to this work. This work was supported by the Ministry of Health of the Czech Republic (projects NU21-08-00280 and NU23J-03-00026), the Ministry of Industry and Trade of the Czech Republic (project FV10370), an; Ministry of Health of the Czech Republic(Ministry of Health, Czech Republic); Ministry of Industry and Trade of the Czech Republic; National Institute for Cancer Research; European Union - Next Generation EU</t>
  </si>
  <si>
    <t>J.K., D.K., T.K., and T.E. contributed equally to this work. This work was supported by the Ministry of Health of the Czech Republic (projects NU21-08-00280 and NU23J-03-00026), the Ministry of Industry and Trade of the Czech Republic (project FV10370), and the National Institute for Cancer Research (Program EXCELES, ID Project No. LX22NPO5102) funded by the European Union - Next Generation EU.</t>
  </si>
  <si>
    <t>1616-5187</t>
  </si>
  <si>
    <t>1616-5195</t>
  </si>
  <si>
    <t>MACROMOL BIOSCI</t>
  </si>
  <si>
    <t>Macromol. Biosci.</t>
  </si>
  <si>
    <t>10.1002/mabi.202300306</t>
  </si>
  <si>
    <t>Biochemistry &amp; Molecular Biology; Materials Science, Biomaterials; Polymer Science</t>
  </si>
  <si>
    <t>Biochemistry &amp; Molecular Biology; Materials Science; Polymer Science</t>
  </si>
  <si>
    <t>S1OO4</t>
  </si>
  <si>
    <t>WOS:001068936800001</t>
  </si>
  <si>
    <t>Li, L; Shiradkar, R; Gottlieb, N; Buzzy, C; Hiremath, A; Viswanathan, VS; MacLennan, GT; Lima, DO; Gupta, K; Shen, DL; Tirumani, SH; Magi-Galluzzi, C; Purysko, A; Madabhushi, A</t>
  </si>
  <si>
    <t>Li, Lin; Shiradkar, Rakesh; Gottlieb, Noah; Buzzy, Christina; Hiremath, Amogh; Viswanathan, Vidya Sankar; MacLennan, Gregory T.; Lima, Danly Omil; Gupta, Karishma; Shen, Daniel Lee; Tirumani, Sree Harsha; Magi-Galluzzi, Cristina; Purysko, Andrei; Madabhushi, Anant</t>
  </si>
  <si>
    <t>Multi-scale statistical deformation based co-registration of prostate MRI and post-surgical whole mount histopathology</t>
  </si>
  <si>
    <t>histology; MRI; prostate; registration</t>
  </si>
  <si>
    <t>CANCER; ASSOCIATION; HISTOLOGY; THERAPY</t>
  </si>
  <si>
    <t>Background: Accurate delineations of regions of interest (ROIs) on multi-parametric magnetic resonance imaging (mpMRI) are crucial for development of automated, machine learning-based prostate cancer (PCa) detection and segmentation models. However, manual ROI delineations are labor-intensive and susceptible to inter-reader variability. Histopathology images from radical prostatectomy (RP) represent the gold standard in terms of the delineation of disease extents, for example, PCa, prostatitis, and benign prostatic hyperplasia (BPH). Co-registering digitized histopathology images onto pre-operative mpMRI enables automated mapping of the ground truth disease extents onto mpMRI, thus enabling the development of machine learning tools for PCa detection and risk stratification. Still, MRI-histopathology co-registration is challenging due to various artifacts and large deformation between in vivo MRI and ex vivo whole-mount histopathology images (WMHs). Furthermore, the artifacts on WMHs, such as tissue loss, may introduce unrealistic deformation during co-registration.Purpose: This study presents a new registration pipeline, MSERgSDM, a multi-scale feature-based registration (MSERg) with a statistical deformation (SDM) constraint, which aims to improve accuracy of MRI-histopathology co-registration.Methods: In this study, we collected 85 pairs of MRI and WMHs from 48 patients across three cohorts. Cohort 1 (D1), comprised of a unique set of 3D printed mold data from six patients, facilitated the generation of ground truth deformations between ex vivo WMHs and in vivo MRI. The other two clinically acquired cohorts (D2 and D3) included 42 patients. Affine and nonrigid registrations were employed to minimize the deformation between ex vivo WMH and ex vivo T2-weighted MRI (T2WI) in D1. Subsequently, ground truth deformation between in vivo T2WI and ex vivo WMH was approximated as the deformation between in vivo T2WI and ex vivo T2WI. In D2 and D3, the prostate anatomical annotations, for example, tumor and urethra, were made by a pathologist and a radiologist in collaboration. These annotations included ROI boundary contours and landmark points. Before applying the registration, manual corrections were made for flipping and rotation of WMHs. MSERgSDM comprises two main components: (1) multi-scale representation construction, and (2) SDM construction. For the SDM construction, we collected N = 200 reasonable deformation fields generated using MSERg, verified through visual inspection. Three additional methods, including intensity-based registration, ProsRegNet, and MSERg, were also employed for comparison against MSERgSDM.Results: Our results suggest that MSERgSDM performed comparably to the ground truth (p &gt; 0.05). Additionally, MSERgSDM (ROI Dice ratio = 0.61, landmark distance = 3.26 mm) exhibited significant improvement over MSERg (ROI Dice ratio = 0.59, landmark distance = 3.69 mm) and ProsRegNet (ROI Dice ratio = 0.56, landmark distance = 4.00 mm) in local alignment.Conclusions: This study presents a novel registration method, MSERgSDM, for mapping ex vivo WMH onto in vivo prostate MRI. Our preliminary results demonstrate that MSERgSDM can serve as a valuable tool to map ground truth disease annotations from histopathology images onto MRI, thereby assisting in the development of machine learning models for PCa detection on MRI.</t>
  </si>
  <si>
    <t>[Li, Lin; Gottlieb, Noah; Buzzy, Christina; Hiremath, Amogh] Case Western Reserve Univ, Deptartment Biomed Engn, Cleveland, OH USA; [Shiradkar, Rakesh; Viswanathan, Vidya Sankar; Madabhushi, Anant] Emory Univ, Wallace H Coulter Dept Biomed Engn, Atlanta, GA USA; [Shiradkar, Rakesh; Viswanathan, Vidya Sankar; Madabhushi, Anant] Georgia Inst Technol, Atlanta, GA USA; [MacLennan, Gregory T.; Lima, Danly Omil; Gupta, Karishma; Shen, Daniel Lee] Case Western Reserve Univ, Univ Hosp Cleveland Med Ctr, Dept Pathol &amp; Urol, Cleveland, OH USA; [Tirumani, Sree Harsha] Univ Hosp, Dept Radiol, Cleveland, OH USA; [Magi-Galluzzi, Cristina] Univ Alabama Birmingham, Dept Dermatol, Alabama, NY USA; [Purysko, Andrei] Cleveland Clin, Glickman Urol &amp; Kidney Inst, Cleveland, OH USA; [Purysko, Andrei] Cleveland Clin, Imaging Inst, Cleveland, OH USA; [Purysko, Andrei] Atlanta Vet Adm Med Ctr, Atlanta, GA USA; [Madabhushi, Anant] Hlth Sci Res Bldg,1750 Haygood Dr,Suite 647, Atlanta, GA 30322 USA</t>
  </si>
  <si>
    <t>Case Western Reserve University; Emory University; University System of Georgia; Georgia Institute of Technology; Case Western Reserve University; University Hospitals of Cleveland; Cleveland Clinic Foundation; Cleveland Clinic Foundation</t>
  </si>
  <si>
    <t>Madabhushi, A (corresponding author), Hlth Sci Res Bldg,1750 Haygood Dr,Suite 647, Atlanta, GA 30322 USA.</t>
  </si>
  <si>
    <t>anantm@emory.edu</t>
  </si>
  <si>
    <t>Research reported in this publication was supported by the National Cancer Institute under award numbers R01CA249992-01A1, R01CA202752-01A1, R01CA208236-01A1, R01CA216579-01A1, R01CA220581-01A1, R01CA257612-01A1, 1U01CA239055-01, 1U01CA248226-01, 1U54CA254 [R01CA249992-01A1, R01CA202752-01A1, R01CA208236-01A1, R01CA216579-01A1, R01CA220581-01A1, R01CA257612-01A1, 1U01CA239055-01, 1U01CA248226-01, 1U54CA254566-01, 1R01HL15127701A1, R01HL15807101A1]; National Cancer Institute [1R43EB028736-01]; National Institute of Biomedical Imaging and Bioengineering [1 C06 RR12463-01, IBX004121A]; National Center for Research Resources; United States Department of Veterans Affairs Biomedical Laboratory Research and Development Service [W81XWH-19-1-0668]; Office of the Assistant Secretary of Defense for Health Affairs, through the Breast Cancer Research Program [W81XWH-15-1-0558, W81XWH-20-1-0851, W81XWH-18-1-0524]; Prostate Cancer Research Program [W81XWH-18-1-0440, W81XWH-20-1-0595]; Lung Cancer Research Program [W81XWH-18-1-0404, W81XWH-21-1-0345, W81XWH-21-1-0160]; Peer Reviewed Cancer Research Program; Kidney Precision Medicine Project (KPMP) Glue Grant; Bristol Myers-Squibb; AstraZeneca; U.S. Department of Veterans Affairs</t>
  </si>
  <si>
    <t>Research reported in this publication was supported by the National Cancer Institute under award numbers R01CA249992-01A1, R01CA202752-01A1, R01CA208236-01A1, R01CA216579-01A1, R01CA220581-01A1, R01CA257612-01A1, 1U01CA239055-01, 1U01CA248226-01, 1U54CA254; National Cancer Institute(United States Department of Health &amp; Human ServicesNational Institutes of Health (NIH) - USANIH National Cancer Institute (NCI)); National Institute of Biomedical Imaging and Bioengineering(United States Department of Health &amp; Human ServicesNational Institutes of Health (NIH) - USANIH National Institute of Biomedical Imaging &amp; Bioengineering (NIBIB)); National Center for Research Resources(United States Department of Health &amp; Human ServicesNational Institutes of Health (NIH) - USANIH National Center for Research Resources (NCRR)); United States Department of Veterans Affairs Biomedical Laboratory Research and Development Service; Office of the Assistant Secretary of Defense for Health Affairs, through the Breast Cancer Research Program; Prostate Cancer Research Program; Lung Cancer Research Program; Peer Reviewed Cancer Research Program; Kidney Precision Medicine Project (KPMP) Glue Grant; Bristol Myers-Squibb(Bristol-Myers Squibb); AstraZeneca(AstraZeneca); U.S. Department of Veterans Affairs(US Department of Veterans Affairs)</t>
  </si>
  <si>
    <t>Research reported in this publication was supported by the National Cancer Institute under award numbers R01CA249992-01A1, R01CA202752-01A1, R01CA208236-01A1, R01CA216579-01A1, R01CA220581-01A1, R01CA257612-01A1, 1U01CA239055-01, 1U01CA248226-01, 1U54CA254566-01, National Heart, Lung and Blood Institute 1R01HL15127701A1, R01HL15807101A1, National Institute of Biomedical Imaging and Bioengineering 1R43EB028736-01, National Center for Research Resources under award number 1 C06 RR12463-01, VA Merit Review Award IBX004121A from the United States Department of Veterans Affairs Biomedical Laboratory Research and Development Service, the Office of the Assistant Secretary of Defense for Health Affairs, through the Breast Cancer Research Program (W81XWH-19-1-0668), the Prostate Cancer Research Program (W81XWH-15-1-0558, W81XWH-20-1-0851, W81XWH-18-1-0524), the Lung Cancer Research Program (W81XWH-18-1-0440, W81XWH-20-1-0595), the Peer Reviewed Cancer Research Program (W81XWH-18-1-0404, W81XWH-21-1-0345, W81XWH-21-1-0160), the Kidney Precision Medicine Project (KPMP) Glue Grant and sponsored research agreements from Bristol Myers-Squibb, Boehringer-Ingelheim, Eli-Lilly, and AstraZeneca. The content is solely the responsibility of the authors and does not necessarily represent the official views of the National Institutes of Health, the U.S. Department of Veterans Affairs, the Department of Defense, or the United States Government.</t>
  </si>
  <si>
    <t>10.1002/mp.16753</t>
  </si>
  <si>
    <t>S4AT2</t>
  </si>
  <si>
    <t>WOS:001070618300001</t>
  </si>
  <si>
    <t>Wang, YC; Ye, LH; Fitzhugh, W; Chen, X; Li, X</t>
  </si>
  <si>
    <t>Wang, Yichao; Ye, Luhan; Fitzhugh, William; Chen, Xi; Li, Xin</t>
  </si>
  <si>
    <t>Interface Coating Design for Dynamic Voltage Stability of Solid-State Batteries</t>
  </si>
  <si>
    <t>coating; dynamic voltage stability; interfaces; solid-state batteries</t>
  </si>
  <si>
    <t>IONIC-CONDUCTIVITY; LITHIUM; ELECTROLYTE; CONDUCTORS; PHASE</t>
  </si>
  <si>
    <t>Intrinsic or interface thermodynamic voltage windows of solid electrolytes are often narrower than the operational voltage range needed by a full battery, thus various interface decomposition reactions can happen in a practical solid-state battery. Experimentally, it is found that a proper battery design utilizing the reactions can lead to a dynamic evolution from interface instability to stability, giving the so-called dynamic voltage stability for advanced battery performance. Here, first the state-of-the-art understanding is articulated about how the dynamic voltage stability should be interpreted in physical picture and treated in computation, emphasizing the potential importance of nonequilibrium reaction pathways. The constrained ensemble computational approach is further applied across most types of solid-state electrolytes to systematically evaluate and compare their dynamic stability voltage windows in response to the mechanical constriction effect. High-throughput calculations are used to search for coating materials for different interfaces between sulfide, halide, and oxide electrolytes and typical cathode materials with enhanced dynamic voltage stability. A comparison with experiment is given to highlight the value of these computational predictions. Dynamic voltage stability of solid-state battery interfaces widens the voltage stability window. It includes thermodynamic stability and a large portion of kinetic stability. The constrained ensemble computational approach is applied across most types of solid-state electrolytes to systematically evaluate and compare their dynamic stability voltage windows in response to the mechanical constriction effect and predict coating materials.image</t>
  </si>
  <si>
    <t>[Wang, Yichao; Ye, Luhan; Fitzhugh, William; Chen, Xi; Li, Xin] Harvard Univ, John A Paulson Sch Engn &amp; Appl Sci, Cambridge, MA 02138 USA</t>
  </si>
  <si>
    <t>Harvard University</t>
  </si>
  <si>
    <t>Li, X (corresponding author), Harvard Univ, John A Paulson Sch Engn &amp; Appl Sci, Cambridge, MA 02138 USA.</t>
  </si>
  <si>
    <t>lixin@seas.harvard.edu</t>
  </si>
  <si>
    <t>This work is partially supported by Data Science Initiative Competitive Research Award at Harvard University, and partially supported by the Assistant Secretary for Energy Efficiency and Renewable Energy (EERE), Vehicle Technology Office (VTO) of the U.S.; Data Science Initiative Competitive Research Award at Harvard University; Vehicle Technology Office (VTO) of the U.S. Department of Energy (DOE); Nissan North America; National Science Foundation Extreme Science and Engineering Discovery Environment (XSEDE) Stampede and Frontera supercomputers</t>
  </si>
  <si>
    <t>This work is partially supported by Data Science Initiative Competitive Research Award at Harvard University, and partially supported by the Assistant Secretary for Energy Efficiency and Renewable Energy (EERE), Vehicle Technology Office (VTO) of the U.S.; Data Science Initiative Competitive Research Award at Harvard University; Vehicle Technology Office (VTO) of the U.S. Department of Energy (DOE)(United States Department of Energy (DOE)); Nissan North America; National Science Foundation Extreme Science and Engineering Discovery Environment (XSEDE) Stampede and Frontera supercomputers</t>
  </si>
  <si>
    <t>This work is partially supported by Data Science Initiative Competitive Research Award at Harvard University, and partially supported by the Assistant Secretary for Energy Efficiency and Renewable Energy (EERE), Vehicle Technology Office (VTO) of the U.S. Department of Energy (DOE), and Nissan North America. This work was supported by computational resources from the National Science Foundation Extreme Science and Engineering Discovery Environment (XSEDE) Stampede and Frontera supercomputers.</t>
  </si>
  <si>
    <t>10.1002/aenm.202302288</t>
  </si>
  <si>
    <t>S1OL1</t>
  </si>
  <si>
    <t>WOS:001068933500001</t>
  </si>
  <si>
    <t>Yeganeh, RR; Ayoubi, M</t>
  </si>
  <si>
    <t>Yeganeh, Radman Rahimi; Ayoubi, Mona</t>
  </si>
  <si>
    <t>Designing two mixed quick switching sampling plans for linear profiles</t>
  </si>
  <si>
    <t>QUALITY AND RELIABILITY ENGINEERING INTERNATIONAL</t>
  </si>
  <si>
    <t>attribute sampling plan; consumer's risk; linear profiles; producer's risk; quick switching sampling (QSS); variable sampling plan</t>
  </si>
  <si>
    <t>YIELD INDEX; ECONOMIC DESIGN; SYSTEM; CONSTRUCTION; AUTOCORRELATION; SELECTION; SIZE</t>
  </si>
  <si>
    <t>This study compares two proposed mixed quick switching sampling (QSS) plans for linear profiles as the quality characteristic. For the QSS plans, we recommend a binomial attribute plan for normal inspection and then a variable sampling plan for tightened inspection based on capability index C-puA of linear profiles with one-sided specifications. The difference between the two proposed QSS plans is in the tightened inspection. Tightened inspection of the first proposed plan is a single sampling using C-puA index, but tightened inspection of the second plan is a multiple dependent state repetitive (MDSR) plan based on C-puA index. The optimal parameters are obtained by nonlinear optimization. Simulation study for selecting parameters is conducted with various combinations of specified acceptable quality level (AQL), limited quality level (LQL), producer's risk, and consumer's risk. Simulation results confirm that the second proposed QSS plan which applies variable MDSR at tightened inspection performs better than another proposed plan. Hence, the approach of the second proposed plan is demonstrated in an illustrative example.</t>
  </si>
  <si>
    <t>[Yeganeh, Radman Rahimi; Ayoubi, Mona] Islamic Azad Univ, Coll Engn, Dept Ind Engn, West Tehran Branch, Tehran, Iran</t>
  </si>
  <si>
    <t>Islamic Azad University</t>
  </si>
  <si>
    <t>Ayoubi, M (corresponding author), Islamic Azad Univ, Coll Engn, Dept Ind Engn, West Tehran Branch, Tehran, Iran.</t>
  </si>
  <si>
    <t>ayoubi.m@wtiau.ac.ir</t>
  </si>
  <si>
    <t>The authors are grateful to the anonymous reviewer whose comments were very helpful for improving this paper.</t>
  </si>
  <si>
    <t>0748-8017</t>
  </si>
  <si>
    <t>1099-1638</t>
  </si>
  <si>
    <t>QUAL RELIAB ENG INT</t>
  </si>
  <si>
    <t>Qual. Reliab. Eng. Int.</t>
  </si>
  <si>
    <t>10.1002/qre.3454</t>
  </si>
  <si>
    <t>Engineering, Multidisciplinary; Engineering, Industrial; Operations Research &amp; Management Science</t>
  </si>
  <si>
    <t>Engineering; Operations Research &amp; Management Science</t>
  </si>
  <si>
    <t>S4CI1</t>
  </si>
  <si>
    <t>WOS:001070659500001</t>
  </si>
  <si>
    <t>Zarus, GM; Muianga, C; Brenner, S; Stallings, K; Casillas, G; Pohl, HR; Mumtaz, MM; Gehle, K</t>
  </si>
  <si>
    <t>Zarus, Gregory M.; Muianga, Custodio; Brenner, Stephan; Stallings, Katie; Casillas, Gaston; Pohl, Hana R.; Mumtaz, M. Moiz; Gehle, Kimberly</t>
  </si>
  <si>
    <t>Worker studies suggest unique liver carcinogenicity potential of polyvinyl chloride microplastics</t>
  </si>
  <si>
    <t>AMERICAN JOURNAL OF INDUSTRIAL MEDICINE</t>
  </si>
  <si>
    <t>liver cancer; microplastics; polyvinyl chloride; PVC; worker studies</t>
  </si>
  <si>
    <t>INTERSTITIAL LUNG-DISEASE; VINYL-CHLORIDE; OCCUPATIONAL-EXPOSURE; CANCER INCIDENCE; TEXTILE WORKERS; FLOCK WORKERS; MORTALITY EXPERIENCE; RETROSPECTIVE COHORT; CHEMICAL WORKERS; SYNTHETIC-FIBER</t>
  </si>
  <si>
    <t>BackgroundPlastic debris pervades our environment. Some breaks down into microplastics (MPs) that can enter and distribute in living organisms causing effects in multiple target organs. MPs have been demonstrated to harm animals through environmental exposure. Laboratory animal studies are still insufficient to evaluate human impact. And while MPs have been found in human tissues, the health effects at environmental exposure levels are unclear.AimWe reviewed and summarized existing evidence on health effects from occupational exposure to MPs. Additionally, the diverse effects documented for workers were organized by MP type and associated co-contaminants. Evidence of the unique effects of polyvinyl chloride (PVC) on liver was then highlighted.MethodsWe conducted two stepwise online literature reviews of publications focused on the health risks associated with occupational MP exposures. This information was supplemented with findings from animal studies.ResultsOur analysis focused on 34 published studies on occupational health effects from MP exposure with half involving exposure to PVC and the other half a variety of other MPs to compare. Liver effects following PVC exposure were reported for workers. While PVC exposure causes liver toxicity and increases the risk of liver cancers, including angiosarcomas and hepatocellular carcinomas, the carcinogenic effects of work-related exposure to other MPs, such as polystyrene and polyethylene, are not well understood.ConclusionThe data supporting liver toxicity are strongest for PVC exposure. Overall, the evidence of liver toxicity from occupational exposure to MPs other than PVC is lacking. The PVC worker data summarized here can be useful in assisting clinicians evaluating exposure histories from PVC exposure and designing future cell, animal, and population exposure-effect research studies.</t>
  </si>
  <si>
    <t>[Zarus, Gregory M.; Muianga, Custodio; Brenner, Stephan; Stallings, Katie; Casillas, Gaston; Pohl, Hana R.] Agcy Tox Subst &amp; Dis Registry, Off Innovat &amp; Analyt, Atlanta, GA USA; [Mumtaz, M. Moiz; Gehle, Kimberly] Agcy Tox Subst &amp; Dis Registry, Off Associate Director Sci, Atlanta, GA USA; [Zarus, Gregory M.] Agcy Tox Subst &amp; Dis Registry, Off Innovat &amp; Analyt, 4770 Buford Hwy, Atlanta, GA 30341 USA</t>
  </si>
  <si>
    <t>Centers for Disease Control &amp; Prevention - USA; Centers for Disease Control &amp; Prevention - USA; Centers for Disease Control &amp; Prevention - USA</t>
  </si>
  <si>
    <t>Zarus, GM (corresponding author), Agcy Tox Subst &amp; Dis Registry, Off Innovat &amp; Analyt, 4770 Buford Hwy, Atlanta, GA 30341 USA.</t>
  </si>
  <si>
    <t>gzarus@cdc.gov</t>
  </si>
  <si>
    <t>Brenner, Stephan/0000-0001-5397-7008; Casillas, Gaston/0000-0001-8210-4302; Zarus, Gregory/0000-0001-6897-3720</t>
  </si>
  <si>
    <t>The authors acknowledge the assistance received by Max Zarate-Bermudez and Yulia Carroll for their assistance in conducting scoping and assistance in mentoring students.</t>
  </si>
  <si>
    <t>0271-3586</t>
  </si>
  <si>
    <t>1097-0274</t>
  </si>
  <si>
    <t>AM J IND MED</t>
  </si>
  <si>
    <t>Am. J. Ind. Med.</t>
  </si>
  <si>
    <t>10.1002/ajim.23540</t>
  </si>
  <si>
    <t>Public, Environmental &amp; Occupational Health</t>
  </si>
  <si>
    <t>S1KU7</t>
  </si>
  <si>
    <t>WOS:001068835300001</t>
  </si>
  <si>
    <t>Isa, NAM; Tummanapalli, SS; Chiang, JCB; Krishnan, AV; Zagami, AS; Papas, EB; Markoulli, M; Spira, K</t>
  </si>
  <si>
    <t>Md Isa, Nur Amalina; Tummanapalli, Shyam S.; Chiang, Jeremy Chung Bo; Krishnan, Arun V.; Zagami, Alessandro S.; Papas, Eric B.; Markoulli, Maria; Spira, Katherine</t>
  </si>
  <si>
    <t>Neuropathic changes in corneal nerve endings-A potential objective biomarker for migraine frequency and response to treatment</t>
  </si>
  <si>
    <t>HEADACHE</t>
  </si>
  <si>
    <t>PLEXUS CHANGES</t>
  </si>
  <si>
    <t>[Md Isa, Nur Amalina; Tummanapalli, Shyam S.; Chiang, Jeremy Chung Bo; Papas, Eric B.; Markoulli, Maria] Univ New South Wales, Sch Optometry &amp; Vis Sci, Sydney, NSW, Australia; [Chiang, Jeremy Chung Bo] Aston Univ, Coll Hlth &amp; Life Sci, Sch Optometry, Birmingham, England; [Krishnan, Arun V.; Zagami, Alessandro S.; Spira, Katherine] Prince Wales Hosp, Inst Neurol Sci, Sydney, NSW, Australia; [Krishnan, Arun V.; Zagami, Alessandro S.; Spira, Katherine] Univ New South Wales, Sch Clin Med, Sydney, NSW, Australia</t>
  </si>
  <si>
    <t>University of New South Wales Sydney; Aston University; University of New South Wales Sydney</t>
  </si>
  <si>
    <t>Isa, NAM (corresponding author), Univ New South Wales, Sch Optometry &amp; Vis Sci, Sydney, NSW, Australia.</t>
  </si>
  <si>
    <t>amalinaisa@unsw.edu.au</t>
  </si>
  <si>
    <t>TUMMANAPALLI, SHYAM SUNDER/G-9567-2016</t>
  </si>
  <si>
    <t>TUMMANAPALLI, SHYAM SUNDER/0000-0002-2114-1422; Papas, Eric/0000-0003-2955-3277; ZAGAMI, ALESSANDRO S/0000-0002-4346-0790; Krishnan, Arun/0000-0001-8883-8825; Chiang, Jeremy Chung Bo/0000-0002-6133-7411</t>
  </si>
  <si>
    <t>The authors would like to acknowledge Alcon Pty Ltd for funding the study in-kind support for part of the study that investigated dry eye signs and symptoms in patients with migraine. Open access publishing facilitated by University of New South Wales, as; Alcon Pty Ltd; University of New South Wales, as part of the Wiley - University of New South Wales agreement via the Council of Australian University Librarians</t>
  </si>
  <si>
    <t>The authors would like to acknowledge Alcon Pty Ltd for funding the study in-kind support for part of the study that investigated dry eye signs and symptoms in patients with migraine. Open access publishing facilitated by University of New South Wales, as; Alcon Pty Ltd(Novartis); University of New South Wales, as part of the Wiley - University of New South Wales agreement via the Council of Australian University Librarians</t>
  </si>
  <si>
    <t>The authors would like to acknowledge Alcon Pty Ltd for funding the study in-kind support for part of the study that investigated dry eye signs and symptoms in patients with migraine. Open access publishing facilitated by University of New South Wales, as part of the Wiley - University of New South Wales agreement via the Council of Australian University Librarians.</t>
  </si>
  <si>
    <t>0017-8748</t>
  </si>
  <si>
    <t>1526-4610</t>
  </si>
  <si>
    <t>Headache</t>
  </si>
  <si>
    <t>2023 SEP 23</t>
  </si>
  <si>
    <t>10.1111/head.14630</t>
  </si>
  <si>
    <t>Clinical Neurology</t>
  </si>
  <si>
    <t>Neurosciences &amp; Neurology</t>
  </si>
  <si>
    <t>S3PO7</t>
  </si>
  <si>
    <t>WOS:001070324000001</t>
  </si>
  <si>
    <t>Mohammadi, T; Guh, DP; Tam, ACT; Pataky, RE; Black, PC; So, AL; Lynd, LD; Zhang, W; Conklin, AI</t>
  </si>
  <si>
    <t>Mohammadi, Tima; Guh, Daphne P.; Tam, Alexander C. T.; Pataky, Reka E.; Black, Peter C.; So, Alan; Lynd, Larry D.; Zhang, Wei; Conklin, Annalijn I.</t>
  </si>
  <si>
    <t>Economic evaluation of prostate cancer risk assessment methods: A cost-effectiveness analysis using population data</t>
  </si>
  <si>
    <t>CANCER MEDICINE</t>
  </si>
  <si>
    <t>economic evaluation; health administrative data; prostate cancer; screening</t>
  </si>
  <si>
    <t>SYSTEMATIC TRANSRECTAL ULTRASOUND; BRITISH-COLUMBIA; HEALTH INDEX; ANTIGEN; BIOPSY; MEN; PSA; OVERDIAGNOSIS; STRATEGIES; BIOMARKERS</t>
  </si>
  <si>
    <t>BackgroundThe current prostate cancer (PCa) screening standard of care (SOC) leads to unnecessary biopsies and overtreatment because decisions are guided by prostate-specific antigen (PSA) levels, which have low specificity in the gray zone (3-10 ng/mL). New risk assessment tools (RATs) aim to improve biopsy decision-making. We constructed a modeling framework to assess new RATs in men with gray zone PSA from the British Columbia healthcare system's perspective.MethodsWe evaluated the cost-effectiveness of a new RAT used in biopsy-naive men aged 50+ with a PSA of 3-10 ng/mL using a time-dependent state-transition model. The model was informed by engaging patient partners and using linked administrative health data, supplemented with published literature. The incremental cost-effectiveness ratio and the probability of the RAT being cost-effective were calculated. Probabilistic analysis was used to assess parameter uncertainty.ResultsIn the base case, a RAT based on an existing biomarker's characteristics was a dominant strategy associated with a cost savings of $44 and a quality-adjusted life years (QALY) gain of 0.00253 over 18 years of follow-up. At a cost-effectiveness threshold of $50,000/QALY, the probability that using a RAT is cost-effective relative to the SOC was 73%. Outcomes were sensitive to RAT costs and accuracy, especially the detection rate of high-grade PCa. Results were also impacted by PCa prevalence and assumptions about undetected PCa survival.ConclusionsOur findings showed that a more accurate RAT to guide biopsy can be cost-effective. Our proposed general model can be used to analyze the cost-effectiveness of any novel RAT.</t>
  </si>
  <si>
    <t>[Mohammadi, Tima; Guh, Daphne P.; Tam, Alexander C. T.; Lynd, Larry D.; Zhang, Wei; Conklin, Annalijn I.] St Pauls Hosp, Ctr Adv Hlth Outcomes, Providence Hlth Care Res Inst, Ctr Hlth Evaluat &amp; Outcome Sci, Vancouver, BC, Canada; [Pataky, Reka E.] BC Canc, Canadian Ctr Appl Res Canc Control, Vancouver, BC, Canada; [Black, Peter C.; So, Alan] Univ British Columbia, Fac Med, Dept Urol Sci, Vancouver, BC, Canada; [Lynd, Larry D.; Zhang, Wei; Conklin, Annalijn I.] Univ British Columbia, Fac Pharmaceut Sci, Vancouver, BC, Canada; [Zhang, Wei] Burrard St, Vancouver, BC V6Z 1Y6, Canada</t>
  </si>
  <si>
    <t>St. Paul's Hospital; University of British Columbia; University of British Columbia</t>
  </si>
  <si>
    <t>Zhang, W (corresponding author), Burrard St, Vancouver, BC V6Z 1Y6, Canada.</t>
  </si>
  <si>
    <t>wzhang@advancinghealth.ubc.ca</t>
  </si>
  <si>
    <t>Tam, Alexander/0000-0002-3359-5552</t>
  </si>
  <si>
    <t>The authors would like to acknowledge the five patient partners for their time and dedication to research. The authors would also like to acknowledge the independent reviewers who provided invaluable feedback on improving this manuscript.</t>
  </si>
  <si>
    <t>2045-7634</t>
  </si>
  <si>
    <t>CANCER MED-US</t>
  </si>
  <si>
    <t>Cancer Med.</t>
  </si>
  <si>
    <t>10.1002/cam4.6587</t>
  </si>
  <si>
    <t>S0YD9</t>
  </si>
  <si>
    <t>WOS:001068503300001</t>
  </si>
  <si>
    <t>Whittle, SL; Glennon, V; Buchbinder, R</t>
  </si>
  <si>
    <t>Whittle, Samuel L.; Glennon, Vanessa; Buchbinder, Rachelle</t>
  </si>
  <si>
    <t>Prioritization of clinical questions for the Australian Living Guideline for the Pharmacological Management of Inflammatory Arthritis</t>
  </si>
  <si>
    <t>INTERNATIONAL JOURNAL OF RHEUMATIC DISEASES</t>
  </si>
  <si>
    <t>guidelines; living evidence; rheumatoid arthritis</t>
  </si>
  <si>
    <t>EVIDENCE-BASED RECOMMENDATIONS; SYSTEMATIC LITERATURE RESEARCH; EXPERT OPINION; RESPONSE RATES; BROAD PANEL; RHEUMATOLOGISTS</t>
  </si>
  <si>
    <t>AimLiving guidelines aim to reduce delays in translating new knowledge into practice by updating individual recommendations as soon as relevant new evidence emerges. We surveyed members of the Australian Rheumatology Association (ARA) to develop a list of priority questions for the Australian Living Guideline for the Pharmacological Management of Inflammatory Arthritis (ALG) and to explore clinicians' use of clinical practice guidelines.MethodsAn electronic survey of ARA members was performed in two phases. The first survey contained questions about current guideline use and beliefs and invited participants to submit at least three questions relevant to the management of rheumatoid arthritis (RA). In the second round, participants selected 10 questions they considered to be the highest priority from the collated list and ranked them in priority order. The sum of ranks was used to generate a final priority list.ResultsThere were 115 (21%) and 78 (14%) responses to the first and second survey rounds respectively. 87% of respondents use existing rheumatology guidelines in their usual practice, primarily EULAR guidelines. Most respondents favored the development of Australian rheumatology guidelines. In total, 34 potential recommendation topics were identified and ranked in order of priority.ConclusionA list of 34 clinical questions about RA management, ranked in order of importance by clinicians, has informed the development of the ALG. Similar prioritization exercises in other contexts may permit guidelines to be tailored to the needs of guideline users in their specific context, which may facilitate international collaboration and promote efficient translation of evidence to practice.</t>
  </si>
  <si>
    <t>[Whittle, Samuel L.; Glennon, Vanessa; Buchbinder, Rachelle] Monash Univ, Sch Publ Hlth &amp; Prevent Med, Melbourne, Vic, Australia; [Whittle, Samuel L.] Queen Elizabeth Hosp, Rheumatol Unit, Adelaide, SA, Australia; [Whittle, Samuel L.] Queen Elizabeth Hosp, Rheumatol Unit, Woodville South, SA, Australia</t>
  </si>
  <si>
    <t>Monash University</t>
  </si>
  <si>
    <t>Whittle, SL (corresponding author), Queen Elizabeth Hosp, Rheumatol Unit, Woodville South, SA, Australia.</t>
  </si>
  <si>
    <t>sam@whit.tl</t>
  </si>
  <si>
    <t>Whittle, Samuel/K-7861-2015</t>
  </si>
  <si>
    <t>Whittle, Samuel/0000-0001-7417-7691</t>
  </si>
  <si>
    <t>We thank the members of the Australian Rheumatology Association who contributed to this study. Open access publishing facilitated by Monash University, as part of the Wiley - Monash University agreement via the Council of Australian University Librarians.; Monash University, as part of the Wiley - Monash University agreement via the Council of Australian University Librarians</t>
  </si>
  <si>
    <t>We thank the members of the Australian Rheumatology Association who contributed to this study. Open access publishing facilitated by Monash University, as part of the Wiley - Monash University agreement via the Council of Australian University Librarians.</t>
  </si>
  <si>
    <t>1756-1841</t>
  </si>
  <si>
    <t>1756-185X</t>
  </si>
  <si>
    <t>INT J RHEUM DIS</t>
  </si>
  <si>
    <t>Int. J. Rheum. Dis.</t>
  </si>
  <si>
    <t>10.1111/1756-185X.14926</t>
  </si>
  <si>
    <t>Rheumatology</t>
  </si>
  <si>
    <t>S4FL4</t>
  </si>
  <si>
    <t>WOS:001070741100001</t>
  </si>
  <si>
    <t>Zhang, X; Yang, JF; Li, JJ; Qiu, LY; Zhang, JP; Lu, Y; Zhao, YL; Jin, DV; Li, JQ; Lu, PH</t>
  </si>
  <si>
    <t>Zhang, Xian; Yang, Junfang; Li, Jingjing; Qiu, Liyuan; Zhang, Jianping; Lu, Yue; Zhao, Yan-li; Jin, David; Li, Jianqiang; Lu, Peihua</t>
  </si>
  <si>
    <t>Analysis of 60 patients with relapsed or refractory T-cell acute lymphoblastic leukemia and T-cell lymphoblastic lymphoma treated with CD7-targeted chimeric antigen receptor-T cell therapy</t>
  </si>
  <si>
    <t>AMERICAN JOURNAL OF HEMATOLOGY</t>
  </si>
  <si>
    <t>CAR; 1ST-IN-HUMAN; EXPRESSION</t>
  </si>
  <si>
    <t>While the use of chimeric antigen receptor-T (CAR-T) therapy for T-cell malignancies is in the early stage of clinical trials, it exhibits substantial potential to offer long-term remission for patients with refractory/relapsed (R/R) T-cell malignancies. In our phase I/II clinical trials, 65 pediatric and adult patients with R/R T-cell acute lymphoblastic leukemia and lymphoblastic lymphoma (T-ALL/LBL) were enrolled (NCT04572308 and NCT04916860). Of these, 60 participants (T-ALL 35, T-LBL 25) received a single dose of naturally selected anti-CD7 CAR (NS7CAR) T cells at three levels: a low dose (5 x 10(5)/kg), a medium dose (1 to 1.5 x 10(6)/kg), and a high dose (2 x 10(6)/kg). On day 28, 94.4% of patients achieved deep complete remission (CR) in bone marrow. Among the 32 patients with extramedullary disease, 78.1% showed response, with 56.3% in CR and 21.9% in partial remission. The 2-year overall survival and progression-free survival (PFS) were 63.5% (95% CI 47.7-79.4) and 53.7% (95% CI, 38.9-68.6), with no difference between pediatric and adult patients. PFS was signifi-cantly higher among the 37 CR patients who proceeded with consolidation transplant than the 10 patients who did not with 1-year PFS 67.2% (95% CI 51.9-82.4) versus 15.0% (95% CI 0-40.2), p &lt; .0001. Of the 10 CR patients without transplants, eight relapsed, while two sustained CR on day 128, and day 180, respectively. Cytokine release syndrome occurred in 91.7% of patients (grade 1/2 in 80.0%, grade 3/4 in 11.7%) and 5% of patients had neurotoxicity. NS7CAR-T therapy is effective in treat-ing R/R T-ALL/LBL patients with promising PFS while maintaining a manageable safety profile.</t>
  </si>
  <si>
    <t>[Zhang, Xian; Yang, Junfang; Li, Jingjing; Qiu, Liyuan; Zhang, Jianping; Lu, Yue; Zhao, Yan-li; Lu, Peihua] Hebei Yanda Lu Daopei Hosp, Langfang, Peoples R China; [Zhang, Xian; Yang, Junfang; Li, Jingjing; Qiu, Liyuan; Zhang, Jianping; Lu, Yue; Zhao, Yan-li; Jin, David; Lu, Peihua] Lu Daopei Inst Hematol, Beijing, Peoples R China; [Li, Jianqiang] Hebei Senlang Biotechnol Co Ltd, Shijiazhuang, Peoples R China; [Lu, Peihua] Hebei Yanda Lu Daopei Hosp, Sipulan Rd, Langfang 065201, Hebei, Peoples R China; [Li, Jianqiang] Hebei Senlang Biotechnol Co Ltd, Room 512 &amp; 513,Bldg 1,136 Yellow River Ave, Shijiazhuang 050000, Hebei, Peoples R China</t>
  </si>
  <si>
    <t>Lu, PH (corresponding author), Hebei Yanda Lu Daopei Hosp, Sipulan Rd, Langfang 065201, Hebei, Peoples R China.;Li, JQ (corresponding author), Hebei Senlang Biotechnol Co Ltd, Room 512 &amp; 513,Bldg 1,136 Yellow River Ave, Shijiazhuang 050000, Hebei, Peoples R China.</t>
  </si>
  <si>
    <t>lijianqiang@senlangbio.com; peihua_lu@126.com</t>
  </si>
  <si>
    <t>Lu, Peihua/0000-0002-6331-7369</t>
  </si>
  <si>
    <t>We thank the patients who participated in this trial and their families. We greatly appreciate the staff of the laboratory for immunotherapy in Lu Daopei Hospital and Senlang who performed the CAR-T-related tests and cytokines analysis, and all the nurses [21372410D]; Samp;amp;T Program of Hebei</t>
  </si>
  <si>
    <t>We thank the patients who participated in this trial and their families. We greatly appreciate the staff of the laboratory for immunotherapy in Lu Daopei Hospital and Senlang who performed the CAR-T-related tests and cytokines analysis, and all the nurses; Samp;amp;T Program of Hebei</t>
  </si>
  <si>
    <t>We thank the patients who participated in this trial and their families. We greatly appreciate the staff of the laboratory for immunotherapy in Lu Daopei Hospital and Senlang who performed the CAR-T-related tests and cytokines analysis, and all the nurses for their devotion and patient care. We want to thank Senlang Bio Co., Ltd. and their staff that provided the CAR-T products. This study was supported by a grant from S &amp; amp;T Program of Hebei (ID, 21372410D).</t>
  </si>
  <si>
    <t>0361-8609</t>
  </si>
  <si>
    <t>1096-8652</t>
  </si>
  <si>
    <t>AM J HEMATOL</t>
  </si>
  <si>
    <t>Am. J. Hematol.</t>
  </si>
  <si>
    <t>10.1002/ajh.27094</t>
  </si>
  <si>
    <t>Hematology</t>
  </si>
  <si>
    <t>S3YP6</t>
  </si>
  <si>
    <t>WOS:001070562500001</t>
  </si>
  <si>
    <t>Alarcon-Correa, M; Kilwing, L; Peter, F; Liedl, T; Fischer, P</t>
  </si>
  <si>
    <t>Alarcon-Correa, Mariana; Kilwing, Luzia; Peter, Florian; Liedl, Tim; Fischer, Peer</t>
  </si>
  <si>
    <t>Platinum-DNA Origami Hybrid Structures in Concentrated Hydrogen Peroxide</t>
  </si>
  <si>
    <t>CHEMPHYSCHEM</t>
  </si>
  <si>
    <t>hybrid platinum-origami nanoparticles; DNA origami; catalytic origami nanoparticles; chemical motors; active matter</t>
  </si>
  <si>
    <t>NANOSTRUCTURES; NANOROBOT; KINETICS; SHAPES; MOTORS</t>
  </si>
  <si>
    <t>The DNA origami technique allows fast and large-scale production of DNA nanostructures that stand out with an accurate addressability of their anchor points. This enables the precise organization of guest molecules on the surfaces and results in diverse functionalities. However, the compatibility of DNA origami structures with catalytically active matter, a promising pathway to realize autonomous DNA machines, has so far been tested only in the context of bio-enzymatic activity, but not in chemically harsh reaction conditions. The latter are often required for catalytic processes involving high-energy fuels. Here, we provide proof-of-concept data showing that DNA origami structures are stable in 5 % hydrogen peroxide solutions over the course of at least three days. We report a protocol to couple these to platinum nanoparticles and show catalytic activity of the hybrid structures. We suggest that the presented hybrid structures are suitable to realize catalytic nanomachines combined with precisely engineered DNA nanostructures. DNA origami nanostructures are surprisingly stable in up to 5 % hydrogen peroxide over the course of three days and can thus be rendered catalytically active through efficient and reliable coupling to platinum nanoparticles.+image</t>
  </si>
  <si>
    <t>[Alarcon-Correa, Mariana; Peter, Florian; Fischer, Peer] Max Planck Inst Med Res, Jahnstr 29, D-69120 Heidelberg, Germany; [Alarcon-Correa, Mariana; Peter, Florian; Fischer, Peer] Heidelberg Univ, Inst Mol Syst Engn &amp; Adv Mat, INF 225, D-69120 Heidelberg, Germany; [Kilwing, Luzia; Liedl, Tim] Ludwig Maximilians Univ Munchen, Fac Phys, Geschwister Scholl Pl 1, D-80539 Munich, Germany; [Kilwing, Luzia; Liedl, Tim] Ludwig Maximilians Univ Munchen, Ctr Nanosci CeNS, Geschwister Scholl Pl 1, D-80539 Munich, Germany</t>
  </si>
  <si>
    <t>Max Planck Society; Ruprecht Karls University Heidelberg; University of Munich; University of Munich</t>
  </si>
  <si>
    <t>Fischer, P (corresponding author), Max Planck Inst Med Res, Jahnstr 29, D-69120 Heidelberg, Germany.;Fischer, P (corresponding author), Heidelberg Univ, Inst Mol Syst Engn &amp; Adv Mat, INF 225, D-69120 Heidelberg, Germany.;Liedl, T (corresponding author), Ludwig Maximilians Univ Munchen, Fac Phys, Geschwister Scholl Pl 1, D-80539 Munich, Germany.;Liedl, T (corresponding author), Ludwig Maximilians Univ Munchen, Ctr Nanosci CeNS, Geschwister Scholl Pl 1, D-80539 Munich, Germany.</t>
  </si>
  <si>
    <t>Tim.Liedl@lmu.de; peer.fischer@mr.mpg.de</t>
  </si>
  <si>
    <t>Liedl, Tim/O-7539-2014</t>
  </si>
  <si>
    <t>Liedl, Tim/0000-0002-0040-0173; Alarcon-Correa, Mariana/0000-0002-7165-1906; Peter, Florian/0000-0003-3726-183X</t>
  </si>
  <si>
    <t>DFG [253407113]; Deutsche Forschungsgemeinschaft (DFG) [1726]; DFG cluster of excellence e-conversion [SFB1032]; [EXC 2089/1-390776260]</t>
  </si>
  <si>
    <t>DFG(German Research Foundation (DFG)); Deutsche Forschungsgemeinschaft (DFG)(German Research Foundation (DFG)); DFG cluster of excellence e-conversion(German Research Foundation (DFG));</t>
  </si>
  <si>
    <t>M.A.C, F.P. and P.F. would like to acknowledge funding from the DFG (Project number 253407113 under the SPP program 1726). L.K. acknowledges financial support of the Deutsche Forschungsgemeinschaft (DFG) through SFB1032 Nanoagents. T.L. acknowledges financial support through the DFG cluster of excellence e-conversion (EXC 2089/1-390776260). The authors would like to thank Kerstin Goepfrich for the design of the 6HB and Jonas Troll for assistance in the laboratory. Additionally, the authors would like to thank Jan-Phillip Guenther, Vincent Mauricio Kadiri, Mihir Dass and Kevin Martens for valuable discussions and scientific feedback. The authors thank the Stuttgart Center for Electron Microscopy (StEM) for access to the electron microscope facilities. Open Access funding enabled and organized by Projekt DEAL.</t>
  </si>
  <si>
    <t>1439-4235</t>
  </si>
  <si>
    <t>1439-7641</t>
  </si>
  <si>
    <t>ChemPhysChem</t>
  </si>
  <si>
    <t>2023 SEP 22</t>
  </si>
  <si>
    <t>10.1002/cphc.202300294</t>
  </si>
  <si>
    <t>Chemistry, Physical; Physics, Atomic, Molecular &amp; Chemical</t>
  </si>
  <si>
    <t>Chemistry; Physics</t>
  </si>
  <si>
    <t>S2LR1</t>
  </si>
  <si>
    <t>WOS:001069540800001</t>
  </si>
  <si>
    <t>Antonazzo, IC; Rozza, D; Conti, S; Fornari, C; Cortesi, PA; Eteve-Pitsaer, C; Paris, C; Gantzer, L; Valentine, D; Mantovani, LG; Mazzaglia, G</t>
  </si>
  <si>
    <t>Antonazzo, Ippazio Cosimo; Rozza, Davide; Conti, Sara; Fornari, Carla; Cortesi, Paolo Angelo; Eteve-Pitsaer, Caroline; Paris, Claire; Gantzer, Laurene; Valentine, Dennis; Mantovani, Lorenzo Giovanni; Mazzaglia, Giampiero</t>
  </si>
  <si>
    <t>Treatment patterns in essential tremor: Real-world evidence from a United Kingdom and France primary care database</t>
  </si>
  <si>
    <t>EUROPEAN JOURNAL OF NEUROLOGY</t>
  </si>
  <si>
    <t>essential tremor; France; THIN database; treatment; United Kingdom</t>
  </si>
  <si>
    <t>PARKINSONS-DISEASE; DISORDER; UPDATE; PROPRANOLOL; DIAGNOSIS; CHARLSON; PATIENT; COMMON; NEED</t>
  </si>
  <si>
    <t>Background and purposeEssential tremor (ET) is one of the most common neurological disorders, but information on treatment pattern is still scant. The aim of this study was to describe the demographic and clinical characteristics, treatment patterns, and determinants of drug use in patients with newly diagnosed ET in France and the United Kingdom.MethodsIncident cases of ET diagnosed between January 1, 2015 and December 31, 2018 with 2 years of follow-up were identified by using The Health Improvement Network (THIN &amp; REG;) general practice database. During the follow-up, we assessed the daily prevalence of use and potential switches from first-line to second-line treatment or other lines of treatment. Logistic regression models were conducted to assess the effect of demographic and clinical characteristics on the likelihood of receiving ET treatment.ResultsA total of 2957 and 3249 patients were selected in the United Kingdom and France, respectively. Among ET patients, drug use increased from 12 months to 1 month prior the date of index diagnosis (ID). After ID, nearly 40% of patients received at least one ET treatment, but during follow-up drug use decreased and at the end of the follow-up approximately 20% of patients were still on treatment. Among treated patients, &amp; LE;10% maintained the same treatment throughout the entire follow-up, nearly 20% switched, and 40%-75% interrupted any treatment. Results from the multivariate analysis revealed that, both in France and the United Kingdom, patients receiving multiple concomitant therapies and affected by psychiatric conditions were more likely to receive an ET medication.ConclusionThis study shows that ET is an undertreated disease with a lower-than-expected number of patients receiving and maintaining pharmacological treatment. Misclassification of ET diagnosis should be acknowledged; thus, results require cautious interpretation.</t>
  </si>
  <si>
    <t>[Antonazzo, Ippazio Cosimo; Rozza, Davide; Conti, Sara; Fornari, Carla; Cortesi, Paolo Angelo; Mantovani, Lorenzo Giovanni; Mazzaglia, Giampiero] Univ Milano Bicocca, Res Ctr Publ Hlth CESP, Monza, Italy; [Antonazzo, Ippazio Cosimo] Univ Pisa, Dept Clin &amp; Expt Med, Unit Med Stat, Pisa, Italy; [Eteve-Pitsaer, Caroline; Paris, Claire; Gantzer, Laurene] Cegedim Hlth Data, Boulogne Billancourt, France; [Valentine, Dennis] Cegedim Hlth Data, London, England</t>
  </si>
  <si>
    <t>University of Milano-Bicocca; University of Pisa</t>
  </si>
  <si>
    <t>Conti, S (corresponding author), Univ Milano Bicocca, Res Ctr Publ Hlth CESP, Monza, Italy.</t>
  </si>
  <si>
    <t>sara.conti@unimib.it</t>
  </si>
  <si>
    <t>Conti, Sara/0000-0002-5774-3740</t>
  </si>
  <si>
    <t>1351-5101</t>
  </si>
  <si>
    <t>1468-1331</t>
  </si>
  <si>
    <t>EUR J NEUROL</t>
  </si>
  <si>
    <t>Eur. J. Neurol.</t>
  </si>
  <si>
    <t>10.1111/ene.16064</t>
  </si>
  <si>
    <t>Clinical Neurology; Neurosciences</t>
  </si>
  <si>
    <t>S2UL2</t>
  </si>
  <si>
    <t>WOS:001069772000001</t>
  </si>
  <si>
    <t>Jimenez-Ruiz, E; Li, W; Meissner, M</t>
  </si>
  <si>
    <t>Jimenez-Ruiz, Elena; Li, Wei; Meissner, Markus</t>
  </si>
  <si>
    <t>Where is the EXIT? Phenotypic screens for new egress factors in apicomplexan parasites</t>
  </si>
  <si>
    <t>MOLECULAR MICROBIOLOGY</t>
  </si>
  <si>
    <t>apicomplexan parasites; CRISPR/Cas9 screens; egress factors; forward genetic screens</t>
  </si>
  <si>
    <t>DOUBLE-STRANDED-RNA; TOXOPLASMA-GONDII; PROTOZOAN PARASITE; CRISPR SCREEN; GENES; IDENTIFICATION; REGULATOR; DIFFERENTIATION; MUTAGENESIS; MUTANTS</t>
  </si>
  <si>
    <t>Apicomplexans, such as Plasmodium and Toxoplasma are obligate intracellular parasites that invade, replicate and finally EXIT their host cell. During replication within a parasitophorous vacuole (PV), the parasites establish an extensive F-actin-containing network that connects individual parasites and is required for material exchange, recycling and the final steps of daughter cell assembly. After multiple rounds of replication, the parasites exit the host cell involving multiple signalling cascades, disassembly of the network, secretion of microneme proteins and activation of the acto-myosin motor. Blocking the host cell EXIT process leads to the formation of large PVs, making the screening for genes involved in exiting the cell relatively straightforward. Given that apicomplexans are highly diverse from other eukaryotes, approximately 30% of all genes are annotated as hypothetical, some apicomplexan-specific factors are likely to be critical during EXIT. This motivated several labs to design and perform forward genetic and phenotypic screens using various approaches, such as random insertion mutagenesis, temperature-sensitive mutants and, more recently, CRISPR/Cas9-mediated targeted editing and conditional mutagenesis. Here we will provide an overview of the technological developments over recent years and the most successful stories that led to the identification of new critical factors in Toxoplasma gondii.</t>
  </si>
  <si>
    <t>[Jimenez-Ruiz, Elena; Li, Wei; Meissner, Markus] Ludwig Maximilians Univ Munchen LMU, Fac Vet Med, Dept Vet Sci, Expt Parasitol, Munich, Germany</t>
  </si>
  <si>
    <t>University of Munich</t>
  </si>
  <si>
    <t>Meissner, M (corresponding author), Ludwig Maximilians Univ Munchen LMU, Fac Vet Med, Dept Vet Sci, Expt Parasitol, Munich, Germany.</t>
  </si>
  <si>
    <t>markus.meissner@lmu.de</t>
  </si>
  <si>
    <t>Meissner, Markus/0000-0002-5341-5969; Jimenez-Ruiz, Elena/0000-0003-2695-0947</t>
  </si>
  <si>
    <t>We would like to thank all colleagues who contributed to research in this field and apologise if some publications were not mentioned due to space restrictions. W.L. is funded via a CSC fellowship (201806910075). This project is funded within the DFG Prior [201806910075]; CSC fellowship [SPP2225, ME 2675/7-1]; DFG Priority Programme</t>
  </si>
  <si>
    <t>We would like to thank all colleagues who contributed to research in this field and apologise if some publications were not mentioned due to space restrictions. W.L. is funded via a CSC fellowship (201806910075). This project is funded within the DFG Prior; CSC fellowship; DFG Priority Programme(German Research Foundation (DFG))</t>
  </si>
  <si>
    <t>We would like to thank all colleagues who contributed to research in this field and apologise if some publications were not mentioned due to space restrictions. W.L. is funded via a CSC fellowship (201806910075). This project is funded within the DFG Priority Programme SPP2225, Project ME 2675/7-1. Open Access funding enabled and organized by Projekt DEAL.</t>
  </si>
  <si>
    <t>0950-382X</t>
  </si>
  <si>
    <t>1365-2958</t>
  </si>
  <si>
    <t>MOL MICROBIOL</t>
  </si>
  <si>
    <t>Mol. Microbiol.</t>
  </si>
  <si>
    <t>10.1111/mmi.15166</t>
  </si>
  <si>
    <t>Biochemistry &amp; Molecular Biology; Microbiology</t>
  </si>
  <si>
    <t>S3OD4</t>
  </si>
  <si>
    <t>WOS:001070286600001</t>
  </si>
  <si>
    <t>Li, JC; Jiang, CL; Xia, J</t>
  </si>
  <si>
    <t>Li, Juncheng; Jiang, Chengli; Xia, Jian</t>
  </si>
  <si>
    <t>The role of programmed cell death in diabetic foot ulcers</t>
  </si>
  <si>
    <t>INTERNATIONAL WOUND JOURNAL</t>
  </si>
  <si>
    <t>diabetic foot ulcers; natural active ingredients; noncoding RNAs; programmed cell death; protein</t>
  </si>
  <si>
    <t>AUTOPHAGY; APOPTOSIS; DIFFERENTIATION; PYROPTOSIS</t>
  </si>
  <si>
    <t>Diabetic foot ulcer, is a chronic complication afflicting individuals with diabetes, continue to increase worldwide, immensely burdening society. Programmed cell death, which includes apoptosis, autophagy, ferroptosis, necroptosis and pyroptosis, has been increasingly implicated in the pathogenesis of diabetic foot ulcer. This review is based on an exhaustive examination of the literature on 'programmed cell death' and 'diabetic foot ulcers' via PubMed. The findings revealed that natural bioactive compounds, noncoding RNAs and certain proteins play crucial roles in the healing of diabetic foot ulcers through various forms of programmed cell death, including apoptosis, autophagy, ferroptosis and pyroptosis.</t>
  </si>
  <si>
    <t>[Li, Juncheng; Jiang, Chengli; Xia, Jian] Nanchang Univ, Hosp Nanchang 1, Affiliated Hosp 3, Dept Orthoped, Nanchang 330008, Jiangxi, Peoples R China; [Li, Juncheng; Jiang, Chengli; Xia, Jian] Nanchang Univ, Grad Sch, Med Dept, Nanchang, Peoples R China</t>
  </si>
  <si>
    <t>Nanchang University; Nanchang University</t>
  </si>
  <si>
    <t>Xia, J (corresponding author), Nanchang Univ, Hosp Nanchang 1, Affiliated Hosp 3, Dept Orthoped, Nanchang 330008, Jiangxi, Peoples R China.</t>
  </si>
  <si>
    <t>xiajian81@163.com</t>
  </si>
  <si>
    <t>Xia, Jian/0000-0001-6002-7318; Li, Juncheng/0000-0003-1427-1701</t>
  </si>
  <si>
    <t>None.</t>
  </si>
  <si>
    <t>1742-4801</t>
  </si>
  <si>
    <t>1742-481X</t>
  </si>
  <si>
    <t>INT WOUND J</t>
  </si>
  <si>
    <t>Int. Wound J.</t>
  </si>
  <si>
    <t>10.1111/iwj.14399</t>
  </si>
  <si>
    <t>Dermatology; Surgery</t>
  </si>
  <si>
    <t>S0KT3</t>
  </si>
  <si>
    <t>WOS:001068151900001</t>
  </si>
  <si>
    <t>Li, M; Lin, ZH; Chen, YC; Lin, P; Xie, YX; Wei, JCC</t>
  </si>
  <si>
    <t>Li, Man; Lin, Zong-Han; Chen, Ying-Cheng; Lin, Pan; Xie, Yong Xin; Wei, James Cheng-Chung</t>
  </si>
  <si>
    <t>A case report on multiple acyl-CoA dehydrogenase deficiency with severe myopathy and osteoporosis</t>
  </si>
  <si>
    <t>mitochondrial dysfunction; myopathy; osteoporosis</t>
  </si>
  <si>
    <t>A 35-year-old male patient presented fluctuating bilateral lower extremity weakness for 3 years. Physical examination showed grade 4 proximal muscle weakness in both lower extremities and grade 5 distal muscle weakness. Laboratory data revealed elevated creatine kinase, triglycerides, and cholesterol. Muscle pathology showed deposition of lipid droplet under the sarcolemma. Bone densitometry indicated severe osteoporosis. Next-generation sequencing revealed a pathogenic mutation in the ETFDH gene. The patient was diagnosed with late-onset multiple acyl-CoA dehydrogenase deficiency. After riboflavin treatment, symptoms of the patient were relieved, physical endurance was restored, and bone mineral density was improved.</t>
  </si>
  <si>
    <t>[Li, Man; Lin, Pan; Xie, Yong Xin] Second Hosp Longyan, Longyan, Peoples R China; [Lin, Zong-Han; Chen, Ying-Cheng; Wei, James Cheng-Chung] Chung Shan Med Univ, Inst Med, Taichung, Taiwan; [Wei, James Cheng-Chung] China Med Univ, Grad Inst Integrated Med, Taichung, Taiwan; [Wei, James Cheng-Chung] Chung Shan Med Univ Hosp, Dept Allergy Immunol &amp; Rheumatol, Taichung, Taiwan; [Wei, James Cheng-Chung] 110,Sec 1,Jianguo N Rd, Taichung 40201, Taiwan</t>
  </si>
  <si>
    <t>Chung Shan Medical University; China Medical University Taiwan; Chung Shan Medical University; Chung Shan Medical University Hospital</t>
  </si>
  <si>
    <t>Wei, JCC (corresponding author), 110,Sec 1,Jianguo N Rd, Taichung 40201, Taiwan.</t>
  </si>
  <si>
    <t>jccwei@gmail.com</t>
  </si>
  <si>
    <t>Wei, James Cheng-Chung/0000-0002-1235-0679</t>
  </si>
  <si>
    <t>None declared.</t>
  </si>
  <si>
    <t>10.1111/1756-185X.14906</t>
  </si>
  <si>
    <t>S2SV6</t>
  </si>
  <si>
    <t>WOS:001069729300001</t>
  </si>
  <si>
    <t>Revillini, D; David, AS; Reyes, AL; Knecht, LD; Vigo, C; Allen, P; Searcy, CA; Afkhami, ME</t>
  </si>
  <si>
    <t>Revillini, Daniel; David, Aaron S.; Reyes, Alma L.; Knecht, Leslie D.; Vigo, Carolina; Allen, Preston; Searcy, Christopher A.; Afkhami, Michelle E.</t>
  </si>
  <si>
    <t>Allelopathy-selected microbiomes mitigate chemical inhibition of plant performance</t>
  </si>
  <si>
    <t>NEW PHYTOLOGIST</t>
  </si>
  <si>
    <t>allelochemical; disturbance frequency; microbial mediation; plant-microbial interaction; rhizobacteria</t>
  </si>
  <si>
    <t>CERATIOLA-ERICOIDES EMPETRACEAE; FLORIDA SCRUB; SOIL MICROBES; RESISTANCE; MECHANISM; COMMUNITY; INVASION; SEQUENCE; ECOLOGY; IMPACT</t>
  </si>
  <si>
    <t>Allelopathy is a common and important stressor that shapes plant communities and can alter soil microbiomes, yet little is known about the direct effects of allelochemical addition on bacterial and fungal communities or the potential for allelochemical-selected microbiomes to mediate plant performance responses, especially in habitats naturally structured by allelopathy.Here, we present the first community-wide investigation of microbial mediation of allelochemical effects on plant performance by testing how allelopathy affects soil microbiome structure and how these microbial changes impact germination and productivity across 13 plant species.The soil microbiome exhibited significant changes to 'core' bacterial and fungal taxa, bacterial composition, abundance of functionally important bacterial and fungal taxa, and predicted bacterial functional genes after the addition of the dominant allelochemical native to this habitat. Furthermore, plant performance was mediated by the allelochemical-selected microbiome, with allelopathic inhibition of plant productivity moderately mitigated by the microbiome.Through our findings, we present a potential framework to understand the strength of plant-microbial interactions in the presence of environmental stressors, in which frequency of the ecological stress may be a key predictor of microbiome-mediation strength.</t>
  </si>
  <si>
    <t>[Revillini, Daniel; Reyes, Alma L.; Vigo, Carolina; Allen, Preston; Searcy, Christopher A.; Afkhami, Michelle E.] Univ Miami, Dept Biol, 1301 Mem Dr, Coral Gables, FL 33146 USA; [David, Aaron S.] Archbold Biol Stn, 123 Main Dr, Venus, FL 33960 USA; [Knecht, Leslie D.] Univ Miami, Dept Chem, 1301 Mem Dr, Coral Gables, FL 33146 USA</t>
  </si>
  <si>
    <t>University of Miami; University of Miami</t>
  </si>
  <si>
    <t>Revillini, D; Afkhami, ME (corresponding author), Univ Miami, Dept Biol, 1301 Mem Dr, Coral Gables, FL 33146 USA.</t>
  </si>
  <si>
    <t>dan.revillini@gmail.com; michelle.afkhami@miami.edu</t>
  </si>
  <si>
    <t>Revillini, Daniel/0000-0002-0380-4106; Knecht, Leslie/0000-0001-9504-1769</t>
  </si>
  <si>
    <t>National Science Foundation; Florida Native Plant Society; [DEB-1922521]</t>
  </si>
  <si>
    <t>National Science Foundation(National Science Foundation (NSF)); Florida Native Plant Society;</t>
  </si>
  <si>
    <t>Many thanks to the Plant Ecology Program at Archbold Biological Station, and particularly Stephanie Koontz for invaluable help with seed collection. Thanks to the members of the Afkhami and Searcy laboratories for feedback on manuscript preparation and figures, as well as manuscript editor Dr. Stephane Hacquard and three anonymous reviewers. This research was funded by National Science Foundation grant DEB-1922521 awarded to MEA and CAS, and a research award to DR from the Florida Native Plant Society.</t>
  </si>
  <si>
    <t>0028-646X</t>
  </si>
  <si>
    <t>1469-8137</t>
  </si>
  <si>
    <t>NEW PHYTOL</t>
  </si>
  <si>
    <t>New Phytol.</t>
  </si>
  <si>
    <t>10.1111/nph.19249</t>
  </si>
  <si>
    <t>Plant Sciences</t>
  </si>
  <si>
    <t>S2KY2</t>
  </si>
  <si>
    <t>WOS:001069521500001</t>
  </si>
  <si>
    <t>Setser, BW</t>
  </si>
  <si>
    <t>Setser, Brad W.</t>
  </si>
  <si>
    <t>The Common Framework and its Discontents</t>
  </si>
  <si>
    <t>DEVELOPMENT AND CHANGE</t>
  </si>
  <si>
    <t>The Common Framework is the internationally agreed process for coordinating the restructuring of the debt of low-income countries. To date, this process, which was established by the G20 in late 2020 during the COVID-19 pandemic, has failed to provide an efficient path toward agreement with new bilateral creditors (such as China), market creditors and the traditional bilateral creditors. An analysis of the key country cases demonstrates how tensions between different creditors have complicated the application of the Common Framework and delayed agreement on new financial terms. The Common Framework was built on a case-by-case judgement of the scale of debt relief needed. It has become a case-by-case negotiation on the format for carrying out a restructuring, as well as the terms of the restructuring. China's participation in official creditor committees, the clear innovation in the Common Framework, has proved to be a source of delay rather than a mechanism for creating consensus. Almost three years after the initial agreement on the Common Framework, there still is no model for an internationally coordinated restructuring that both delivers significant debt relief and includes the Chinese policy banks.</t>
  </si>
  <si>
    <t>[Setser, Brad W.] Council Foreign Relat, Washington, DC 20006 USA</t>
  </si>
  <si>
    <t>Setser, BW (corresponding author), Council Foreign Relat, Washington, DC 20006 USA.</t>
  </si>
  <si>
    <t>bsetser@cfr.org</t>
  </si>
  <si>
    <t>0012-155X</t>
  </si>
  <si>
    <t>1467-7660</t>
  </si>
  <si>
    <t>DEV CHANGE</t>
  </si>
  <si>
    <t>Dev. Change</t>
  </si>
  <si>
    <t>10.1111/dech.12787</t>
  </si>
  <si>
    <t>Development Studies</t>
  </si>
  <si>
    <t>S2XW3</t>
  </si>
  <si>
    <t>WOS:001069861800001</t>
  </si>
  <si>
    <t>Wang, YL; Lv, P; Pan, JY; Chen, JH; Liu, XJ; Hu, M; Wan, L; Cao, K; Liu, BS; Ku, ZL; Cheng, YB; Lu, JF</t>
  </si>
  <si>
    <t>Wang, Yulong; Lv, Pin; Pan, Junye; Chen, Jiahui; Liu, Xinjie; Hu, Min; Wan, Li; Cao, Kun; Liu, Baoshun; Ku, Zhiliang; Cheng, Yi-Bing; Lu, Jianfeng</t>
  </si>
  <si>
    <t>Grain Boundary Elimination via Recrystallization-Assisted Vapor Deposition for Efficient and Stable Perovskite Solar Cells and Modules</t>
  </si>
  <si>
    <t>ADVANCED MATERIALS</t>
  </si>
  <si>
    <t>modules; perovskite solar cells; recrystallization; stability; vapor deposition</t>
  </si>
  <si>
    <t>PERFORMANCE; STABILITY</t>
  </si>
  <si>
    <t>Vapor deposition is a promising technology for the mass production of perovskite solar cells. However, the efficiencies of solar cells and modules based on vapor-deposited perovskites are significantly lower than those fabricated using the solution method. Emerging evidence suggests that large defects are generated during vapor deposition owing to a specific top-down crystallization mechanism. Herein, a hybrid vapor deposition method combined with solvent-assisted recrystallization for fabricating high-quality large-area perovskite films with low defect densities is presented. It is demonstrated that an intermediate phase can be formed at the grain boundaries, which induces the secondary growth of small grains into large ones. Consequently, perovskite films with substantially reduced grain boundaries and defect densities are fabricated. Results of temperature-dependent charge-carrier dynamics show that the proposed method successfully suppresses all recombination reactions. Champion efficiencies of 21.9% for small-area (0.16 cm2) cells and 19.9% for large-area (10.0 cm2) solar modules under AM 1.5 G irradiation are achieved. Moreover, the modules exhibit high operational stability, i.e., they retain &gt;92% of their initial efficiencies after 200 h of continuous operation.</t>
  </si>
  <si>
    <t>[Wang, Yulong; Lv, Pin; Pan, Junye; Chen, Jiahui; Liu, Xinjie; Liu, Baoshun; Lu, Jianfeng] Wuhan Univ Technol, State Key Lab Silicate Mat Architectures, Wuhan 430070, Peoples R China; [Hu, Min] Wuhan Text Univ, Sch Elect &amp; Elect Engn, Hubei Prov Engn Res Ctr Intelligent Micronano Med, Wuhan 430200, Peoples R China; [Wan, Li] Hubei Univ, Fac Mat Sci &amp; Engn, Hubei Collaborat Innovat Ctr Adv Organ Chem Mat, Key Lab Green Preparat,Key Lab Green Preparat Appl, Wuhan 430062, Peoples R China; [Cao, Kun] Nanjing Univ Posts &amp; Telecommun, State Key Lab Organ Elect &amp; Informat Displays, Nanjing 210023, Peoples R China; [Cao, Kun] Nanjing Univ Posts &amp; Telecommun, Inst Adv Mat IAM, Nanjing 210023, Peoples R China; [Ku, Zhiliang; Cheng, Yi-Bing] Wuhan Univ Technol, State Key Lab Adv Technol Mat Synth &amp; Proc, Wuhan 430070, Peoples R China; [Cheng, Yi-Bing] Foshan Xianhu Lab Adv Energy Sci &amp; Technol, Guangdong Lab, Foshan 528216, Peoples R China</t>
  </si>
  <si>
    <t>Wuhan University of Technology; Wuhan Textile University; Hubei University; Nanjing University of Posts &amp; Telecommunications; Nanjing University of Posts &amp; Telecommunications; Wuhan University of Technology; Advanced Energy Science &amp; Technology Guangdong Laboratory; Foshan Xianhu Laboratory</t>
  </si>
  <si>
    <t>Lu, JF (corresponding author), Wuhan Univ Technol, State Key Lab Silicate Mat Architectures, Wuhan 430070, Peoples R China.</t>
  </si>
  <si>
    <t>jianfeng.lu@whut.edu.cn</t>
  </si>
  <si>
    <t>Wan, Li/0000-0002-0531-4573</t>
  </si>
  <si>
    <t>This study was financially supported by the National Natural Science Foundation of China (91963209, 52002302, and 22075221) and the Key Research and Development Project of Shanxi Province (202202060301003). M.H. acknowledges support from the Natural Scienc [91963209, 52002302, 22075221]; National Natural Science Foundation of China [202202060301003]; Key Research and Development Project of Shanxi Province [2022CFB1000]; Natural Science Foundation of Hubei Province [SYSJJ2021-10]; State Key Laboratory of Silicate Materials for Architectures (Wuhan University of Technology)</t>
  </si>
  <si>
    <t>This study was financially supported by the National Natural Science Foundation of China (91963209, 52002302, and 22075221) and the Key Research and Development Project of Shanxi Province (202202060301003). M.H. acknowledges support from the Natural Scienc; National Natural Science Foundation of China(National Natural Science Foundation of China (NSFC)); Key Research and Development Project of Shanxi Province; Natural Science Foundation of Hubei Province(Natural Science Foundation of Hubei Province); State Key Laboratory of Silicate Materials for Architectures (Wuhan University of Technology)</t>
  </si>
  <si>
    <t>This study was financially supported by the National Natural Science Foundation of China (91963209, 52002302, and 22075221) and the Key Research and Development Project of Shanxi Province (202202060301003). M.H. acknowledges support from the Natural Science Foundation of Hubei Province (2022CFB1000) and the State Key Laboratory of Silicate Materials for Architectures (Wuhan University of Technology: SYSJJ2021-10).</t>
  </si>
  <si>
    <t>0935-9648</t>
  </si>
  <si>
    <t>1521-4095</t>
  </si>
  <si>
    <t>ADV MATER</t>
  </si>
  <si>
    <t>Adv. Mater.</t>
  </si>
  <si>
    <t>10.1002/adma.202304625</t>
  </si>
  <si>
    <t>S3OE3</t>
  </si>
  <si>
    <t>WOS:001070287500001</t>
  </si>
  <si>
    <t>Zheng, JH; An, J</t>
  </si>
  <si>
    <t>Zheng, Jihui; An, Jing</t>
  </si>
  <si>
    <t>A Legendre spectral-Galerkin method for fourth-order problems in cylindrical regions</t>
  </si>
  <si>
    <t>NUMERICAL METHODS FOR PARTIAL DIFFERENTIAL EQUATIONS</t>
  </si>
  <si>
    <t>cylindrical region; error estimation; fourth-order problem; Spectral method</t>
  </si>
  <si>
    <t>ALLEN-CAHN; TRANSMISSION; APPROXIMATION; ELEMENT</t>
  </si>
  <si>
    <t>A spectral-Galerkin method based on Legendre-Fourier approximation for fourth-order problems in cylindrical regions is studied in this paper. By the cylindrical coordinate transformation, a three-dimensional fourth-order problem in a cylindrical region is transformed into a sequence of decoupled fourth-order problems with two dimensions and the corresponding pole conditions are also derived. With appropriately constructed weighted Sobolev space, a weak form is established. Based on this weak form, a spectral-Galerkin discretization scheme is proposed and its error is rigorously analyzed by defining a new class of projection operators. Then, a set of efficient basis functions are used to write the discrete scheme as the linear systems with a sparse matrix based on tensor product. Numerical examples are presented to show the efficiency and high-accuracy of the developed method. Finally, an application of the proposed method to the fourth-order Steklov problem and the corresponding numerical experiments once again confirm the efficiency and spectral accuracy of the method.</t>
  </si>
  <si>
    <t>[Zheng, Jihui; An, Jing] Guizhou Normal Univ, Sch Math Sci, Guiyang, Peoples R China; [An, Jing] Guizhou Normal Univ, Sch Math Sci, Guiyang 550025, Peoples R China</t>
  </si>
  <si>
    <t>Guizhou Normal University; Guizhou Normal University</t>
  </si>
  <si>
    <t>An, J (corresponding author), Guizhou Normal Univ, Sch Math Sci, Guiyang 550025, Peoples R China.</t>
  </si>
  <si>
    <t>anjing@gznu.edu.cn</t>
  </si>
  <si>
    <t>Natural Science Research Project of Guizhou Provincial Department of Education; Guizhou Normal University Academic Young Talent Foundation [QJJ [2023] 011]; National Natural Science Foundation of China [[2021] A04]; [12061023]</t>
  </si>
  <si>
    <t>Natural Science Research Project of Guizhou Provincial Department of Education; Guizhou Normal University Academic Young Talent Foundation; National Natural Science Foundation of China(National Natural Science Foundation of China (NSFC));</t>
  </si>
  <si>
    <t>Natural Science Research Project of Guizhou Provincial Department of Education, Grant/Award Number: QJJ [2023] 011; Guizhou Normal University Academic Young Talent Foundation, Grant/Award Number: [2021] A04; National Natural Science Foundation of China, Grant/Award Number: 12061023.</t>
  </si>
  <si>
    <t>0749-159X</t>
  </si>
  <si>
    <t>1098-2426</t>
  </si>
  <si>
    <t>NUMER METH PART D E</t>
  </si>
  <si>
    <t>Numer. Meth. Part Differ. Equ.</t>
  </si>
  <si>
    <t>10.1002/num.23071</t>
  </si>
  <si>
    <t>Mathematics, Applied</t>
  </si>
  <si>
    <t>S2LR9</t>
  </si>
  <si>
    <t>WOS:001069541600001</t>
  </si>
  <si>
    <t>Cheng, H; Sun, FL; Ouyang, YL; Li, CB</t>
  </si>
  <si>
    <t>Cheng, Hai; Sun, Fenglan; Ouyang, Yaoling; Li, Chengbin</t>
  </si>
  <si>
    <t>Correlation analysis of IL-37 gene polymorphisms and susceptibility to chronic HBV infection among Han people in Central China</t>
  </si>
  <si>
    <t>INTERNATIONAL JOURNAL OF IMMUNOGENETICS</t>
  </si>
  <si>
    <t>hepatitis B virus; interleukin-37; polymorphism; susceptibility</t>
  </si>
  <si>
    <t>RHEUMATOID-ARTHRITIS; DISEASE</t>
  </si>
  <si>
    <t>Hepatitis B virus (HBV) is responsible for various liver diseases, such as chronic hepatitis B (CHB), liver fibrosis, liver cirrhosis (LC) and hepatocellular carcinoma (HCC), which pose a significant threat to human health. An ineffective immune response to HBV can result in viral chronicity. Interleukin-37 (IL-37), an immunomodulator, is capable of inhibiting both innate and adaptive immune responses. It is believed that single nucleotide polymorphisms (SNPs) within the IL-37 gene could contribute to the regulation of HBV clearance. Our aim to conduct this study was to investigate whether SNPs in the IL-37 gene were associated with the risk of chronic HBV infection in adults. A total of 342 participants, consisting of 171 cases and 171 controls, were recruited for this study. Sanger sequencing was employed for genotyping six SNPs (rs3811042 G/A, rs3811043 G/C, rs2466449 A/G, rs3811045 C/T, rs3811046 T/G and rs3811047G/A). There was no significant difference in allele and genotype distribution between the two groups, and the constructed haplotypes were not found to be associated with the risk of chronic HBV infection. Our results revealed that there was no relationship between these six SNPs (rs3811042G/A, rs3811043G/C, rs2466449A/G, rs3811045C/T, rs3811046T/G and rs3811047G/A) in the IL-37 gene and susceptibility to chronic HBV infection among Han people in Central China.</t>
  </si>
  <si>
    <t>[Cheng, Hai; Sun, Fenglan; Ouyang, Yaoling; Li, Chengbin] Yangtze Univ, Jingzhou Hosp, Dept Lab Med, Jingzhou, Peoples R China; [Li, Chengbin] Yangtze Univ, Dept Lab Med, Jingzhou Hosp, Jingzhou 434020, Peoples R China</t>
  </si>
  <si>
    <t>Yangtze University; Yangtze University</t>
  </si>
  <si>
    <t>Li, CB (corresponding author), Yangtze Univ, Dept Lab Med, Jingzhou Hosp, Jingzhou 434020, Peoples R China.</t>
  </si>
  <si>
    <t>jzlcb002@sina.com</t>
  </si>
  <si>
    <t>Sun, Fenglan/0000-0001-7751-7735</t>
  </si>
  <si>
    <t>The authors wish to thank Qiaoyu Wu and Yafeng Tan for technical performance and Dr Bing Mei for reading the paper.</t>
  </si>
  <si>
    <t>1744-3121</t>
  </si>
  <si>
    <t>1744-313X</t>
  </si>
  <si>
    <t>INT J IMMUNOGENET</t>
  </si>
  <si>
    <t>Int. J. Immunogenet.</t>
  </si>
  <si>
    <t>2023 SEP 21</t>
  </si>
  <si>
    <t>10.1111/iji.12638</t>
  </si>
  <si>
    <t>Genetics &amp; Heredity; Immunology</t>
  </si>
  <si>
    <t>S2JX9</t>
  </si>
  <si>
    <t>WOS:001069494600001</t>
  </si>
  <si>
    <t>Gianni, C; Gilmore, A; Natale, A; Al-Ahmad, A</t>
  </si>
  <si>
    <t>Gianni, Carola; Gilmore, Abigail; Natale, Andrea; Al-Ahmad, Amin</t>
  </si>
  <si>
    <t>A decrease in patient activity level: What is the cause?</t>
  </si>
  <si>
    <t>JOURNAL OF CARDIOVASCULAR ELECTROPHYSIOLOGY</t>
  </si>
  <si>
    <t>accelerometer; activity; pacemaker</t>
  </si>
  <si>
    <t>[Gianni, Carola; Gilmore, Abigail; Natale, Andrea; Al-Ahmad, Amin] Texas Cardiac Arrhythmia Inst, 3000 N IH35,Suite 700, Austin, TX 78705 USA</t>
  </si>
  <si>
    <t>Al-Ahmad, A (corresponding author), Texas Cardiac Arrhythmia Inst, 3000 N IH35,Suite 700, Austin, TX 78705 USA.</t>
  </si>
  <si>
    <t>aalahmadmd@gmail.com</t>
  </si>
  <si>
    <t>1045-3873</t>
  </si>
  <si>
    <t>1540-8167</t>
  </si>
  <si>
    <t>J CARDIOVASC ELECTR</t>
  </si>
  <si>
    <t>J. Cardiovasc. Electrophysiol.</t>
  </si>
  <si>
    <t>10.1111/jce.16080</t>
  </si>
  <si>
    <t>Cardiac &amp; Cardiovascular Systems</t>
  </si>
  <si>
    <t>Cardiovascular System &amp; Cardiology</t>
  </si>
  <si>
    <t>S4SP9</t>
  </si>
  <si>
    <t>WOS:001071085400001</t>
  </si>
  <si>
    <t>Guimaraes, N; Campos, R; Jorge, A</t>
  </si>
  <si>
    <t>Guimaraes, Nuno; Campos, Ricardo; Jorge, Alipio</t>
  </si>
  <si>
    <t>Pre-trained &amp; nbsp;language models: What do they know?</t>
  </si>
  <si>
    <t>WILEY INTERDISCIPLINARY REVIEWS-DATA MINING AND KNOWLEDGE DISCOVERY</t>
  </si>
  <si>
    <t>large language models; natural language; pretrained language models; processing</t>
  </si>
  <si>
    <t>Large language models (LLMs) have substantially pushed artificial intelligence (AI) research and applications in the last few years. They are currently able to achieve high effectiveness in different natural language processing (NLP) tasks, such as machine translation, named entity recognition, text classification, question answering, or text summarization. Recently, significant attention has been drawn to OpenAI's GPT models' capabilities and extremely accessible interface. LLMs are nowadays routinely used and studied for downstream tasks and specific applications with great success, pushing forward the state of the art in almost all of them. However, they also exhibit impressive inference capabilities when used off the shelf without further training. In this paper, we aim to study the behavior of pre-trained language models (PLMs) in some inference tasks they were not initially trained for. Therefore, we focus our attention on very recent research works related to the inference capabilities of PLMs in some selected tasks such as factual probing and common-sense reasoning. We highlight relevant achievements made by these models, as well as some of their current limitations that open opportunities for further research.This article is categorized under:Fundamental Concepts of Data and Knowledge &gt; Key Design Issues in DataMiningTechnologies &gt; Artificial Intelligence</t>
  </si>
  <si>
    <t>[Guimaraes, Nuno; Campos, Ricardo; Jorge, Alipio] LIAAD INESCTEC, Porto, Portugal; [Guimaraes, Nuno; Jorge, Alipio] Univ Porto, Porto, Portugal; [Campos, Ricardo] Univ Beira Interior, Covilha, Portugal; [Campos, Ricardo] Polytech Inst Tomar, Ci2 Smart Cities Res Ctr, Tomar, Portugal</t>
  </si>
  <si>
    <t>Universidade do Porto; INESC TEC; Universidade do Porto; Universidade da Beira Interior; Instituto Politecnico de Tomar</t>
  </si>
  <si>
    <t>Guimaraes, N (corresponding author), LIAAD INESCTEC, Porto, Portugal.</t>
  </si>
  <si>
    <t>nuno.r.guimaraes@inesctec.pt</t>
  </si>
  <si>
    <t>FCT-Fundacao para a Ciencia e a Tecnologia; Component 5-Capitalization and Business Innovation [2022.09312]; European Union (EU); Next Generation EU; [41]</t>
  </si>
  <si>
    <t>FCT-Fundacao para a Ciencia e a Tecnologia(Fundacao para a Ciencia e a Tecnologia (FCT)); Component 5-Capitalization and Business Innovation; European Union (EU)(European Union (EU)CGIAR); Next Generation EU;</t>
  </si>
  <si>
    <t>FCT-Fundacao para a Ciencia e a Tecnologia, Grant/Award Number: 2022.09312.PTDC; Component 5-Capitalization and Business Innovation, Grant/Award Number: 41; European Union (EU); Next Generation EU</t>
  </si>
  <si>
    <t>WILEY PERIODICALS, INC</t>
  </si>
  <si>
    <t>SAN FRANCISCO</t>
  </si>
  <si>
    <t>ONE MONTGOMERY ST, SUITE 1200, SAN FRANCISCO, CA 94104 USA</t>
  </si>
  <si>
    <t>1942-4787</t>
  </si>
  <si>
    <t>1942-4795</t>
  </si>
  <si>
    <t>WIRES DATA MIN KNOWL</t>
  </si>
  <si>
    <t>Wiley Interdiscip. Rev.-Data Mining Knowl. Discov.</t>
  </si>
  <si>
    <t>10.1002/widm.1518</t>
  </si>
  <si>
    <t>Computer Science, Artificial Intelligence; Computer Science, Theory &amp; Methods</t>
  </si>
  <si>
    <t>Computer Science</t>
  </si>
  <si>
    <t>S4BK3</t>
  </si>
  <si>
    <t>WOS:001070635500001</t>
  </si>
  <si>
    <t>Liu, H; Zhu, YJ; Niu, HK; Jie, J; Hua, SC; Bai, XX; Wang, S; Song, L</t>
  </si>
  <si>
    <t>Liu, Han; Zhu, Yingjie; Niu, Huikun; Jie, Jing; Hua, Shucheng; Bai, Xiaoxue; Wang, Shuai; Song, Lei</t>
  </si>
  <si>
    <t>Activation of PI3K/Akt pathway by G protein-coupled receptor 37 promotes resistance to cisplatin-induced apoptosis in non-small cell lung cancer</t>
  </si>
  <si>
    <t>cisplatin; EMT; GPR37; NSCLC; PI3K/Akt pathway</t>
  </si>
  <si>
    <t>PHOSPHATIDYLINOSITOL 3-KINASE; MESENCHYMAL TRANSITION; BETA-CATENIN; EXPRESSION; GROWTH; OVEREXPRESSION; GPR30</t>
  </si>
  <si>
    <t>Objectives: Lung cancer is a major public health concern and represents the most common cause of cancer-related death worldwide. Among eukaryotes, the G protein-coupled receptor (GPCR) family stands as the largest group of membrane proteins. Alterations in GPCR gene expression and dysregulation of signal transduction have been recognized as the markers of malignancy. As a member of the GPCR family, G protein-coupled receptor 37 (GPR37) exhibits unknown functions in tumors, particularly in non-small-cell lung cancer (NSCLC)Methods: We explored the expression and prognosis of GPR37 in NSCLC through TCGA, GTEx, GEO, and GEPIA2. We detected the expression of GPR37 in NSCLC tissues and cell lines. The study explored the influence of GPR37 on tumor cell proliferation. Furthermore, we examined the effects of GPR37 on tumor cell apoptosis and invasion. Most importantly, we investigated whether GPR37 affects cisplatin-induced drug resistance in NSCLC. Furthermore, by conducting animal experiments, we assessed the impact of GPR37 on NSCLC and delved into underlying mechanisms.Results: (1) In NSCLC, the expression of GPR37 is markedly higher than that in corresponding normal tissues. We found that elevated GPR37 expression predicts an unfavorable prognosis. (2) It was demonstrated that GPR37 positively regulates NSCLC cell invasion, migration, and proliferation, suppresses cell apoptosis, heightens resistance to cisplatin, and promotes tumor formation and growth. Conversely, we observed that GPR37 knockdown suppresses NSCLC cell invasion, migration, and proliferation, promotes cell apoptosis, increases sensitivity to cisplatin, and affects tumor formation and growth. (3) GPR37 activates PI3K/Akt/mTOR signal transduction pathways to mediate epithelial-mesenchymal transition (EMT), thereby promoting the progression of NSCLC.Conclusions: It was suggested that GPR37 acts a crucial role in promoting the occurrence and development of NSCLC. Knockdown of GPR37 significantly inhibits the occurrence and development of NSCLC. Therefore, our findings demonstrated that GPR37 may represent a viable therapeutic target for NSCLC.</t>
  </si>
  <si>
    <t>[Liu, Han; Niu, Huikun; Jie, Jing; Hua, Shucheng; Song, Lei] First Hosp Jilin Univ, Dept Resp Med, Changchun, Jilin, Peoples R China; [Zhu, Yingjie] Fujian Med Univ, Affiliated Hosp 2, Dept Resp &amp; Crit Care Med, Quanzhou, Fujian, Peoples R China; [Bai, Xiaoxue] First Hosp Jilin Univ, Dept Gen Practice, Changchun, Jilin, Peoples R China; [Wang, Shuai] First Hosp Jilin Univ, Gen Surg Ctr, Dept Vasc Surg, Changchun, Jilin, Peoples R China</t>
  </si>
  <si>
    <t>Jilin University; Fujian Medical University; Jilin University; Jilin University</t>
  </si>
  <si>
    <t>Song, L (corresponding author), First Hosp Jilin Univ, Dept Resp Med, Changchun, Jilin, Peoples R China.;Wang, S (corresponding author), First Hosp Jilin Univ, Gen Surg Ctr, Dept Vasc Surg, Changchun, Jilin, Peoples R China.</t>
  </si>
  <si>
    <t>wang_shuai@jlu.edu.cn; lsong@jlu.edu.cn</t>
  </si>
  <si>
    <t>We would like to thank Enago Academy for the revisions to the manuscript in terms of language and grammar. We would like to thank Huacan Liu for the bioinformatic analysis.</t>
  </si>
  <si>
    <t>10.1002/cam4.6543</t>
  </si>
  <si>
    <t>S2XW4</t>
  </si>
  <si>
    <t>WOS:001069861900001</t>
  </si>
  <si>
    <t>Lopez, RB</t>
  </si>
  <si>
    <t>Lopez, Richard B.</t>
  </si>
  <si>
    <t>Self-regulation in daily life: Neuroscience will accelerate theorizing and advance the field</t>
  </si>
  <si>
    <t>SOCIAL AND PERSONALITY PSYCHOLOGY COMPASS</t>
  </si>
  <si>
    <t>daily life; EEG; fMRI; neuroscience; self-regulation</t>
  </si>
  <si>
    <t>COGNITIVE REGULATION; EMOTION REGULATION; STRATEGIES; REAPPRAISAL; FOOD</t>
  </si>
  <si>
    <t>Self-regulation often involves foregoing short-term pleasures and impulses in favor of long-term goals, such as pursuing a particular career, raising a family, or maintaining good health to promote longevity. Like many other fields in psychology, the study of self-regulation has experienced some growing pains in the wake of the replication crisis, with previously held theories called into question, including seemingly intuitive phenomena such as ego depletion. Despite these challenges, there is burgeoning interest in characterizing people's experiences of self-regulation success and failure in real world settings. In this review, I argue that utilizing tools and approaches from neuroscience will yield valuable insights into how self-regulatory processes are engaged in daily life, which in turn will refine and advance self-regulation models and theorizing, as well as generate new hypotheses. I also unpack some conceptual and practical considerations when combining neuroscience methods with real-world assessment of behaviors, such as ecological momentary assessment. With these issues and points for consideration taken together, I hope this review will help pave a fruitful path forward for the field with implications for how we might become better self-regulators.</t>
  </si>
  <si>
    <t>[Lopez, Richard B.] Worcester Polytech Inst, Dept Psychol &amp; Cognit Sci, Worcester, MA USA; [Lopez, Richard B.] Worcester Polytech Inst, Dept Psychol &amp; Cognit Sci, 100 Inst Rd, Worcester, MA 01609 USA</t>
  </si>
  <si>
    <t>Worcester Polytechnic Institute; Worcester Polytechnic Institute</t>
  </si>
  <si>
    <t>Lopez, RB (corresponding author), Worcester Polytech Inst, Dept Psychol &amp; Cognit Sci, 100 Inst Rd, Worcester, MA 01609 USA.</t>
  </si>
  <si>
    <t>rlopez1@wpi.edu</t>
  </si>
  <si>
    <t>The author would like to thank Elliot Berkman and Kaitlyn Werner for their thoughtful and constructive comments on earlier versions of the manuscript.</t>
  </si>
  <si>
    <t>1751-9004</t>
  </si>
  <si>
    <t>SOC PERSONAL PSYCHOL</t>
  </si>
  <si>
    <t>Soc. Personal. Psychol. Compass</t>
  </si>
  <si>
    <t>10.1111/spc3.12898</t>
  </si>
  <si>
    <t>R9NU5</t>
  </si>
  <si>
    <t>WOS:001067554600001</t>
  </si>
  <si>
    <t>Masse-Gignac, N; Florez-Jimenez, S; Mac-Thiong, JM; Duong, L</t>
  </si>
  <si>
    <t>Masse-Gignac, Nicolas; Florez-Jimenez, Salomon; Mac-Thiong, Jean-Marc; Duong, Luc</t>
  </si>
  <si>
    <t>Attention-gated U-Net networks for simultaneous axial/sagittal planes segmentation of injured spinal cords</t>
  </si>
  <si>
    <t>JOURNAL OF APPLIED CLINICAL MEDICAL PHYSICS</t>
  </si>
  <si>
    <t>convolutional neural networks (CNN); deep learning; medical image segmentation; spinal cord</t>
  </si>
  <si>
    <t>ROBUST</t>
  </si>
  <si>
    <t>Magnetic resonance imaging is currently the gold standard for the evaluation of spinal cord injuries. Automatic analysis of these injuries is however challenging, as MRI resolutions vary for different planes of analysis and physiological features are often distorted around these injuries. This study proposes a new CNN-based segmentation method in which information is exchanged between two networks analyzing the scans from different planes. Our aim was to develop a robust method for automatic segmentation of the spinal cord in patients having suffered traumatic injuries. The database consisted of 106 sagittal MRI scans from 94 patients with traumatic spinal cord injuries. Our method used an innovative approach where the scans were analyzed in series under the axial and sagittal plane by two different convolutional networks. The results were compared with those of Deepseg 2D from the Spinal Cord Toolbox (SCT), which was taken as state-of-the-art. Comparisons were evaluated using K-Fold cross-validation combined with statistical t-test results on separate test data. Our method achieved significantly better results than Deepseg 2D, with an average Dice coefficient of 0.95 against 0.88 for Deepseg 2D (p &lt;0.001). Other metrics were also used to compare the segmentations, all of which showed significantly better results for our approach. In this study, we introduce a robust method for spinal cord segmentation which is capable of adequately segmenting spinal cords affected by traumatic injuries, improving upon the methods contained in SCT.</t>
  </si>
  <si>
    <t>[Masse-Gignac, Nicolas; Florez-Jimenez, Salomon; Mac-Thiong, Jean-Marc; Duong, Luc] Ecole Technol Super, Dept Software &amp; IT Engn, Montreal, PQ, Canada; [Masse-Gignac, Nicolas; Florez-Jimenez, Salomon; Mac-Thiong, Jean-Marc; Duong, Luc] Hop Sacre Coeur, Dept Orthoped Surg, Montreal, PQ, Canada</t>
  </si>
  <si>
    <t>University of Quebec; Ecole de Technologie Superieure - Canada; Universite de Montreal</t>
  </si>
  <si>
    <t>Masse-Gignac, N (corresponding author), Ecole Technol Super, Dept Software &amp; IT Engn, Montreal, PQ, Canada.</t>
  </si>
  <si>
    <t>nicgignac@hotmail.com</t>
  </si>
  <si>
    <t>Ecole de technologie superieure; Centre derecherche de l'Hopital du Sacre-Coeur deMontreal</t>
  </si>
  <si>
    <t>1526-9914</t>
  </si>
  <si>
    <t>J APPL CLIN MED PHYS</t>
  </si>
  <si>
    <t>J. Appl. Clin. Med. Phys</t>
  </si>
  <si>
    <t>10.1002/acm2.14123</t>
  </si>
  <si>
    <t>S4RH3</t>
  </si>
  <si>
    <t>WOS:001071050100001</t>
  </si>
  <si>
    <t>Peeters, M; Decaens, J; Furstner, A</t>
  </si>
  <si>
    <t>Peeters, Matthias; Decaens, Jonathan; Fuerstner, Alois</t>
  </si>
  <si>
    <t>Taming of Furfurylidenes by Chiral Bismuth-Rhodium Paddlewheel Catalysts. Preparation and Functionalization of Optically Active 1,1-Disubstituted (Trifluoromethyl)cyclopropanes</t>
  </si>
  <si>
    <t>Asymmetric Catalysis; Bioisosteres; Cyclopropanation; Heterobimetallic Complexes; Rhodium Carbenes</t>
  </si>
  <si>
    <t>ENANTIOSELECTIVE SYNTHESIS; ASYMMETRIC-SYNTHESIS; DIRHODIUM CARBENE; LONDON DISPERSION; METAL-FREE; TRIFLUOROMETHYL; FLUORINE; CYCLOPROPANES; TOSYLHYDRAZONES; COMPLEXES</t>
  </si>
  <si>
    <t>Although 2-furyl-carbenes (furfurylidenes) are prone to instantaneous electrocyclic ring opening, chiral [BiRh]-paddlewheel complexes empowered by London dispersion allow (trifluoromethyl)furfurylidene metal complexes to be generated from a bench-stable triftosylhydrazone precursor. These reactive intermediates engage in asymmetric [2+1] cycloadditions and hence open entry into valuable trifluoromethylated cyclopropane or -cyclopropene derivatives in optically active form, which are important building blocks for medicinal chemistry but difficult to make otherwise. 1,1-Disubstituted (trifluoromethyl)cyclopropanes represent bioisostereres of tert-butyl groups of improved metabolic stability; they are on high demand in medicinal chemistry but difficult to make in optically active form. A new approach, which engages a bench-stable carbene source in asymmetric cyclopropanation catalyzed by a [BiRh] paddlewheel complex, opens ready access to compounds of this type.image</t>
  </si>
  <si>
    <t>[Peeters, Matthias; Decaens, Jonathan; Fuerstner, Alois] Max Planck Inst Kohlenforsch, Ruhr Mulheim Ruhr, D-45470 Mulheim, Ruhr, Germany</t>
  </si>
  <si>
    <t>Max Planck Society</t>
  </si>
  <si>
    <t>Furstner, A (corresponding author), Max Planck Inst Kohlenforsch, Ruhr Mulheim Ruhr, D-45470 Mulheim, Ruhr, Germany.</t>
  </si>
  <si>
    <t>fuerstner@kofo.mpg.de</t>
  </si>
  <si>
    <t>Generous financial support by the Max-Planck-Society is gratefully acknowledged. We thank C. Rustemeier for the preparation of several substrates, J. Rust and Dr. C. W. Lehmann for solving the X-ray structure, and R. Leichtwei beta for excellent HPLC serv</t>
  </si>
  <si>
    <t>Generous financial support by the Max-Planck-Society is gratefully acknowledged. We thank C. Rustemeier for the preparation of several substrates, J. Rust and Dr. C. W. Lehmann for solving the X-ray structure, and R. Leichtwei beta for excellent HPLC service. Open Access funding enabled and organized by Projekt DEAL.</t>
  </si>
  <si>
    <t>10.1002/anie.202311598</t>
  </si>
  <si>
    <t>R9MH2</t>
  </si>
  <si>
    <t>WOS:001067515300001</t>
  </si>
  <si>
    <t>Prescott, LF</t>
  </si>
  <si>
    <t>Prescott, Laurie F.</t>
  </si>
  <si>
    <t>Paracetamol (acetaminophen) poisoning: The early years</t>
  </si>
  <si>
    <t>BRITISH JOURNAL OF CLINICAL PHARMACOLOGY</t>
  </si>
  <si>
    <t>acetaminophen; glutathione; hepatotoxicity; N-acetylcysteine; nomogram; overdose; paracetamol</t>
  </si>
  <si>
    <t>INDUCED HEPATIC-NECROSIS; INTRAVENOUS N-ACETYLCYSTEINE; LIVER-INJURY; HOSPITAL PRESENTATION; ADVERSE-REACTIONS; HALF-LIFE; OVERDOSE; METHIONINE; MANAGEMENT; FAILURE</t>
  </si>
  <si>
    <t>Paracetamol (acetaminophen) was marketed in the 1950s as a nonprescription analgesic/antipyretic without any preclinical toxicity studies. It became used increasingly for self-poisoning, particularly in the UK and was belatedly found to cause acute liver damage, which could be fatal. Management of poisoned patients was difficult as maximum abnormalities of liver function were delayed for 3 days or more after an overdose. There was no treatment and the mechanism of hepatotoxicity was not known. The paracetamol half-life was prolonged with liver damage occurring when it exceeded 4 h and the Rumack-Matthew nomogram was an important advance that allowed stratification of patients into separate zones of risk. It is used to guide prognosis and treatment and its predictive value could be increased by combining it with the paracetamol half-life. The problems of a sheep farmer in Australia in the early 1970s led to the discovery of the mechanism of paracetamol hepatotoxicity, and the first effective treatment of overdosage with intravenous (IV) cysteamine. This had unpleasant side effects and administration was difficult. N-acetylcysteine soon became the treatment of choice for paracetamol overdose and given early it was very effective when administered either IV or orally. N-acetylcysteine could cause anaphylactoid reactions, particularly early during IV administration when the concentrations were highest. Simpler and shorter regimes with slower initial rates of infusion have now been introduced with a reduced incidence of these adverse effects. In addition, there has been a move to use larger doses of N-acetylcysteine given over longer periods for patients who are more severely poisoned and those with risk factors. There has been much interest recently in the search for novel biomarkers such as microRNAs, procalcitonin and cyclophilin that promise to have greater specificity and sensitivity than transaminases. Paracetamol-protein adducts predict hepatotoxicity and are specific biomarkers of toxic paracetamol metabolite exposure. Another approach would be measurement of the plasma levels of cysteine and inorganic sulfate. It is 50 years since the first effective treatment for paracetamol poisoning and, apart from liver transplantation, there is still no effective treatment for patients who present late.</t>
  </si>
  <si>
    <t>[Prescott, Laurie F.] Univ Edinburgh, Clin Pharmacol, Edinburgh, Scotland; [Prescott, Laurie F.] Univ Edinburgh, Clin Pharmacol, 7-8 Church Hill, Edinburgh EH10 4BG, Scotland</t>
  </si>
  <si>
    <t>University of Edinburgh; University of Edinburgh</t>
  </si>
  <si>
    <t>Prescott, LF (corresponding author), Univ Edinburgh, Clin Pharmacol, 7-8 Church Hill, Edinburgh EH10 4BG, Scotland.</t>
  </si>
  <si>
    <t>laurie.prescott@btinternet.com</t>
  </si>
  <si>
    <t>Prescott, Laurie/0009-0001-0133-9415</t>
  </si>
  <si>
    <t>0306-5251</t>
  </si>
  <si>
    <t>1365-2125</t>
  </si>
  <si>
    <t>BRIT J CLIN PHARMACO</t>
  </si>
  <si>
    <t>Br. J. Clin. Pharmacol.</t>
  </si>
  <si>
    <t>10.1111/bcp.15903</t>
  </si>
  <si>
    <t>S4RL4</t>
  </si>
  <si>
    <t>WOS:001071054600001</t>
  </si>
  <si>
    <t>Vijayaraghavan, A; Subhash, PK; Selvaraj, P; Puthanveedu, DK; Krishnan, S</t>
  </si>
  <si>
    <t>Vijayaraghavan, Asish; Subhash, Patel Khushboo; Selvaraj, Prabhu; Puthanveedu, Divya Kalikavil; Krishnan, Syam</t>
  </si>
  <si>
    <t>PINK-1 Parkinson's Disease Presenting with Dystonic Head Tremor</t>
  </si>
  <si>
    <t>MOVEMENT DISORDERS CLINICAL PRACTICE</t>
  </si>
  <si>
    <t>PINK 1; YOPD; dystonic head tremor</t>
  </si>
  <si>
    <t>[Vijayaraghavan, Asish; Subhash, Patel Khushboo; Puthanveedu, Divya Kalikavil; Krishnan, Syam] Sree Chitra Tirunal Inst Med Sci &amp; Technol, Comprehens Care Ctr Movement Disorders, Dept Neurol, Trivandrum, India; [Selvaraj, Prabhu] Sree Chitra Tirunal Inst Med Sci &amp; Technol, Dept Neurol, Trivandrum, India; [Krishnan, Syam] Sree Chitra Tirunal Inst Med Sci &amp; Technol, Comprehens Care Ctr Movement Disorder, Dept Neurol, Trivandrum, India</t>
  </si>
  <si>
    <t>Department of Science &amp; Technology (India); Sree Chitra Tirunal Institute for Medical Sciences Technology (SCTIMST); Department of Science &amp; Technology (India); Sree Chitra Tirunal Institute for Medical Sciences Technology (SCTIMST); Department of Science &amp; Technology (India); Sree Chitra Tirunal Institute for Medical Sciences Technology (SCTIMST)</t>
  </si>
  <si>
    <t>Krishnan, S (corresponding author), Sree Chitra Tirunal Inst Med Sci &amp; Technol, Comprehens Care Ctr Movement Disorder, Dept Neurol, Trivandrum, India.</t>
  </si>
  <si>
    <t>drsyam@sctimst.ac.in</t>
  </si>
  <si>
    <t>Authors are thankful for Ms. Geetha Ramp;apos;s contribution in acquisition of the patientamp;apos;s video. Authors are also grateful to the patient who consented to the publication of his clinical details.</t>
  </si>
  <si>
    <t>Authors are thankful for Ms. Geetha R &amp; apos;s contribution in acquisition of the patient &amp; apos;s video. Authors are also grateful to the patient who consented to the publication of his clinical details.</t>
  </si>
  <si>
    <t>2330-1619</t>
  </si>
  <si>
    <t>MOV DISORD CLIN PRAC</t>
  </si>
  <si>
    <t>MOV. DISORD. CLIN. PRACT.</t>
  </si>
  <si>
    <t>10.1002/mdc3.13875</t>
  </si>
  <si>
    <t>S7MJ7</t>
  </si>
  <si>
    <t>WOS:001072971600001</t>
  </si>
  <si>
    <t>Wu, JX; Deng, JX; Wang, MY; Zhang, ZH; Wang, R; Lu, Y; Bao, YC; Tian, RZ</t>
  </si>
  <si>
    <t>Wu, Jiaxing; Deng, Jianxin; Wang, Mingyuan; Zhang, Zhihui; Wang, Ran; Lu, Yang; Bao, Yichen; Tian, Runzhou</t>
  </si>
  <si>
    <t>Synergistic Effects of Ultrasonic Rolling Textures and PTFE-PPS/SiO2 Coatings on Dry Friction and Wear Properties of GCr15 Steel Surfaces</t>
  </si>
  <si>
    <t>ADVANCED ENGINEERING MATERIALS</t>
  </si>
  <si>
    <t>friction; solid lubricant coating; surface texture; ultrasonic surface rolling process; wear</t>
  </si>
  <si>
    <t>TRIBOLOGICAL PROPERTIES; MECHANICAL-PROPERTIES; LUBRICANT; EVOLUTION; ADHESION; HARDNESS; MODES; FILMS</t>
  </si>
  <si>
    <t>Ultrasonic surface rolling processing (USRP) is used to fabricate textures with different shapes and processing times on the surface of GCr15 substrates. The polytetrafluoroethylene-polyphenylene sulfide/silicon dioxide (PTFE-PPS/SiO2) lubricant coating is subsequently deposited on texture surfaces by electrohydrodynamic atomization. USRP texturing not only forms the texture shapes but also realizes the strengthening effects of increased hardness and residual stress. Synergistic effects of the PTFE-PPS/SiO2 coating and different USRP textures on dry friction and wear properties are investigated. The results show that the synergistic effect of the linear texture with two processing times and the PTFE-PPS/SiO2 coating achieves better dry friction and wear performance than the individual effect. The texture shape and the processing times both affect the synergistic effect. The increase in processing times has a positive effect on synergistic improvement. The linear texture plays a better synergistic effect compared with that of the wavy texture with the same processing times. The USRP textures affect the tribological properties of texture-coating samples by mainly influencing the coating-substrate adhesion. The texture with an appropriate shape and height can improve the adhesion with the coating, and thus synergistically improve the dry friction and wear properties of the substrate.</t>
  </si>
  <si>
    <t>[Wu, Jiaxing; Deng, Jianxin; Wang, Mingyuan; Zhang, Zhihui; Wang, Ran; Lu, Yang; Bao, Yichen; Tian, Runzhou] Shandong Univ, Sch Mech Engn, Key Lab High Efficiency &amp; Clean Mech Manufacture M, Jinan 250061, Peoples R China</t>
  </si>
  <si>
    <t>Shandong University</t>
  </si>
  <si>
    <t>Deng, JX (corresponding author), Shandong Univ, Sch Mech Engn, Key Lab High Efficiency &amp; Clean Mech Manufacture M, Jinan 250061, Peoples R China.</t>
  </si>
  <si>
    <t>jxdeng@sdu.edu.cn</t>
  </si>
  <si>
    <t>This work was supported by the National Natural Science Foundation of China (grant no. 52275443) and the Key Research and Development Projects of Shandong Province (grant no. 2020CXGC011003). [52275443]; National Natural Science Foundation of China [2020CXGC011003]; Key Research and Development Projects of Shandong Province</t>
  </si>
  <si>
    <t>This work was supported by the National Natural Science Foundation of China (grant no. 52275443) and the Key Research and Development Projects of Shandong Province (grant no. 2020CXGC011003).; National Natural Science Foundation of China(National Natural Science Foundation of China (NSFC)); Key Research and Development Projects of Shandong Province</t>
  </si>
  <si>
    <t>This work was supported by the National Natural Science Foundation of China (grant no. 52275443) and the Key Research and Development Projects of Shandong Province (grant no. 2020CXGC011003).</t>
  </si>
  <si>
    <t>1438-1656</t>
  </si>
  <si>
    <t>1527-2648</t>
  </si>
  <si>
    <t>ADV ENG MATER</t>
  </si>
  <si>
    <t>Adv. Eng. Mater.</t>
  </si>
  <si>
    <t>10.1002/adem.202301108</t>
  </si>
  <si>
    <t>Materials Science, Multidisciplinary</t>
  </si>
  <si>
    <t>Materials Science</t>
  </si>
  <si>
    <t>S1UR8</t>
  </si>
  <si>
    <t>WOS:001069097400001</t>
  </si>
  <si>
    <t>Chatterjee, A; Ghosh, A; Ganguly, D; Sundara, R; Bhattacharya, SS</t>
  </si>
  <si>
    <t>Chatterjee, Arindam; Ghosh, Anamika; Ganguly, Dipsikha; Sundara, Ramaprabhu; Bhattacharya, Subramshu S.</t>
  </si>
  <si>
    <t>High-Entropy Oxysulfide for High-Performance Oxygen Evolution Reactions Electrocatalyst</t>
  </si>
  <si>
    <t>ENERGY TECHNOLOGY</t>
  </si>
  <si>
    <t>electrocatalysts; electrochemical stability; high-entropy oxysulfides; oxygen evolution reaction; water splitting</t>
  </si>
  <si>
    <t>CATALYST; NANOSHEETS; BATTERY</t>
  </si>
  <si>
    <t>Hydrogen energy is considered as a significant clean, green, and renewable energy technology. Oxygen evolution reaction (OER) plays an important role in hydrogen production through overall electrochemical water splitting. Herein, novel transition- and rare-earth metal-based high-entropy oxysulfides (HEOS) are synthesized via low-temperature hydrothermal method to overcome the immiscibility issue of sulfur. HEOS with systematically varying sulfur content are investigated as electrocatalysts in the OER for the first time. To assess the contribution of sulfur toward OER, the electrocatalytic performance of oxysulfides is compared with high-entropy oxides (not containing sulfur). HEOS with higher sulfur content shows superior electrocatalytic activity and outperforms the high-entropy oxides. The considerable amount of sulfate left in the structure during electrolysis contributes to the catalytic activity. The HEOS exhibits a reasonable overpotential of 348 mV at a current density of 10 mA cm-2 and outstanding electrochemical stability of 100 h of testing. The extraordinary OER activity of complex HEOS demonstrates its viability in rational design of highly efficient oxysulfide catalyst for overall water-splitting. Novel transition- and rare-earth metal-based high-entropy oxysulfides are synthesized via low-temperature hydrothermal method to overcome the immiscibility issue of sulfur. The oxysulfide exhibits a reasonably low overpotential of 348 mV at 10 mA cm-2 during oxygen evolution reaction, along with excellent operational stability for over 100 h at 10 mA cm-2, without severe overpotential increase.image &amp; COPY; 2023 WILEY-VCH GmbH</t>
  </si>
  <si>
    <t>[Chatterjee, Arindam; Bhattacharya, Subramshu S.] Indian Inst Technol Madras, Nano Funct Mat Technol Ctr NFMTC, Dept Met &amp; Mat Engn, Chennai 600036, Tamil Nadu, India; [Ghosh, Anamika; Ganguly, Dipsikha; Sundara, Ramaprabhu] Indian Inst Technol Madras, Nano Funct Mat Technol Ctr NFMTC, Dept Phys, Alternat Energy &amp; Nanotechnol Lab AENL, Chennai 600036, Tamil Nadu, India</t>
  </si>
  <si>
    <t>Indian Institute of Technology System (IIT System); Indian Institute of Technology (IIT) - Madras; Indian Institute of Technology System (IIT System); Indian Institute of Technology (IIT) - Madras</t>
  </si>
  <si>
    <t>Bhattacharya, SS (corresponding author), Indian Inst Technol Madras, Nano Funct Mat Technol Ctr NFMTC, Dept Met &amp; Mat Engn, Chennai 600036, Tamil Nadu, India.;Sundara, R (corresponding author), Indian Inst Technol Madras, Nano Funct Mat Technol Ctr NFMTC, Dept Phys, Alternat Energy &amp; Nanotechnol Lab AENL, Chennai 600036, Tamil Nadu, India.</t>
  </si>
  <si>
    <t>ramp@iitm.ac.in; ssb@iitm.ac.in</t>
  </si>
  <si>
    <t>This research was conducted at Nano Functional Materials Technology Centre (NFMTC) funded by DST, Government of India (Gol) and Alternative Energy and Nanotechnology laboratory (AENL), IIT Madras.; DST, Government of India; Alternative Energy and Nanotechnology laboratory (AENL), IIT Madras</t>
  </si>
  <si>
    <t>This research was conducted at Nano Functional Materials Technology Centre (NFMTC) funded by DST, Government of India (Gol) and Alternative Energy and Nanotechnology laboratory (AENL), IIT Madras.; DST, Government of India(Department of Science &amp; Technology (India)); Alternative Energy and Nanotechnology laboratory (AENL), IIT Madras</t>
  </si>
  <si>
    <t>This research was conducted at Nano Functional Materials Technology Centre (NFMTC) funded by DST, Government of India (Gol) and Alternative Energy and Nanotechnology laboratory (AENL), IIT Madras.</t>
  </si>
  <si>
    <t>2194-4288</t>
  </si>
  <si>
    <t>2194-4296</t>
  </si>
  <si>
    <t>ENERGY TECHNOL-GER</t>
  </si>
  <si>
    <t>Energy Technol.</t>
  </si>
  <si>
    <t>2023 SEP 20</t>
  </si>
  <si>
    <t>10.1002/ente.202300490</t>
  </si>
  <si>
    <t>Energy &amp; Fuels</t>
  </si>
  <si>
    <t>S2RB9</t>
  </si>
  <si>
    <t>WOS:001069683400001</t>
  </si>
  <si>
    <t>Gil, AE; Hadad, CZ</t>
  </si>
  <si>
    <t>Gil, A. Exlonk; Hadad, Cacier Z.</t>
  </si>
  <si>
    <t>Reaction Mechanism and Effect of Substituent in Direct Bromination of Indoles</t>
  </si>
  <si>
    <t>CHEMISTRYSELECT</t>
  </si>
  <si>
    <t>Ab initio calculations; Bromination of indoles; Molecular electrostatic potential; Reaction mechanism; Substituent effect</t>
  </si>
  <si>
    <t>A reaction mechanism for the direct bromination of substituted indoles in dimethylformamide solution at 298.15 K and 1 atm is proposed and studied. It consists of two steps, the first one, in which the lowest unoccupied molecular orbital of Br2 overlaps with the highest occupied molecular orbital of the substituted indole, is the rate-determining step. A linear correlation is observed between the electron-withdrawing power of the substituent (expressed through the relative molecular electrostatic potential) and the Gibbs free energy barrier of the reaction's rate-determining step, &amp; UDelta;GTS1 &amp; NOTEQUAL; ${\Delta {G}_{TS1}&lt;^&gt;{{\ne}}}$. This correlation is suggested for estimating &amp; UDelta;GTS1 &amp; NOTEQUAL; ${\Delta {G}_{TS1}&lt;^&gt;{{\ne}}}$ in other unexplored cases. The variation of &amp; UDelta;GTS1 &amp; NOTEQUAL; ${\Delta {G}_{TS1}&lt;^&gt;{{\ne}}}$ with a change in substituents is primarily governed by electronic factors, but the presence of &amp; UDelta;GTS1 &amp; NOTEQUAL; ${\Delta {G}_{TS1}&lt;^&gt;{{\ne}}}$ itself is due to entropic factors. The rate of the bromination reaction under the studied conditions diminishes with a change in the substituent, R, following the order: R=-OCH3, -CH3, -H, -CCH3CH2, -C6H5, -CH2OH, -F, -SCH2CH3, -Cl, -Br, -COCH3, -COOH, -NC, -COH, and -CN. Indole bromination in depth. The direct bromination reaction of substituted indoles occurs in a two-step reaction mechanism, being the first one, in which the LUMO of Br2 reacts with the HOMO of the indole, the determinant of the reaction rate. The relative electrostatic molecular potential of the substituent and the Gibbs free energy barrier of the reaction rate-determining step follow a linear relationship.image</t>
  </si>
  <si>
    <t>[Gil, A. Exlonk; Hadad, Cacier Z.] Univ Antioquia UdeA, Inst Quim, Calle 70 52-21, Medellin, Colombia</t>
  </si>
  <si>
    <t>Universidad de Antioquia</t>
  </si>
  <si>
    <t>Gil, AE; Hadad, CZ (corresponding author), Univ Antioquia UdeA, Inst Quim, Calle 70 52-21, Medellin, Colombia.</t>
  </si>
  <si>
    <t>anderson.gil@udea.edu.co; cacier.hadad@udea.edu.co</t>
  </si>
  <si>
    <t>We thank Universidad de Antioquia UdeA for the resources for this research.; Universidad de Antioquia UdeA</t>
  </si>
  <si>
    <t>We thank Universidad de Antioquia UdeA for the resources for this research.</t>
  </si>
  <si>
    <t>2365-6549</t>
  </si>
  <si>
    <t>ChemistrySelect</t>
  </si>
  <si>
    <t>SEP 20</t>
  </si>
  <si>
    <t>e202302032</t>
  </si>
  <si>
    <t>10.1002/slct.202302032</t>
  </si>
  <si>
    <t>R7SR5</t>
  </si>
  <si>
    <t>WOS:001066322300001</t>
  </si>
  <si>
    <t>Jones, TM; Llamas, AP; Phillips, JN</t>
  </si>
  <si>
    <t>Jones, Todd M.; Llamas, Alfredo P.; Phillips, Jennifer N.</t>
  </si>
  <si>
    <t>Phenotypic signatures of urbanization? Resident, but not migratory, songbird eye size varies with urban-associated light pollution levels</t>
  </si>
  <si>
    <t>GLOBAL CHANGE BIOLOGY</t>
  </si>
  <si>
    <t>body size; demographics; eye size; phenotypic divergence; sensory pollution; songbirds; urbanization</t>
  </si>
  <si>
    <t>BODY-SIZE; ISLAND RULE; BIRDS; BIODIVERSITY; NOISE; AGE; EVOLUTION; BEHAVIOR; CITY; COLORATION</t>
  </si>
  <si>
    <t>Urbanization now exposes large portions of the earth to sources of anthropogenic disturbance, driving rapid environmental change and producing novel environments. Changes in selective pressures as a result of urbanization are often associated with phenotypic divergence; however, the generality of phenotypic change remains unclear. In this study, we examined whether morphological phenotypes in two residential species (Carolina Wren [Thryothorus ludovicianus] and Northern Cardinal [Cardinalis cardinalis]) and two migratory species (Painted Bunting [Passerina ciris], and White-eyed Vireo [Vireo griseus]), differed between urban core and edge habitats in San Antonio, Texas, USA. More specifically, we examined whether urbanization, associated sensory pollution (light and noise) and brightness (open, bright areas cause by anthropogenic land use) influenced measures of avian body (mass and frame size) and lateral eye size. We found no differences in body size between urban core and edge habitats for all species except the Painted Bunting, in which core-urban individuals were smaller. Rather than a direct effect of urbanization, this was due to differences in age structure between habitats, with urban-core areas consisting of higher proportions of younger buntings which are, on average, smaller than older birds. Residential birds inhabiting urban-core areas had smaller eyes compared to their urban-edge counterparts, resulting from a negative association between eye size and light pollution and brightness across study sites; notably, we found no such association in the two migratory species. Our findings demonstrate how urbanization may indirectly influence phenotypes by altering population demographics and highlight the importance of accounting for age when assessing factors driving phenotypic change. We also provide some of the first evidence that birds may adapt to urban environments through changes in their eye morphology, demonstrating the need for future research into relationships among eye size, ambient light microenvironment use, and disassembly of avian communities as a result of urbanization. We examined whether there was evidence for phenotypic divergence in body size and eye size within four species of songbirds breeding across the San Antonio metropolitan area. While we found no evidence of phenotypic divergence in body size, we found differences in eye size (smaller eyes in more urban populations) and a negative association between eye size and measures of light pollution (brightness and artificial light at night) in residential but not migratory songbird species. Our findings highlight the sensory environment as an important selective force driving avian responses to urbanization and avenues for future research.image</t>
  </si>
  <si>
    <t>[Jones, Todd M.; Llamas, Alfredo P.; Phillips, Jennifer N.] Texas A&amp;M Univ San Antonio, Dept Life Sci, San Antonio, TX 78224 USA; [Jones, Todd M.] Smithsonians Natl Zoo &amp; Conservat Biol Inst, Migratory Bird Ctr, Washington, DC USA; [Jones, Todd M.] Univ Illinois Champaign Urbana, Prairie Res Inst, Illinois Nat Hist Survey, Champaign, IL USA; [Phillips, Jennifer N.] Washington State Univ, Sch Environm, Pullman, WA USA</t>
  </si>
  <si>
    <t>Texas A&amp;M University System; Texas A&amp;M University San Antonio; Smithsonian Institution; Smithsonian National Zoological Park &amp; Conservation Biology Institute; Illinois Natural History Survey; University of Illinois System; University of Illinois Urbana-Champaign; Washington State University</t>
  </si>
  <si>
    <t>Jones, TM (corresponding author), Texas A&amp;M Univ San Antonio, Dept Life Sci, San Antonio, TX 78224 USA.</t>
  </si>
  <si>
    <t>jonestm@si.edu</t>
  </si>
  <si>
    <t>Jones, Todd/0000-0002-1658-6531</t>
  </si>
  <si>
    <t>This research was funded with support from the Life Sciences Department at Texas Aamp;amp;M University-San Antonio, the College of Arts and Sciences, Friends of Government Canyon, and Texas Eco-Lab. This work would not be possible without the dedicated ef; Life Sciences Department at Texas Aamp;amp;M University-San; College of Arts and Sciences, Friends of Government Canyon; Texas Parks and Wildlife, Government Canyon State Natural Area, San Antonio Parks and Recreation, Mitchell Lake Audubon Center</t>
  </si>
  <si>
    <t>This research was funded with support from the Life Sciences Department at Texas A &amp; amp;M University-San Antonio, the College of Arts and Sciences, Friends of Government Canyon, and Texas Eco-Lab. This work would not be possible without the dedicated efforts of Kristi Bradley, Theresa Edwards, Victoria Garcia, Destiny Gonzales, Christina Helmick, Sierra Rodriguez, Katarina Scalercio, and Ryan Thornton. We are grateful to Texas Parks and Wildlife, Government Canyon State Natural Area, San Antonio Parks and Recreation, Mitchell Lake Audubon Center, and the San Antonio River Authority for access to study sites.</t>
  </si>
  <si>
    <t>1354-1013</t>
  </si>
  <si>
    <t>1365-2486</t>
  </si>
  <si>
    <t>GLOBAL CHANGE BIOL</t>
  </si>
  <si>
    <t>Glob. Change Biol.</t>
  </si>
  <si>
    <t>10.1111/gcb.16935</t>
  </si>
  <si>
    <t>Biodiversity Conservation; Ecology; Environmental Sciences</t>
  </si>
  <si>
    <t>R8DM7</t>
  </si>
  <si>
    <t>WOS:001066606100001</t>
  </si>
  <si>
    <t>Kitasako, Y; Tanabe, T; Koeda, M; Momma, E; Hoshikawa, Y; Hoshino, S; Kawami, N; Ikeda, M; Iwakiri, K</t>
  </si>
  <si>
    <t>Kitasako, Yuichi; Tanabe, Tomohide; Koeda, Mai; Momma, Eri; Hoshikawa, Yoshimasa; Hoshino, Shintaro; Kawami, Noriyuki; Ikeda, Masaomi; Iwakiri, Katsuhiko</t>
  </si>
  <si>
    <t>Patients with gastroesophageal reflux disease (both reflux oesophagitis and non-erosive reflux disease): Prevalence and severity of erosive tooth wear and saliva properties</t>
  </si>
  <si>
    <t>JOURNAL OF ORAL REHABILITATION</t>
  </si>
  <si>
    <t>dental erosion; erosive tooth wear; GERD; NERD; reflux oesophagitis; saliva</t>
  </si>
  <si>
    <t>DENTAL EROSION; INDEX</t>
  </si>
  <si>
    <t>BackgroundThe prevalence between erosive tooth wear (ETW) in association with reflux oesophagitis (RO) has been reported. However, the severity of both diseases and the relationship between ETW and non-erosive reflux disease (NERD) is unclear.ObjectivesThe prevalence and severity of ETW were investigated in RO, NERD and healthy controls.Methods135 patients with RO, 65 with NERD and 40 healthy controls were recruited for this case-control study. A modified tooth wear index was used to evaluate the prevalence and severity of ETW. Salivary secretion and buffer capacity were assessed prior to endoscopy. The prevalence and severity of ETW, saliva properties among each group were analysed using Pearson's chi-squared test.ResultsA total of 135 cases (56.3%) were categorised as the patient with ETW (55 with mild RO, 49 with severe RO and 31 with NERD). There was a significant relationship between the prevalence of RO and ETW, while there was no significant correlation between the prevalence of NERD and ETW. There was a significant difference related to the severity between RO and ETW. For salivary secretion, there was a significant difference between with and without ETW in patients with mild RO, severe RO and NERD. There was a significant difference between with and without ETW for salivary buffer capacity in patients with mild and severe RO.ConclusionThere was a significant association of the prevalence and severity between RO and ETW. Clinical signs such as ETW and salivary buffer capacity depended on the severity of RO. This study evaluated the prevalence and severity of erosive tooth wear (ETW) in patients with reflux oesophagitis (RO) and non-erosive reflux disease. There was a significant association of the prevalence and severity between RO and ETW. Severe RO showed a higher prevalence of severe ETW than mild RO. The palatal surfaces of the maxillary anterior and occlusal surfaces of premolar and molars were affected by not only chemical factors but also mechanical factors, which may further influence ETW.image</t>
  </si>
  <si>
    <t>[Kitasako, Yuichi; Tanabe, Tomohide; Koeda, Mai; Momma, Eri; Hoshikawa, Yoshimasa; Hoshino, Shintaro; Kawami, Noriyuki; Iwakiri, Katsuhiko] Nippon Med Sch, Grad Sch Med, Dept Gastroenterol, Tokyo, Japan; [Kitasako, Yuichi] Tokyo Med &amp; Dent Univ, Grad Sch Med &amp; Dent Sci, Dept Restorat Sci, Cariol &amp; Operat Dent, 5-45 Yushima 1 Chome,Bunkyo Ku, Tokyo, Japan; [Kitasako, Yuichi] Minist Foreign Affairs, Dent Clin, Tokyo, Japan; [Ikeda, Masaomi] Tokyo Med &amp; Dent Univ, Grad Sch, Oral Prosthet Engn, Tokyo, Japan</t>
  </si>
  <si>
    <t>Nippon Medical School; Tokyo Medical &amp; Dental University (TMDU); Tokyo Medical &amp; Dental University (TMDU)</t>
  </si>
  <si>
    <t>Kitasako, Y (corresponding author), Tokyo Med &amp; Dent Univ, Grad Sch Med &amp; Dent Sci, Dept Restorat Sci, Cariol &amp; Operat Dent, 5-45 Yushima 1 Chome,Bunkyo Ku, Tokyo, Japan.</t>
  </si>
  <si>
    <t>kitasako.ope@tmd.ac.jp</t>
  </si>
  <si>
    <t>Hoshikawa, Yoshimasa/0000-0003-3031-0993; Kitasako, Yuichi/0000-0003-1393-0840</t>
  </si>
  <si>
    <t>JSPS KAKENHI [JP20K082973, JP21K09889]</t>
  </si>
  <si>
    <t>JSPS KAKENHI(Ministry of Education, Culture, Sports, Science and Technology, Japan (MEXT)Japan Society for the Promotion of ScienceGrants-in-Aid for Scientific Research (KAKENHI))</t>
  </si>
  <si>
    <t>The authors would like to thank Prof. Michael F Burrow for his helpful support of this report. This work was supported by JSPS KAKENHI Grant Numbers JP20K082973 and JP21K09889.</t>
  </si>
  <si>
    <t>0305-182X</t>
  </si>
  <si>
    <t>1365-2842</t>
  </si>
  <si>
    <t>J ORAL REHABIL</t>
  </si>
  <si>
    <t>J. Oral Rehabil.</t>
  </si>
  <si>
    <t>10.1111/joor.13595</t>
  </si>
  <si>
    <t>R8DL7</t>
  </si>
  <si>
    <t>WOS:001066605100001</t>
  </si>
  <si>
    <t>Koren, E; Hagen, CMH; Wang, D; Lu, X; Johnsen, R</t>
  </si>
  <si>
    <t>Koren, Erik; Hagen, Catalina M. H.; Wang, Dong; Lu, Xu; Johnsen, Roy</t>
  </si>
  <si>
    <t>Investigating electrochemical charging conditions equivalent to hydrogen gas exposure of X65 pipeline steel</t>
  </si>
  <si>
    <t>MATERIALS AND CORROSION-WERKSTOFFE UND KORROSION</t>
  </si>
  <si>
    <t>electrochemical charging; equivalent fugacity; H-2 gas charging; hydrogen embrittlement; hydrogen permeation; pipeline steel</t>
  </si>
  <si>
    <t>ENTRY; PERMEATION; TRANSPORT; DIFFUSION; FUGACITY; IRON</t>
  </si>
  <si>
    <t>In this study, we systematically investigate electrochemical hydrogen charging conditions equivalent to hydrogen gas pressures relevant for hydrogen transportation in X65 pipeline steel. By performing hydrogen gas permeation, a relationship for Sieverts' law was established, which was used in combination with electrochemical hydrogen permeation to determine the equivalent hydrogen pressure. The results revealed that cathodic protection simulated condition at -1050 mV(Ag/AgCl) was equivalent to a hydrogen pressure of 12.3 bar. The addition of thiourea, a hydrogen recombination poison, and changing the applied potential in the cathodic direction increased the equivalent hydrogen pressure. In this way, an electrochemical charging condition equivalent to a potential hydrogen gas pressure for hydrogen transportation (200 bar) was determined.</t>
  </si>
  <si>
    <t>[Koren, Erik; Wang, Dong; Lu, Xu; Johnsen, Roy] NTNU, Dept Mech &amp; Ind Engn, Trondheim, Norway; [Hagen, Catalina M. H.] SINTEF, Trondheim, Norway; [Koren, Erik; Lu, Xu] NTNU, Dept Mech &amp; Ind Engn, N-7491 Trondheim, Norway</t>
  </si>
  <si>
    <t>Norwegian University of Science &amp; Technology (NTNU); SINTEF; Norwegian University of Science &amp; Technology (NTNU)</t>
  </si>
  <si>
    <t>Koren, E; Lu, X (corresponding author), NTNU, Dept Mech &amp; Ind Engn, N-7491 Trondheim, Norway.</t>
  </si>
  <si>
    <t>erik.a.koren@ntnu.no; xu.lu@ntnu.no</t>
  </si>
  <si>
    <t>Johnsen, Roy/0000-0002-5449-7396</t>
  </si>
  <si>
    <t>The authors acknowledge the financial support by the Research Council of Norway and the industry company partners through the HyLINE project (294739). [294739]; Research Council of Norway</t>
  </si>
  <si>
    <t>The authors acknowledge the financial support by the Research Council of Norway and the industry company partners through the HyLINE project (294739).; Research Council of Norway(Research Council of Norway)</t>
  </si>
  <si>
    <t>The authors acknowledge the financial support by the Research Council of Norway and the industry company partners through the HyLINE project (294739).</t>
  </si>
  <si>
    <t>0947-5117</t>
  </si>
  <si>
    <t>1521-4176</t>
  </si>
  <si>
    <t>MATER CORROS</t>
  </si>
  <si>
    <t>Mater. Corros.</t>
  </si>
  <si>
    <t>10.1002/maco.202313931</t>
  </si>
  <si>
    <t>Materials Science, Multidisciplinary; Metallurgy &amp; Metallurgical Engineering</t>
  </si>
  <si>
    <t>Materials Science; Metallurgy &amp; Metallurgical Engineering</t>
  </si>
  <si>
    <t>S1JD6</t>
  </si>
  <si>
    <t>WOS:001068791600001</t>
  </si>
  <si>
    <t>Minnerop, P</t>
  </si>
  <si>
    <t>Minnerop, Petra</t>
  </si>
  <si>
    <t>Intergenerational Preparedness: Climate Change, Community Interest Obligations and the Environmental Rule of Law</t>
  </si>
  <si>
    <t>GLOBAL POLICY</t>
  </si>
  <si>
    <t>FUTURE GENERATIONS; ATTRIBUTION; TRAGEDY; GOODS</t>
  </si>
  <si>
    <t>This article argues that the protection of 'community interests' in international law includes intertemporal obligations of States, in cases where it is scientifically foreseeable that preserving the 'status quo' of a protected community interest is increasingly unlikely. The argument is developed for climate change as a 'common concern of humankind' and based on the premise that even if a temperature limitation of 1.5 &amp; DEG;C would be achieved towards the end of this century, future generations will nevertheless live in a world that has fundamentally changed due to current policy and law choices. The article introduces the new concept of 'intergenerational preparedness' to operationalise and expand the normative scope of the principle of intergenerational equity. While some argumentative structures will be examined where intergenerational preparedness can be given effect through legal interpretation, the expectation that States must adopt preparatory measures to account for their community interest obligations deserves a more explicit recognition. It is a matter of the (environmental) rule of law to protect community interests on a time continuum, and this encompasses measures to prevent the deterioration of protected interests and to prepare communities for foreseeable detrimental changes.</t>
  </si>
  <si>
    <t>[Minnerop, Petra] Univ Durham, Durham, England</t>
  </si>
  <si>
    <t>Durham University</t>
  </si>
  <si>
    <t>Minnerop, P (corresponding author), Univ Durham, Durham, England.</t>
  </si>
  <si>
    <t>petra.minnerop@durham.ac.uk</t>
  </si>
  <si>
    <t>1758-5880</t>
  </si>
  <si>
    <t>1758-5899</t>
  </si>
  <si>
    <t>GLOB POLICY</t>
  </si>
  <si>
    <t>Glob. Policy</t>
  </si>
  <si>
    <t>10.1111/1758-5899.13219</t>
  </si>
  <si>
    <t>International Relations; Political Science</t>
  </si>
  <si>
    <t>International Relations; Government &amp; Law</t>
  </si>
  <si>
    <t>R8IQ7</t>
  </si>
  <si>
    <t>WOS:001066742600001</t>
  </si>
  <si>
    <t>Motomura, K; Kawamura, A; Ohka, F; Aoki, K; Nishikawa, T; Yamaguchi, J; Kibe, Y; Shimizu, H; Maeda, S; Saito, R</t>
  </si>
  <si>
    <t>Motomura, Kazuya; Kawamura, Ai; Ohka, Fumiharu; Aoki, Kosuke; Nishikawa, Tomohide; Yamaguchi, Junya; Kibe, Yuji; Shimizu, Hiroki; Maeda, Sachi; Saito, Ryuta</t>
  </si>
  <si>
    <t>Predictive factors of post-operative apathy in patients with diffuse frontal gliomas undergoing awake brain mapping</t>
  </si>
  <si>
    <t>JOURNAL OF NEUROPSYCHOLOGY</t>
  </si>
  <si>
    <t>anterior cingulate gyrus; awake brain mapping; diffuse frontal gliomas; dorsolateral prefrontal cortex; letter fluency test; orbitofrontal cortex; postoperative apathy</t>
  </si>
  <si>
    <t>NEUROPSYCHIATRIC SYMPTOMS; DEPRESSION; FREQUENCY; RESECTION</t>
  </si>
  <si>
    <t>Patients with diffuse frontal gliomas often present with post-operative apathy after tumour removal. However, the association between apathy and tumour removal of gliomas from the frontal lobe remains unknown. This study aimed to investigate the factors influencing post-operative apathy after tumour removal in patients with diffuse frontal gliomas. We compared the demographics and clinical characteristics of patients with and without post-operative apathy in a cohort of 54 patients who underwent awake brain mapping for frontal gliomas. The frequency of clinical parameters such as left-sided involvement, high-grade tumour types (WHO grades III, IV), main tumour location in the anterior cingulate gyrus (ACC) and/or dorsolateral prefrontal cortex (DLPFC) and orbitofrontal cortex (OFC) was significantly greater in the apathetic group compared to the non-apathetic group. The apathetic group scored significantly lower on neuropsychological assessments such as the Letter Fluency Test among the Word Fluency Tests than the non-pathetic group (p = .000). Moreover, the scores of Parts 3, and 3-1 of the Stroop test were significantly lower in the apathetic group than those in the non-apathetic group (p = .023, .027, respectively). Multivariate model analysis revealed that the appearance of post-operative apathy was significantly related to side of the of lesion [left vs. right, hazard ratio (HR) = 8.00, 95% confidence interval (CI) = 1.36-46.96, p = .021], location of the main tumour in the frontal lobe (ACC/DLPFC/OFC vs. others, HR = 7.99, 95% CI = 2.16-29.59, p = .002), and the Letter Fluency Test (HR = .37, 95% CI = .15-.90, p = .028). Post-operative apathy is significantly associated with ACC and/or DLPFC and OFC in the left hemisphere of diffuse frontal gliomas. Apathy in frontal gliomas is correlated with a decline in the Letter Fluency Test scores. Therefore, this instrument is a potential predictor of post-operative apathy in patients with diffuse frontal gliomas undergoing awake brain mapping.</t>
  </si>
  <si>
    <t>[Motomura, Kazuya; Ohka, Fumiharu; Aoki, Kosuke; Nishikawa, Tomohide; Yamaguchi, Junya; Kibe, Yuji; Shimizu, Hiroki; Maeda, Sachi; Saito, Ryuta] Nagoya Univ, Sch Med, Dept Neurosurg, Nagoya, Japan; [Motomura, Kazuya; Kawamura, Ai] Nagoya Univ Hosp, Dept Rehabil, Nagoya, Japan; [Kawamura, Ai] Tohoku Univ, Grad Sch Med, Dept Behav Neurol &amp; Cognit Neurosci, Sendai, Japan; [Motomura, Kazuya] Nagoya Univ, Sch Med, Dept Neurosurg, 65 Tsurumai Cho,Showa Ku, Nagoya 4668550, Japan</t>
  </si>
  <si>
    <t>Nagoya University; Nagoya University; Tohoku University; Nagoya University</t>
  </si>
  <si>
    <t>Motomura, K (corresponding author), Nagoya Univ, Sch Med, Dept Neurosurg, 65 Tsurumai Cho,Showa Ku, Nagoya 4668550, Japan.</t>
  </si>
  <si>
    <t>kmotomura@med.nagoya-u.ac.jp</t>
  </si>
  <si>
    <t>The authors wish to thank Mr. Hiroyasu Yamamoto, Mr. Kyohei Koyama, Mr. Daisuke Hara and Mr. Yasuyuki Matsui (Department of Rehabilitation, Nagoya University Hospital, Nagoya, Japan) for their technical assistance.</t>
  </si>
  <si>
    <t>1748-6645</t>
  </si>
  <si>
    <t>1748-6653</t>
  </si>
  <si>
    <t>J NEUROPSYCHOL</t>
  </si>
  <si>
    <t>J. Neuropsychol.</t>
  </si>
  <si>
    <t>10.1111/jnp.12345</t>
  </si>
  <si>
    <t>Psychology; Psychology, Experimental</t>
  </si>
  <si>
    <t>R9BQ9</t>
  </si>
  <si>
    <t>WOS:001067238300001</t>
  </si>
  <si>
    <t>Orozco-terWengel, P; Coissac, E; Hanotte, O; Pompanon, F; Sunnucks, P; Taberlet, P</t>
  </si>
  <si>
    <t>Orozco-terWengel, Pablo; Coissac, Eric; Hanotte, Olivier; Pompanon, Francois; Sunnucks, Paul; Taberlet, Pierre</t>
  </si>
  <si>
    <t>Obituary Mike Bruford (1963-2023)</t>
  </si>
  <si>
    <t>Biographical-Item; Early Access</t>
  </si>
  <si>
    <t>[Orozco-terWengel, Pablo] Cardiff Univ, Sch Biosci, Cardiff, Wales; [Coissac, Eric; Pompanon, Francois; Taberlet, Pierre] Univ Savoie Mont Blanc, Univ Grenoble Alpes, CNRS, LECA Grenoble, F-38000 Grenoble, France; [Hanotte, Olivier] Univ Nottingham, Sch Life Sci, Nottingham, England; [Sunnucks, Paul] Monash Univ, Sch Biol Sci, Calyton, Vic, Australia; [Orozco-terWengel, Pablo] Cardiff Univ, Sch Biosci, Museum Ave, Cardiff CF10, Wales</t>
  </si>
  <si>
    <t>Cardiff University; Communaute Universite Grenoble Alpes; UDICE-French Research Universities; Universite Grenoble Alpes (UGA); Universite Gustave-Eiffel; Centre National de la Recherche Scientifique (CNRS); University of Nottingham; Monash University; Cardiff University</t>
  </si>
  <si>
    <t>Orozco-terWengel, P (corresponding author), Cardiff Univ, Sch Biosci, Museum Ave, Cardiff CF10, Wales.</t>
  </si>
  <si>
    <t>orozco-terwengelpa@cardiff.ac.uk</t>
  </si>
  <si>
    <t>TABERLET, Pierre/D-1178-2010</t>
  </si>
  <si>
    <t>TABERLET, Pierre/0000-0002-3554-5954; Hanotte, Olivier/0000-0002-2877-4767</t>
  </si>
  <si>
    <t>10.1111/mec.17133</t>
  </si>
  <si>
    <t>S2PF5</t>
  </si>
  <si>
    <t>WOS:001069634600001</t>
  </si>
  <si>
    <t>da Silva, FP; Goncalves, ANA; Duarte-Neto, AN; Dias, TL; Barbeiro, HV; Breda, CNS; Breda, LCD; Camara, NOS; Nakaya, HI</t>
  </si>
  <si>
    <t>Pinheiro da Silva, Fabiano; Goncalves, Andre Nicolau Aquime; Duarte-Neto, Amaro Nunes; Dias, Thomaz Luescher; Barbeiro, Hermes Vieira; Breda, Cristiane Naffah Souza; Breda, Leandro Carvalho Dantas; Camara, Niels Olsen Saraiva; Nakaya, Helder I.</t>
  </si>
  <si>
    <t>Transcriptome analysis of six tissues obtained post-mortem from sepsis patients</t>
  </si>
  <si>
    <t>JOURNAL OF CELLULAR AND MOLECULAR MEDICINE</t>
  </si>
  <si>
    <t>cell response; immunity; sepsis; transcriptomics</t>
  </si>
  <si>
    <t>GROWTH-FACTOR RECEPTOR; INFLAMMATORY RESPONSE; COGNITIVE IMPAIRMENT; GENE-EXPRESSION; CELL-DEATH; TRANSACTIVATION; COAGULATION; DYSFUNCTION; MECHANISMS; PATHWAYS</t>
  </si>
  <si>
    <t>Septic shock is a life-threatening clinical condition characterized by a robust immune inflammatory response to disseminated infection. Little is known about its impact on the transcriptome of distinct human tissues. To address this, we performed RNA sequencing of samples from the prefrontal cortex, hippocampus, heart, lung, kidney and colon of seven individuals who succumbed to sepsis and seven uninfected controls. We identified that the lungs and colon were the most affected organs. While gene activation dominated, strong inhibitory signals were also detected, particularly in the lungs. We found that septic shock is an extremely heterogeneous disease, not only when different individuals are investigated, but also when comparing different tissues of the same patient. However, several pathways, such as respiratory electron transport and other metabolic functions, revealed distinctive alterations, providing evidence that tissue specificity is a hallmark of sepsis. Strikingly, we found evident signals of accelerated ageing in our sepsis population.</t>
  </si>
  <si>
    <t>[Pinheiro da Silva, Fabiano; Barbeiro, Hermes Vieira] Univ Sao Paulo, Fac Med, Lab Emergencias Clin, Sao Paulo, Brazil; [Goncalves, Andre Nicolau Aquime; Dias, Thomaz Luescher; Nakaya, Helder I.] Univ Sao Paulo, Fac Ciencias Farmaceut, Sao Paulo, Brazil; [Duarte-Neto, Amaro Nunes] Univ Sao Paulo, Fac Med, Dept Patol, Sao Paulo, Brazil; [Breda, Cristiane Naffah Souza; Breda, Leandro Carvalho Dantas; Camara, Niels Olsen Saraiva] Univ Sao Paulo, Dept Imunol, Inst Ciencias Biomed, Sao Paulo, Brazil; [Nakaya, Helder I.] Hosp Israelita Albert Einstein, Sao Paulo, Brazil; [Pinheiro da Silva, Fabiano] Univ Sao Paulo, Fac Med, Lab Emergencias Clin LIM 51, Ave Dr Arnaldo,455 sala 3189, BR-01246000 Sao Paulo, Brazil</t>
  </si>
  <si>
    <t>Universidade de Sao Paulo; Universidade de Sao Paulo; Universidade de Sao Paulo; Universidade de Sao Paulo; Hospital Israelita Albert Einstein; Universidade de Sao Paulo</t>
  </si>
  <si>
    <t>da Silva, FP (corresponding author), Univ Sao Paulo, Fac Med, Lab Emergencias Clin LIM 51, Ave Dr Arnaldo,455 sala 3189, BR-01246000 Sao Paulo, Brazil.</t>
  </si>
  <si>
    <t>pinheirofabiano@hotmail.com</t>
  </si>
  <si>
    <t>Barbeiro, Hermes/S-5926-2016</t>
  </si>
  <si>
    <t>Barbeiro, Hermes/0000-0002-8209-4463</t>
  </si>
  <si>
    <t>FAPESP, Fundacao de Amparo a Pesquisa do Estado de Sao Paulo; CNPq, Conselho Nacional de Desenvolvimento Cientifico e Tecnologico [2020/03905-8]; [303924/2018-7]</t>
  </si>
  <si>
    <t>FAPESP, Fundacao de Amparo a Pesquisa do Estado de Sao Paulo(Fundacao de Amparo a Pesquisa do Estado de Sao Paulo (FAPESP)); CNPq, Conselho Nacional de Desenvolvimento Cientifico e Tecnologico(Conselho Nacional de Desenvolvimento Cientifico e Tecnologico (CNPQ));</t>
  </si>
  <si>
    <t>FPS is supported by FAPESP, Fundacao de Amparo a Pesquisa do Estado de Sao Paulo (grant #2020/03905-8), and by CNPq, Conselho Nacional de Desenvolvimento Cientifico e Tecnologico (grant #303924/2018-7). We would like to express our thanks to the patients and their families. We are also grateful to SELA (Laboratorio de Sequenciamento em Larga Escala, Faculdade de Medicina, Universidade de Sao Paulo) for providing technical assistance. Finally, we thank Edanz () for editing the English text of a draft of this manuscript.</t>
  </si>
  <si>
    <t>1582-1838</t>
  </si>
  <si>
    <t>1582-4934</t>
  </si>
  <si>
    <t>J CELL MOL MED</t>
  </si>
  <si>
    <t>J. Cell. Mol. Med.</t>
  </si>
  <si>
    <t>10.1111/jcmm.17938</t>
  </si>
  <si>
    <t>Cell Biology; Medicine, Research &amp; Experimental</t>
  </si>
  <si>
    <t>Cell Biology; Research &amp; Experimental Medicine</t>
  </si>
  <si>
    <t>S2LG9</t>
  </si>
  <si>
    <t>WOS:001069530400001</t>
  </si>
  <si>
    <t>Plasman, J; Gottfried, M; Oskay, F</t>
  </si>
  <si>
    <t>Plasman, Jay; Gottfried, Michael; Oskay, Filiz</t>
  </si>
  <si>
    <t>Exploring the role of high school engineering courses in promoting science attitudes for students with learning disabilities</t>
  </si>
  <si>
    <t>JOURNAL OF RESEARCH IN SCIENCE TEACHING</t>
  </si>
  <si>
    <t>career and technical education; career expectations; engineering; science attitudes; students with learning disabilities</t>
  </si>
  <si>
    <t>SELF-EFFICACY THEORY; TECHNICAL-EDUCATION; ACADEMIC-PERFORMANCE; CAREER; MATH; STEM; MATHEMATICS; IDENTITY; INSTRUCTION; EXPERIENCES</t>
  </si>
  <si>
    <t>Demand for engineering-interested and proficient high school graduates continues to grow across the nation. However, there remains a severe gap in college participation and employment in engineering fields for students with learning disabilities (SWLDs). One potential way to encourage SWLDs to consider engineering as a profession and promote the development of key science attitudes may be through engineering and technology career and technical education (E-CTE) coursework. In this study, we address the following research questions: Do SWLDs take E-CTE courses in the early years of high school at different rates compared to students without learning disabilities? What is the relationship between early E-CTE coursetaking and science attitudes (self-efficacy, utility, identity), and does this differ for students with and without learning disabilities? How do specific engineering career expectations change with respect to enrollment in early E-CTE coursework, and do these differ for students with and without learning disabilities? We utilize the High School Longitudinal Study of 2009 (HSLS) to respond to the research questions through moderation models and a student fixed effects methodology. Ultimately, we found no evidence of SWLD underrepresentation in E-CTE in high school. However, SWLDs were expected to benefit more than the general population from E-CTE participation with respect to higher levels of science self-efficacy and science identity. Implications from these findings include how to encourage persistence along the engineering pathway, the growth of career pathway policies at the state level, and how to incorporate E-CTE practices in academic courses.</t>
  </si>
  <si>
    <t>[Plasman, Jay; Oskay, Filiz] Ohio State Univ, Coll Educ &amp; Human Ecol, Dept Educ Studies, Columbus, OH 43210 USA; [Gottfried, Michael] Univ Penn, Grad Sch Educ, Policy Org Leadership &amp; Syst Div, Philadelphia, PA USA</t>
  </si>
  <si>
    <t>University System of Ohio; Ohio State University; University of Pennsylvania</t>
  </si>
  <si>
    <t>Plasman, J (corresponding author), Ohio State Univ, Coll Educ &amp; Human Ecol, Dept Educ Studies, Columbus, OH 43210 USA.</t>
  </si>
  <si>
    <t>plasman.2@osu.edu</t>
  </si>
  <si>
    <t>National Science Foundation [2109938]</t>
  </si>
  <si>
    <t>National Science Foundation(National Science Foundation (NSF))</t>
  </si>
  <si>
    <t>National Science Foundation, Grant/Award Number: 2109938</t>
  </si>
  <si>
    <t>0022-4308</t>
  </si>
  <si>
    <t>1098-2736</t>
  </si>
  <si>
    <t>J RES SCI TEACH</t>
  </si>
  <si>
    <t>J. Res. Sci. Teach.</t>
  </si>
  <si>
    <t>10.1002/tea.21905</t>
  </si>
  <si>
    <t>Education &amp; Educational Research</t>
  </si>
  <si>
    <t>R9ZN6</t>
  </si>
  <si>
    <t>WOS:001067860200001</t>
  </si>
  <si>
    <t>Sipos, F; Muzes, G</t>
  </si>
  <si>
    <t>Sipos, Ferenc; Muzes, Gyorgyi</t>
  </si>
  <si>
    <t>Good &amp; apos;s syndrome: brief overview of an enigmatic immune deficiency</t>
  </si>
  <si>
    <t>APMIS</t>
  </si>
  <si>
    <t>Autoimmune disease; Good's syndrome; infections; malignancy; T and B cell deficiency; thymoma</t>
  </si>
  <si>
    <t>THYMOMA-ASSOCIATED IMMUNODEFICIENCY; CELL; HYPOGAMMAGLOBULINEMIA; ABNORMALITIES; INFECTIONS; CYTOKINE; MUTATION; NK</t>
  </si>
  <si>
    <t>Good's syndrome, an infrequent adult-onset immunodeficiency is characterized by the triad of thymoma, hypogammaglobulinemia, and increased susceptibility to recurrent infections. The clinical presentation is highly variable, with a spectrum ranging from recurrent bacterial and opportunistic infections to concomitant autoimmune diseases and, sometimes malignant pathologies. Due to heterogeneous clinical phenotypes and the lack of adequate diagnostic criteria, its recognition is often challenging, even delaying it by years. It is one of the most unusual, less studied form of the immune deficiency syndromes with a still unknown pathophysiology. It was initially considered a thymoma-associated variant of primary antibody deficiencies with a reduced or absent number of mature B cells, but it later emerged that significant defects of T cell-mediated immune functions are the underlying cause of opportunistic infections. On the basis of current evidence, Good's syndrome is evaluated as a distinct acquired form of combined immunodeficiency states and classified as a phenocopy of primary immunodeficiency diseases. Epigenetic and acquired genetic factors can play an ultimate role in its evolution.</t>
  </si>
  <si>
    <t>[Sipos, Ferenc; Muzes, Gyorgyi] Semmelweis Univ, Dept Internal Med &amp; Hematol, Div Immunol, Szentkiralyi U 46, H-1088 Budapest, Hungary</t>
  </si>
  <si>
    <t>Semmelweis University</t>
  </si>
  <si>
    <t>Muzes, G (corresponding author), Semmelweis Univ, Dept Internal Med &amp; Hematol, Div Immunol, Szentkiralyi U 46, H-1088 Budapest, Hungary.</t>
  </si>
  <si>
    <t>muzes.gyorgyi@med.semmelweis-univ.hu</t>
  </si>
  <si>
    <t>0903-4641</t>
  </si>
  <si>
    <t>1600-0463</t>
  </si>
  <si>
    <t>10.1111/apm.13351</t>
  </si>
  <si>
    <t>Immunology; Microbiology; Pathology</t>
  </si>
  <si>
    <t>S3RM0</t>
  </si>
  <si>
    <t>WOS:001070374300001</t>
  </si>
  <si>
    <t>Tonni, G; Pinto, A; Bianchi, A; Pisello, M; Grisolia, G</t>
  </si>
  <si>
    <t>Tonni, Gabriele; Pinto, Alessia; Bianchi, Annalisa; Pisello, Marlene; Grisolia, Gianpaolo</t>
  </si>
  <si>
    <t>3D ultrasound angioscan with MV-Flow (TM): Enhancing fetal brain low-flow microvascular neuroimaging</t>
  </si>
  <si>
    <t>JOURNAL OF CLINICAL ULTRASOUND</t>
  </si>
  <si>
    <t>3D ultrasound; cerebral microvasculature; fetus; MVFlow; prenatal diagnosis</t>
  </si>
  <si>
    <t>B-FLOW; PERICALLOSAL ARTERY</t>
  </si>
  <si>
    <t>[Tonni, Gabriele] Azienda Unita Sanitaria Locale Reggio Emilia, Ist Ricovero &amp; Cura Carattere Sci, Dept Obstet &amp; Neonatol &amp; Researcher, Reggio Emilia, Italy; [Pinto, Alessia; Bianchi, Annalisa; Pisello, Marlene; Grisolia, Gianpaolo] Carlo Poma Hosp, Dept Obstet &amp; Gynecol, Azienda Socio Sanit Territoriale Mantova, Mantua, Italy; [Grisolia, Gianpaolo] Carlo Poma Hosp, Dept Obstet &amp; Gynecol, AST Mantova, Str Lago Paiolo 10, I-46100 Mantua, Italy</t>
  </si>
  <si>
    <t>Hospital Carlo Poma; Hospital Carlo Poma</t>
  </si>
  <si>
    <t>Grisolia, G (corresponding author), Carlo Poma Hosp, Dept Obstet &amp; Gynecol, AST Mantova, Str Lago Paiolo 10, I-46100 Mantua, Italy.</t>
  </si>
  <si>
    <t>grisoliagp@gmail.com</t>
  </si>
  <si>
    <t>Tonni, Gabriele/AAM-9842-2020</t>
  </si>
  <si>
    <t>Tonni, Gabriele/0000-0002-2620-7486</t>
  </si>
  <si>
    <t>0091-2751</t>
  </si>
  <si>
    <t>1097-0096</t>
  </si>
  <si>
    <t>J CLIN ULTRASOUND</t>
  </si>
  <si>
    <t>J. Clin. Ultrasound</t>
  </si>
  <si>
    <t>10.1002/jcu.23563</t>
  </si>
  <si>
    <t>Acoustics; Radiology, Nuclear Medicine &amp; Medical Imaging</t>
  </si>
  <si>
    <t>S2YJ7</t>
  </si>
  <si>
    <t>WOS:001069875700001</t>
  </si>
  <si>
    <t>Williamson, M; Gerhard, D; Hulme, PE; Millar, A; Chapman, H</t>
  </si>
  <si>
    <t>Williamson, Michelle; Gerhard, Daniel; Hulme, Philip E.; Millar, Aaron; Chapman, Hazel</t>
  </si>
  <si>
    <t>High-performing plastic clones best explain the spread of yellow monkeyflower from lowland to higher elevation areas in New Zealand</t>
  </si>
  <si>
    <t>JOURNAL OF EVOLUTIONARY BIOLOGY</t>
  </si>
  <si>
    <t>elevational gradient; invasive species; local adaptation; Mimulus gutatta; phenotypic plasticity</t>
  </si>
  <si>
    <t>PHENOTYPIC PLASTICITY; LOCAL ADAPTATION; MIMULUS-GUTTATUS; RANGE-EDGE; SPECIES DISTRIBUTIONS; INVASIVE POPULATIONS; REACTION NORMS; EVOLUTION; DIFFERENTIATION; SELECTION</t>
  </si>
  <si>
    <t>The relative contribution of adaptation and phenotypic plasticity can vary between core and edge populations, with implications for invasive success. We investigated the spread of the invasive yellow monkeyflower, Erythranthe gutatta in New Zealand, where it is spreading from lowland agricultural land into high-elevation conservation areas. We investigated the extent of phenotypic variation among clones from across the South Island, looked for adaptation and compared degrees of plasticity among lowland core versus montane range-edge populations. We grew 34 clones and measured their vegetative and floral traits in two common gardens, one in the core range at 9 m a.s.l. and one near the range-edge at 560 m a.s.l. Observed trait variation was explained by a combination of genotypic diversity (as identified through common gardens) and high phenotypic plasticity. We found a subtle signature of local adaptation to lowland habitats but all clones were plastic and able to survive and reproduce in both gardens. In the range-edge garden, above-ground biomass was on average almost double and stolon length almost half that of the same clone in the core garden. Clones from low-elevation sites showed higher plasticity on average than those from higher elevation sites. The highest performing clones in the core garden were also top performers in the range-edge garden. These results suggest some highly fit general-purpose genotypes, possibly pre-adapted to New Zealand montane conditions, best explains the spread of E. gutatta from lowland to higher elevation areas.</t>
  </si>
  <si>
    <t>[Williamson, Michelle] Inst Environm Sci &amp; Res ESR Christchurch, Christchurch, New Zealand; [Gerhard, Daniel] Univ Canterbury, Sch Math &amp; Stat, Christchurch, New Zealand; [Hulme, Philip E.] Lincoln Univ, Dept Pest Management &amp; Conservat, Lincoln, New Zealand; [Hulme, Philip E.] Lincoln Univ, Bioprotect Aotearoa, Lincoln, New Zealand; [Millar, Aaron; Chapman, Hazel] Univ Canterbury, Sch Biol Sci, PB 4800, Christchurch, New Zealand</t>
  </si>
  <si>
    <t>University of Canterbury; Lincoln University - New Zealand; Lincoln University - New Zealand; University of Canterbury</t>
  </si>
  <si>
    <t>Chapman, H (corresponding author), Univ Canterbury, Sch Biol Sci, PB 4800, Christchurch, New Zealand.</t>
  </si>
  <si>
    <t>hazel.chapman@canterbury.ac.nz</t>
  </si>
  <si>
    <t>; Gerhard, Daniel/J-7193-2017</t>
  </si>
  <si>
    <t>Chapman, Hazel/0000-0001-8509-703X; Gerhard, Daniel/0000-0002-9336-3454</t>
  </si>
  <si>
    <t>The study was funded through grants from the Koiata Botanical Trust with MW receiving a Roland Stead Postgraduate Scholarship and a Laura J. Clad Memorial Scholarship. Many thanks to Dave Conder for maintaining the Ilam garden and to the reviewers whose su; Koiata Botanical Trust; Laura J. Clad Memorial Scholarship; Wiley - University of Canterbury agreement via the Council of Australian University Librarians</t>
  </si>
  <si>
    <t>The study was funded through grants from the Koiata Botanical Trust with MW receiving a Roland Stead Postgraduate Scholarship and a Laura J. Clad Memorial Scholarship. Many thanks to Dave Conder for maintaining the Ilam garden and to the reviewers whose suggestions significantly improved the manuscript. Open access publishing facilitated by University of Canterbury, as part of the Wiley - University of Canterbury agreement via the Council of Australian University Librarians.</t>
  </si>
  <si>
    <t>1010-061X</t>
  </si>
  <si>
    <t>1420-9101</t>
  </si>
  <si>
    <t>J EVOLUTION BIOL</t>
  </si>
  <si>
    <t>J. Evol. Biol.</t>
  </si>
  <si>
    <t>10.1111/jeb.14218</t>
  </si>
  <si>
    <t>Ecology; Evolutionary Biology; Genetics &amp; Heredity</t>
  </si>
  <si>
    <t>Environmental Sciences &amp; Ecology; Evolutionary Biology; Genetics &amp; Heredity</t>
  </si>
  <si>
    <t>S2RF8</t>
  </si>
  <si>
    <t>WOS:001069687300001</t>
  </si>
  <si>
    <t>Yenkimaleki, M; van Heuven, VJ; Hosseini, M</t>
  </si>
  <si>
    <t>Yenkimaleki, Mahmood; van Heuven, Vincent J.; Hosseini, Mostafa</t>
  </si>
  <si>
    <t>The effect of providing feedback and feedforward in prosody instruction for developing listening comprehension skills by interpreter trainees</t>
  </si>
  <si>
    <t>FOREIGN LANGUAGE ANNALS</t>
  </si>
  <si>
    <t>feedback; feedforward; interpreter trainees; listening comprehension skills; prosody instruction</t>
  </si>
  <si>
    <t>DEVELOPING SPEAKING SKILLS</t>
  </si>
  <si>
    <t>The present study examines the effect of feedback (FB) and feedforward (FF) in prosody instruction for developing listening comprehension skills in the nonnative language by interpreter trainees, using a pretest-posttest-delayed posttest design. Three groups of 25 interpreter trainees at Bu-Ali Sina University in Iran took part in the study, all groups receiving the same amount of instruction (10 h over 5 weeks). The control group listened to/viewed authentic audio recordings and movies in English, discussed their contents, and completed a variety of listening comprehension tasks but received no prosody instruction. The first experimental group spent part of the time on theoretical explanation of, and practical exercises with, English prosody by an instructor by providing FB when teaching prosody while the second experimental group was provided FF when teaching prosody. Versions of Longman's Test of English as a Foreign Language English proficiency test (paper-based) were used to assess listening comprehension at pretest, immediate posttest and delayed posttest. The findings revealed that the prosody instruction by providing FB enhanced the listening comprehension skills of the interpreter trainees more than by providing FF. The practical implications of the study would be that in the given circumstances where only limited curricular time is available for instruction and practice, a judicious choice can be made to lend priority to providing FB in prosody instruction for developing listening comprehension skills by interpreter trainees rather than to the providing FF. Few studies have examined the extent to which targeted instruction may help L2 students to take advantage of the subtle meanings communicated through prosodic features. The present study shows that prosody instruction by providing feedback enhances the listening comprehension skills of the interpreter trainees more than by providing feedforward.</t>
  </si>
  <si>
    <t>[Yenkimaleki, Mahmood] Bu Ali Sina Univ, Nahavand Higher Educ Complex, Hamadan, Iran; [van Heuven, Vincent J.] Leiden Univ, Ctr Linguist, Leiden, Netherlands; [van Heuven, Vincent J.] Univ Pannonia, Multilingualism Doctoral Sch, Veszprem, Hungary; [van Heuven, Vincent J.] Fryske Akad, Leeuwarden, Netherlands; [Hosseini, Mostafa] Bu Ali Sina Univ, Dept Foreign Languages, Hamadan, Iran</t>
  </si>
  <si>
    <t>Bu Ali Sina University; Leiden University - Excl LUMC; Leiden University; University of Pannonia; Royal Netherlands Academy of Arts &amp; Sciences; Fryske Akademy (FA-KNAW); Bu Ali Sina University</t>
  </si>
  <si>
    <t>Yenkimaleki, M (corresponding author), Bu Ali Sina Univ, Nahavand Higher Educ Complex, Hamadan, Iran.</t>
  </si>
  <si>
    <t>m.yenkimaleki@basu.ac.ir</t>
  </si>
  <si>
    <t>We would like to express our gratitude and thanks for the colleagues and students who helped us and contributed in this study.</t>
  </si>
  <si>
    <t>0015-718X</t>
  </si>
  <si>
    <t>1944-9720</t>
  </si>
  <si>
    <t>FOREIGN LANG ANN</t>
  </si>
  <si>
    <t>Foreign Lang. Ann.</t>
  </si>
  <si>
    <t>10.1111/flan.12725</t>
  </si>
  <si>
    <t>Education &amp; Educational Research; Linguistics</t>
  </si>
  <si>
    <t>R8DJ9</t>
  </si>
  <si>
    <t>WOS:001066603300001</t>
  </si>
  <si>
    <t>Fitridge, R; Chuter, V; Mills, J; Hinchliffe, R; Azuma, N; Behrendt, CA; Boyko, EJ; Conte, MS; Humphries, M; Kirksey, L; Mcginigle, KC; Nikol, S; Nordanstig, J; Rowe, V; Russell, D; van den Berg, JC; Venermo, M; Schaper, N</t>
  </si>
  <si>
    <t>Fitridge, Robert; Chuter, Vivienne; Mills, Joseph; Hinchliffe, Robert; Azuma, Nobuyoshi; Behrendt, Christian-Alexander; Boyko, Edward J.; Conte, Michael S.; Humphries, Misty; Kirksey, Lee; Mcginigle, Katharine C.; Nikol, Sigrid; Nordanstig, Joakim; Rowe, Vincent; Russell, David; van den Berg, Jos C.; Venermo, Maarit; Schaper, Nicolaas</t>
  </si>
  <si>
    <t>The intersocietal IWGDF, ESVS, SVS guidelines on peripheral artery disease in people with diabetes and a foot ulcer</t>
  </si>
  <si>
    <t>DIABETES-METABOLISM RESEARCH AND REVIEWS</t>
  </si>
  <si>
    <t>chronic limb threatening ischaemia; critical limb ischaemia; diabetes mellitus; diabetes related foot ulcer; endovascular intervention; peripheral artery disease</t>
  </si>
  <si>
    <t>ANKLE-BRACHIAL INDEX; DIRECT-ANGIOSOME REVASCULARIZATION; QUALITY-OF-LIFE; VASCULAR-SURGERY; CLASSIFICATION-SYSTEM; MAJOR AMPUTATION; ISCHEMIC FOOT; ENDOVASCULAR REVASCULARIZATION; BYPASS-SURGERY; LIMB SALVAGE</t>
  </si>
  <si>
    <t>Diabetes related foot complications have become a major cause of morbidity and are implicated in most major and minor amputations globally. Approximately 50% of people with diabetes and a foot ulcer have peripheral artery disease (PAD) and the presence of PAD significantly increases the risk of adverse limb and cardiovascular events. The International Working Group on the Diabetic Foot (IWGDF) has published evidence based guidelines on the management and prevention of diabetes related foot complications since 1999. This guideline is an update of the 2019 IWGDF guideline on the diagnosis, prognosis and management of peripheral artery disease in people with diabetes mellitus and a foot ulcer. For this guideline the IWGDF, the European Society for Vascular Surgery and the Society for Vascular Surgery decided to collaborate to develop a consistent suite of recommendations relevant to clinicians in all countries. This guideline is based on three new systematic reviews. Using the Grading of Recommendations, Assessment, Development, and Evaluation framework clinically relevant questions were formulated, and the literature was systematically reviewed. After assessing the certainty of the evidence, recommendations were formulated which were weighed against the balance of benefits and harms, patient values, feasibility, acceptability, equity, resources required, and when available, costs. Through this process five recommendations were developed for diagnosing PAD in a person with diabetes, with and without a foot ulcer or gangrene. Five recommendations were developed for prognosis relating to estimating likelihood of healing and amputation outcomes in a person with diabetes and a foot ulcer or gangrene. Fifteen recommendations were developed related to PAD treatment encompassing prioritisation of people for revascularisation, the choice of a procedure and post-surgical care. In addition, the Writing Committee has highlighted key research questions where current evidence is lacking. The Writing Committee believes that following these recommendations will help healthcare professionals to provide better care and will reduce the burden of diabetes related foot complications.</t>
  </si>
  <si>
    <t>[Fitridge, Robert] Univ Adelaide, Fac Hlth &amp; Med Sci, Adelaide, SA, Australia; [Fitridge, Robert] Royal Adelaide Hosp, Vasc &amp; Endovasc Serv, Adelaide, SA, Australia; [Chuter, Vivienne] Western Sydney Univ, Sch Hlth Sci, Campbelltown, NSW, Australia; [Mills, Joseph] Baylor Coll Med, Houston, TX USA; [Hinchliffe, Robert] Univ Bristol, Bristol Ctr Surg Res, Bristol, England; [Azuma, Nobuyoshi] Asahikawa Med Univ, Asahikawa, Hokkaido, Japan; [Behrendt, Christian-Alexander] Asklepios Med Sch, Dept Vasc &amp; Endovasc Surg, Asklepios Clin Wandsbek, Hamburg, Germany; [Boyko, Edward J.] Univ Washington, Seattle, WA USA; [Conte, Michael S.] Univ Calif San Francisco, San Francisco Med Ctr, San Francisco, CA USA; [Humphries, Misty] UC Davis Med Ctr, Sacramento, CA USA; [Kirksey, Lee] Cleveland Clin, Cleveland, OH USA; [Mcginigle, Katharine C.] Univ N Carolina, Chapel Hill, NC USA; [Nikol, Sigrid] Asklepios Klin, Clin &amp; Intervent Angiol, Hamburg, Germany; [Nordanstig, Joakim] Sahlgrens Univ Hosp, Gothenburg, Sweden; [Rowe, Vincent] UCLA, David Geffen Sch Med, Los Angeles, CA USA; [Russell, David] Leeds Teaching Hosp NHS Trust, Leeds, England; [van den Berg, Jos C.] Univ Spital, CTR VASC TICINO Osped Reg Lugano, sede Civ, Inselspital, Bern, Switzerland; [van den Berg, Jos C.] Univ Spital, Univ inst Diagnost Intervent &amp; Padiat Radiol, Inselspital, Bern, Switzerland; [Venermo, Maarit] Univ Helsinki, Helsinki Univ Hosp, Helsinki, Finland; [Schaper, Nicolaas] MUMC, Dept Internal Med, Div Endocrinol, Maastricht, Netherlands</t>
  </si>
  <si>
    <t>University of Adelaide; Royal Adelaide Hospital; Western Sydney University; University of Sydney; Baylor College of Medicine; University of Bristol; Asahikawa Medical College; University of Washington; University of Washington Seattle; University of California System; University of California San Francisco; University of California System; University of California Davis; Cleveland Clinic Foundation; University of North Carolina; University of North Carolina Chapel Hill; Sahlgrenska University Hospital; University of California System; University of California Los Angeles; University of California Los Angeles Medical Center; David Geffen School of Medicine at UCLA; University of Leeds; University of Helsinki; Helsinki University Central Hospital; Maastricht University</t>
  </si>
  <si>
    <t>Fitridge, R (corresponding author), Univ Adelaide, Fac Hlth &amp; Med Sci, Adelaide, SA, Australia.;Fitridge, R (corresponding author), Royal Adelaide Hosp, Vasc &amp; Endovasc Serv, Adelaide, SA, Australia.</t>
  </si>
  <si>
    <t>robert.fitridge@adelaide.edu.au</t>
  </si>
  <si>
    <t>; Behrendt, Christian-Alexander/M-2952-2017</t>
  </si>
  <si>
    <t>Chuter, Vivienne/0000-0003-4793-5340; Behrendt, Christian-Alexander/0000-0003-0406-3319; Mills, Joseph/0000-0002-4955-4384; Hinchliffe, Robert/0000-0002-6370-0800</t>
  </si>
  <si>
    <t>Advanced Oxygen Therapy Inc.; Essity; Molnlycke; Reapplix; Urgo Medical</t>
  </si>
  <si>
    <t>We would like to thank the following external experts for their review of our PICOs for clinical relevance and the Guideline document: Sriram Narayanan (Singapore), Rica Tanaka (Japan), Ismail Cassimjee (South Africa), &amp; nbsp;Xu Jun (China), Heidi Corcoran (Hong Kong), Yamile Jubiz (Colombia), TsvetalinaTankova (Bulgaria)and our patient representatives. Production of the 2023 IWGDF Guidelines was supported by unrestricted grants from: Advanced Oxygen Therapy Inc., Essity, Molnlycke, Reapplix, and Urgo Medical. These sponsors did not have any communication related to the systematic reviews of the literature or related to the guidelines with working group members during the writing of the guidelines and have not seen any guideline or guideline-related document before publication.</t>
  </si>
  <si>
    <t>1520-7552</t>
  </si>
  <si>
    <t>1520-7560</t>
  </si>
  <si>
    <t>DIABETES-METAB RES</t>
  </si>
  <si>
    <t>Diabetes-Metab. Res. Rev.</t>
  </si>
  <si>
    <t>2023 SEP 19</t>
  </si>
  <si>
    <t>10.1002/dmrr.3686</t>
  </si>
  <si>
    <t>Endocrinology &amp; Metabolism</t>
  </si>
  <si>
    <t>R9RC2</t>
  </si>
  <si>
    <t>WOS:001067640300001</t>
  </si>
  <si>
    <t>Gibbs, M; Ross, P; Scanes, E; Gibbs, J; Rotolo-Ross, R; Parker, L</t>
  </si>
  <si>
    <t>Gibbs, Mitchell; Ross, Pauline; Scanes, Elliot; Gibbs, James; Rotolo-Ross, Raphaela; Parker, Laura</t>
  </si>
  <si>
    <t>Extending conservation of coastal and oyster reef restoration for First Nations cultural revitalization</t>
  </si>
  <si>
    <t>CONSERVATION BIOLOGY</t>
  </si>
  <si>
    <t>oyster reef restoration; Coastal restoration; First Nations; cultural revitalization; Traditional Ecological Knowledge</t>
  </si>
  <si>
    <t>MANAGEMENT</t>
  </si>
  <si>
    <t>[Gibbs, Mitchell] Univ Sydney, Sch Hist, Dunghutti Nation, Sydney, NSW, Australia; [Gibbs, Mitchell] Univ Sydney, Sch Philosophy Sci &amp; Geosci, Dunghutti Nation, Sydney, NSW, Australia; [Ross, Pauline] Univ Sydney, Fac Sci, Sch Life &amp; Environm Sci, Sydney, NSW 2006, Australia; [Scanes, Elliot] Univ Technol, Climate Change Cluster, Sydney, NSW, Australia; [Gibbs, James] Univ Sydney, Fac Sci, Sydney, NSW, Australia; [Rotolo-Ross, Raphaela] Univ Sydney, Fac Arts &amp; Social Sci, Sydney, NSW, Australia; [Parker, Laura] Univ New South Wales, Sch Biol Earth &amp; Environm Sci, Wiradjuri Nation, Sydney, NSW, Australia</t>
  </si>
  <si>
    <t>University of Sydney; University of Sydney; University of Sydney; University of Technology Sydney; University of Sydney; University of Sydney; University of New South Wales Sydney</t>
  </si>
  <si>
    <t>Ross, P (corresponding author), Univ Sydney, Fac Sci, Sch Life &amp; Environm Sci, Sydney, NSW 2006, Australia.</t>
  </si>
  <si>
    <t>pauline.ross@sydney.edu.au</t>
  </si>
  <si>
    <t>; Scanes, Elliot/W-1244-2018</t>
  </si>
  <si>
    <t>Ross, Pauline/0000-0002-8714-5194; Scanes, Elliot/0000-0001-7520-3804</t>
  </si>
  <si>
    <t>Open access publishing facilitated by The University of Sydney, as part of the Wiley - The University of Sydney agreement via the Council of Australian University Librarians.; Council of Australian University Librarians</t>
  </si>
  <si>
    <t>We thank the reviewers for their comments on this manuscript and their feedback, which significantly improved this article.r Open access publishing facilitated by The University of Sydney, as part of the Wiley - The University of Sydney agreement via the Council of Australian University Librarians.</t>
  </si>
  <si>
    <t>0888-8892</t>
  </si>
  <si>
    <t>1523-1739</t>
  </si>
  <si>
    <t>CONSERV BIOL</t>
  </si>
  <si>
    <t>Conserv. Biol.</t>
  </si>
  <si>
    <t>10.1111/cobi.14158</t>
  </si>
  <si>
    <t>S1BA8</t>
  </si>
  <si>
    <t>WOS:001068578700001</t>
  </si>
  <si>
    <t>Gupta, A; Kundu, R</t>
  </si>
  <si>
    <t>Gupta, Anjali; Kundu, Reetu</t>
  </si>
  <si>
    <t>Pulmonary alveolar proteinosis: Colourful crazy shapes and sizes on cytology</t>
  </si>
  <si>
    <t>DIAGNOSTIC CYTOPATHOLOGY</t>
  </si>
  <si>
    <t>BRONCHOALVEOLAR LAVAGE FLUID; DIAGNOSIS</t>
  </si>
  <si>
    <t>[Gupta, Anjali] Postgrad Inst Med Educ &amp; Res, Dept Pathol, Chandigarh, India; [Kundu, Reetu] Postgrad Inst Med Educ &amp; Res, Dept Cytol &amp; Gynaecol Pathol, Chandigarh, India; [Kundu, Reetu] Postgrad Inst Med Educ &amp; Res, Dept Cytol &amp; Gynaecol Pathol, Chandigarh 160012, India</t>
  </si>
  <si>
    <t>Post Graduate Institute of Medical Education &amp; Research (PGIMER), Chandigarh; Post Graduate Institute of Medical Education &amp; Research (PGIMER), Chandigarh; Post Graduate Institute of Medical Education &amp; Research (PGIMER), Chandigarh</t>
  </si>
  <si>
    <t>Kundu, R (corresponding author), Postgrad Inst Med Educ &amp; Res, Dept Cytol &amp; Gynaecol Pathol, Chandigarh 160012, India.</t>
  </si>
  <si>
    <t>reetukundu@gmail.com</t>
  </si>
  <si>
    <t>Gupta, Dr. Anjali/0000-0001-9219-7178; Kundu, Reetu/0000-0002-2541-4379</t>
  </si>
  <si>
    <t>8755-1039</t>
  </si>
  <si>
    <t>1097-0339</t>
  </si>
  <si>
    <t>DIAGN CYTOPATHOL</t>
  </si>
  <si>
    <t>Diagn. Cytopathol.</t>
  </si>
  <si>
    <t>10.1002/dc.25225</t>
  </si>
  <si>
    <t>Medical Laboratory Technology; Pathology</t>
  </si>
  <si>
    <t>S3FI2</t>
  </si>
  <si>
    <t>WOS:001070056700001</t>
  </si>
  <si>
    <t>Huang, F; Sang, HQ; Liu, F; Han, R</t>
  </si>
  <si>
    <t>Huang, Fang; Sang, Hongqiang; Liu, Fen; Han, Rui</t>
  </si>
  <si>
    <t>Dimensional optimisation and an inverse kinematic solution method of a safety-enhanced remote centre of motion manipulator</t>
  </si>
  <si>
    <t>INTERNATIONAL JOURNAL OF MEDICAL ROBOTICS AND COMPUTER ASSISTED SURGERY</t>
  </si>
  <si>
    <t>kinematic performance; kinematic singularity avoidance; remote centre of motion; trajectory tracking accuracy</t>
  </si>
  <si>
    <t>MINIMALLY INVASIVE SURGERY; TELELAP ALF-X; JOINT LIMITS; DA-VINCI; DESIGN; MECHANISM</t>
  </si>
  <si>
    <t>BackgroundWith the expansion of minimally invasive surgery (MIS) applications in surgery, the remote centre of motion (RCM) manipulator requires a more flexible workspace to meet different operation requirements. Thus, the mechanical structure and motion control of the RCM manipulator play important roles.MethodsA multi-objective genetic algorithm was exploited to maximise the kinematic performance and obtain a compact structure of the RCM manipulator. An inverse kinematic solution method is proposed to meet task accuracy and kinematic singularity avoidance constraints for safety motion control.ResultsSimulation results demonstrate that there are significant improvements in the reachable workspace inside the abdominal cavity, the flexibility of the workspace, kinematic performance, and compactness of the RCM manipulator. Experiments verify the feasibility of the prototype and the validity of the proposed inverse kinematic solution method.ConclusionsThis enhances the adaptability and safety of the RCM manipulator and provides potential prospects for MIS application.</t>
  </si>
  <si>
    <t>[Huang, Fang; Sang, Hongqiang; Liu, Fen; Han, Rui] Tiangong Univ, Sch Mech Engn, Tianjin, Peoples R China; [Sang, Hongqiang] Tiangong Univ, Tianjin Key Lab Adv Mechatron Equipment Technol, Tianjin, Peoples R China</t>
  </si>
  <si>
    <t>Tiangong University; Tiangong University</t>
  </si>
  <si>
    <t>Sang, HQ (corresponding author), Tiangong Univ, Sch Mech Engn, Tianjin, Peoples R China.;Sang, HQ (corresponding author), Tiangong Univ, Tianjin Key Lab Adv Mechatron Equipment Technol, Tianjin, Peoples R China.</t>
  </si>
  <si>
    <t>sanghongqiang@tiangong.edu.cn</t>
  </si>
  <si>
    <t>National Natural Science Foundation of China [51975409]; Program for Innovative Research Team in University of Tianjin [TD13-5037]</t>
  </si>
  <si>
    <t>National Natural Science Foundation of China(National Natural Science Foundation of China (NSFC)); Program for Innovative Research Team in University of Tianjin</t>
  </si>
  <si>
    <t>Program for Innovative Research Team in University of Tianjin, Grant/Award Number: TD13-5037; National Natural Science Foundation of China, Grant/Award Number: 51975409</t>
  </si>
  <si>
    <t>1478-5951</t>
  </si>
  <si>
    <t>1478-596X</t>
  </si>
  <si>
    <t>INT J MED ROBOT COMP</t>
  </si>
  <si>
    <t>Int. J. Med. Robot. Comput. Assist. Surg.</t>
  </si>
  <si>
    <t>10.1002/rcs.2579</t>
  </si>
  <si>
    <t>Surgery</t>
  </si>
  <si>
    <t>R8GD7</t>
  </si>
  <si>
    <t>WOS:001066677300001</t>
  </si>
  <si>
    <t>Marangon, E; Uthicke, S; Patel, F; Marzinelli, EM; Bourne, DG; Webster, NS; Laffy, PW</t>
  </si>
  <si>
    <t>Marangon, Emma; Uthicke, Sven; Patel, Frances; Marzinelli, Ezequiel M.; Bourne, David G.; Webster, Nicole S.; Laffy, Patrick W.</t>
  </si>
  <si>
    <t>Life-stage specificity and cross-generational climate effects on the microbiome of a tropical sea urchin (Echinodermata: Echinoidea)</t>
  </si>
  <si>
    <t>climate change; coral reefs; development; microbe; sea urchin; transgenerational acclimatization</t>
  </si>
  <si>
    <t>BACTERIAL COMMUNITY DYNAMICS; OCEAN; ACIDIFICATION</t>
  </si>
  <si>
    <t>Microbes play a critical role in the development and health of marine invertebrates, though microbial dynamics across life stages and host generations remain poorly understood in most reef species, especially in the context of climate change. Here, we use a 4-year multigenerational experiment to explore microbe-host interactions under the Intergovernmental Panel on Climate Change (IPCC)-forecast climate scenarios in the rock-boring tropical urchin Echinometra sp. A. Adult urchins (F0) were exposed for 18 months to increased temperature and pCO2 levels predicted for years 2050 and 2100 under RCP 8.5, a period which encompassed spawning. After rearing F1 offspring for a further 2 years, spawning was induced, and F2 larvae were raised under current day and 2100 conditions. Cross-generational climate effects were also explored in the microbiome of F1 offspring through a transplant experiment. Using 16S rRNA gene sequence analysis, we determined that each life stage and generation was associated with a distinct microbiome, with higher microbial diversity observed in juveniles compared to larval stages. Although life-stage specificity was conserved under climate conditions projected for 2050 and 2100, we observed changes in the urchin microbial community structure within life stages. Furthermore, we detected a climate-mediated parental effect when juveniles were transplanted among climate treatments, with the parental climate treatment influencing the offspring microbiome. Our findings reveal a potential for cross-generational impacts of climate change on the microbiome of a tropical invertebrate species.</t>
  </si>
  <si>
    <t>[Marangon, Emma; Bourne, David G.] James Cook Univ, Coll Sci &amp; Engn, Townsville, Qld, Australia; [Marangon, Emma; Uthicke, Sven; Patel, Frances; Bourne, David G.; Webster, Nicole S.; Laffy, Patrick W.] Australian Inst Marine Sci, Townsville, Qld, Australia; [Marangon, Emma; Bourne, David G.; Laffy, Patrick W.] AIMS JCU, Townsville, Qld, Australia; [Marzinelli, Ezequiel M.] Univ Sydney, Sch Life &amp; Environm Sci, Sydney, NSW, Australia; [Marzinelli, Ezequiel M.] Nanyang Technol Univ, Singapore Ctr Environm Life Sci Engn, Singapore, Singapore; [Webster, Nicole S.] Univ Queensland, Australian Ctr Ecogenom, Brisbane, Qld, Australia; [Webster, Nicole S.] Australian Antarctic Div, Kingston, Tas, Australia</t>
  </si>
  <si>
    <t>James Cook University; Australian Institute of Marine Science; James Cook University; University of Sydney; Nanyang Technological University &amp; National Institute of Education (NIE) Singapore; Nanyang Technological University; University of Queensland; Australian Antarctic Division</t>
  </si>
  <si>
    <t>Marangon, E (corresponding author), James Cook Univ, Coll Sci &amp; Engn, Townsville, Qld, Australia.</t>
  </si>
  <si>
    <t>emma.marangon@my.jcu.edu.au</t>
  </si>
  <si>
    <t>Webster, Nicole/G-4980-2011</t>
  </si>
  <si>
    <t>Webster, Nicole/0000-0002-4753-5278; Marangon, Emma/0000-0002-9546-4822</t>
  </si>
  <si>
    <t>We are very grateful to Dr. Sam Karelitz for his assistance in maintaining the larval cultures, Dr. Sara Bell and Dr. Katarina Damjanovic for their guidance in processing the samples, and Dr. Murray Logan and Hillary Smith for their advices on statistical; AIMS Evolution21 project; AIMS@JCU PhD scholarship</t>
  </si>
  <si>
    <t>We are very grateful to Dr. Sam Karelitz for his assistance in maintaining the larval cultures, Dr. Sara Bell and Dr. Katarina Damjanovic for their guidance in processing the samples, and Dr. Murray Logan and Hillary Smith for their advices on statistical analyses. We thank the National Sea Simulator (SeaSim) staff for assisting during this long-term experiment and maintaining the experimental aquaria. We also would like to acknowledge the Traditional Owners of the land and sea country where this study took place, the Wulgurukaba and Bindal People. The research was funded through the AIMS Evolution21 project, and Emma Marangon was supported by an AIMS@JCU PhD scholarship. JCU supported open access publication of this study.</t>
  </si>
  <si>
    <t>10.1111/mec.17124</t>
  </si>
  <si>
    <t>S0LV3</t>
  </si>
  <si>
    <t>WOS:001068180000001</t>
  </si>
  <si>
    <t>Murakami, W; Mortazavi, S; Yu, TFY; Kathuria-Prakash, N; Yan, R; Fischer, C; McCann, KE; Lee-Felker, S; Sung</t>
  </si>
  <si>
    <t>Murakami, Wakana; Mortazavi, Shabnam; Yu, Tiffany; Kathuria-Prakash, Nikhita; Yan, Ran; Fischer, Cheryce; McCann, Kelly E.; Lee-Felker, Stephanie; Sung</t>
  </si>
  <si>
    <t>Clinical Significance of Background Parenchymal Enhancement in Breast Cancer Risk Stratification</t>
  </si>
  <si>
    <t>JOURNAL OF MAGNETIC RESONANCE IMAGING</t>
  </si>
  <si>
    <t>breast MRI; high-risk screening; BRCA; background parenchymal enhancement (BPE); lifetime risk</t>
  </si>
  <si>
    <t>SALPINGO-OOPHORECTOMY; FIBROGLANDULAR TISSUE; MUTATION CARRIERS; MRI; WOMEN; MANAGEMENT; DENSITY; LESIONS; IMPACT; COHORT</t>
  </si>
  <si>
    <t>Background: Background parenchymal enhancement (BPE) is an established breast cancer risk factor. However, the relationship between BPE levels and breast cancer risk stratification remains unclear.Purpose: To evaluate the clinical relationship between BPE levels and breast cancer risk with covariate adjustments for age, ethnicity, and hormonal status.Study TypeRetrospective.Population: 954 screening breast MRI datasets representing 721 women divided into four cohorts: women with pathogenic germline breast cancer (BRCA) mutations (Group 1, N = 211), women with non-BRCA germline mutations (Group 2, N = 60), women without high-risk germline mutations but with a lifetime breast cancer risk of &amp; GE;20% using the Tyrer-Cuzick model (Group 3, N = 362), and women with &lt;20% lifetime risk (Group 4, N = 88).Field Strength/Sequence3 T/axial non-fat-saturated T1, short tau inversion recovery, fat-saturated pre-contrast, and post-contrast T1-weighted images.Assessment: Data on age, body mass index, ethnicity, menopausal status, genetic predisposition, and hormonal therapy use were collected. BPE levels were evaluated by two breast fellowship-trained radiologists independently in accordance with BI-RADS, with a third breast fellowship-trained radiologist resolving any discordance.Statistical Tests: Propensity score matching (PSM) was utilized to adjust covariates, including age, ethnicity, menopausal status, hormonal treatments, and prior bilateral oophorectomy. The Mann-Whitney U test, chi-squared test, and univariate and multiple logistic regression analysis were performed, with an odds ratio (OR) and corresponding 95% confidence interval. Weighted Kappa statistic was used to assess inter-reader variation. A P value &lt;0.05 indicated a significant result.Results: In the assessment of BPE, there was substantial agreement between the two interpreting radiologists (? = 0.74). Patient demographics were not significantly different between patient groups after PSM. The BPE of Group 1 was significantly lower than that of Group 4 and Group 3 among premenopausal women. In estimating the BPE level, the OR of gene mutations was 0.35.Data Conclusion: Adjusting for potential confounders, the BPE level of premenopausal women with BRCA mutations was significantly lower than that of non-high-risk women.Level of Evidence3Technical EfficacyStage 3</t>
  </si>
  <si>
    <t>[Murakami, Wakana] Showa Univ, Sch Med, 1-5-8 Hatanodai,Shinagawa Ku, Tokyo 1428555, Japan; [Murakami, Wakana; Mortazavi, Shabnam; Yu, Tiffany; Yan, Ran; Fischer, Cheryce; Lee-Felker, Stephanie] Univ Calif Los Angeles, David Geffen Sch Med, Dept Radiol Sci, Los Angeles, CA USA; [Murakami, Wakana] Showa Univ, Sch Med, Dept Radiol, Tokyo, Japan; [Kathuria-Prakash, Nikhita; McCann, Kelly E.] Univ Calif Los Angeles, David Geffen Sch Med, Dept Med, Los Angeles, CA USA; [Yan, Ran] Univ Calif Los Angeles, Dept Bioengn, Los Angeles, CA USA</t>
  </si>
  <si>
    <t>Showa University; University of California System; University of California Los Angeles; University of California Los Angeles Medical Center; David Geffen School of Medicine at UCLA; Showa University; University of California System; University of California Los Angeles; University of California Los Angeles Medical Center; David Geffen School of Medicine at UCLA; University of California System; University of California Los Angeles</t>
  </si>
  <si>
    <t>Murakami, W (corresponding author), Showa Univ, Sch Med, 1-5-8 Hatanodai,Shinagawa Ku, Tokyo 1428555, Japan.</t>
  </si>
  <si>
    <t>wkn.murakami@gmail.com</t>
  </si>
  <si>
    <t>Yan, Ran/0000-0001-8204-8654; Murakami, Wakana/0000-0002-7956-6052; Sung, KyungHyun/0000-0003-4175-5322</t>
  </si>
  <si>
    <t>This work was supported in part by the Tanner Project Foundation. Additionally, we would like to thank Nicholas J. Jackson, Ph.D., MPH, from the Department of Medicine Statistics Core at UCLA, for his invaluable contributions to the statistical analysis.; Tanner Project Foundation; Department of Medicine Statistics Core at UCLA</t>
  </si>
  <si>
    <t>This work was supported in part by the Tanner Project Foundation. Additionally, we would like to thank Nicholas J. Jackson, Ph.D., MPH, from the Department of Medicine Statistics Core at UCLA, for his invaluable contributions to the statistical analysis.</t>
  </si>
  <si>
    <t>1053-1807</t>
  </si>
  <si>
    <t>1522-2586</t>
  </si>
  <si>
    <t>J MAGN RESON IMAGING</t>
  </si>
  <si>
    <t>J. Magn. Reson. Imaging</t>
  </si>
  <si>
    <t>10.1002/jmri.29015</t>
  </si>
  <si>
    <t>S1BN4</t>
  </si>
  <si>
    <t>WOS:001068591300001</t>
  </si>
  <si>
    <t>Pesskin, A; Northoff, G</t>
  </si>
  <si>
    <t>Pesskin, Annie; Northoff, George</t>
  </si>
  <si>
    <t>Neuropsychoanalysis: A Contemporary Introduction</t>
  </si>
  <si>
    <t>BRITISH JOURNAL OF PSYCHOTHERAPY</t>
  </si>
  <si>
    <t>Book Review; Early Access</t>
  </si>
  <si>
    <t>[Pesskin, Annie] British Psychotherapy Fdn, London, England</t>
  </si>
  <si>
    <t>Pesskin, A (corresponding author), British Psychotherapy Fdn, London, England.</t>
  </si>
  <si>
    <t>annie.pesskin@gmail.com</t>
  </si>
  <si>
    <t>0265-9883</t>
  </si>
  <si>
    <t>1752-0118</t>
  </si>
  <si>
    <t>BRIT J PSYCHOTHER</t>
  </si>
  <si>
    <t>Brit. J. Psychother.</t>
  </si>
  <si>
    <t>10.1111/bjp.12871</t>
  </si>
  <si>
    <t>Psychiatry</t>
  </si>
  <si>
    <t>S1WS8</t>
  </si>
  <si>
    <t>WOS:001069150500001</t>
  </si>
  <si>
    <t>Alawadi, A; Kakabadse, N; Morley, M; Khan, N</t>
  </si>
  <si>
    <t>Alawadi, Asma; Kakabadse, Nada; Morley, Michael; Khan, Nadeem</t>
  </si>
  <si>
    <t>Diversified boards and the achievement of environmental, social, and governance goals</t>
  </si>
  <si>
    <t>BUSINESS ETHICS THE ENVIRONMENT &amp; RESPONSIBILITY</t>
  </si>
  <si>
    <t>board directors; diversity; environmental; governance; resources; social</t>
  </si>
  <si>
    <t>CORPORATE GOVERNANCE; GENDER DIVERSITY; PERFORMANCE; DISCLOSURES; DIRECTORS</t>
  </si>
  <si>
    <t>We explore the impact of board resources arising from diverse board members on the achievement of environmental, social, and governance (ESG) goals. Employing resource dependence theory as our frame and drawing on qualitative data from 41 interviews with board directors of publicly traded and privately held companies in the United Arab Emirates (UAE), we identify three key mechanisms underpinning the achievement of ESG goals, namely, the leveraging of particular connections, the deployment of different resources, and the harnessing of a range of diversity types. We find that the use of social resources is often related to environmental concerns and occasionally social goals, but rarely governance issues. We also find that financial motivations often drive environmental issues, while many of the social resources that added value occurred in the public sector. Importantly, the combining of both skill and social resources, rather than relying on each alone, was seen to increase the likelihood of achieving ESG goals. Our findings also point to the importance of board diversity in accomplishing the board's ESG goals, most especially functional diversity. We propose that such functional diversity, along with resources in the form of social resources and skills, needs to feature more prominently in order to improve ESG performance and outcomes. We highlight the implications of our work, especially regarding the establishment of board diversity policies beyond gender alone.</t>
  </si>
  <si>
    <t>[Alawadi, Asma; Kakabadse, Nada; Khan, Nadeem] Univ Reading, Henley Business Sch, Henley On Thames, England; [Morley, Michael] Kemmy Business Sch, Dept Management &amp; Mkt, Limerick, Ireland; [Alawadi, Asma] Univ Reading, Henley Business Sch, Henley On Thames RG9 3AU, England</t>
  </si>
  <si>
    <t>University of Reading; University of Reading</t>
  </si>
  <si>
    <t>Alawadi, A (corresponding author), Univ Reading, Henley Business Sch, Henley On Thames RG9 3AU, England.</t>
  </si>
  <si>
    <t>a.f.f.alawadi@pgr.reading.ac.uk</t>
  </si>
  <si>
    <t>2694-6416</t>
  </si>
  <si>
    <t>2694-6424</t>
  </si>
  <si>
    <t>BUS ETHICS ENV RESP</t>
  </si>
  <si>
    <t>Bus. Ethics Environ. Responsib.</t>
  </si>
  <si>
    <t>2023 SEP 18</t>
  </si>
  <si>
    <t>10.1111/beer.12606</t>
  </si>
  <si>
    <t>Business; Ethics</t>
  </si>
  <si>
    <t>Business &amp; Economics; Social Sciences - Other Topics</t>
  </si>
  <si>
    <t>S3CY3</t>
  </si>
  <si>
    <t>WOS:001069994700001</t>
  </si>
  <si>
    <t>Beaton, MA; Gratch, I; Cha, CB</t>
  </si>
  <si>
    <t>Beaton, Maura A.; Gratch, Ilana; Cha, Christine B.</t>
  </si>
  <si>
    <t>Specificity, frequency, and intent: Multiple characteristics of adolescents &amp; apos; suicide plan correlate with their history of suicidal behavior</t>
  </si>
  <si>
    <t>SUICIDE AND LIFE-THREATENING BEHAVIOR</t>
  </si>
  <si>
    <t>adolescents; frequency; intent; plan specificity; suicidal behavior; suicide plan</t>
  </si>
  <si>
    <t>IMPLEMENTATION INTENTIONS; RISK-FACTORS; IDEATION; CLASSIFICATION; WISH; LIVE; DIE; NOMENCLATURE; METAANALYSIS; TRANSITION</t>
  </si>
  <si>
    <t>BackgroundSuicide plans (SP) can be a common precipitant to suicidal behavior (SB) during adolescence, and SPs can vary in how specific they are, how frequently they are thought about, and how strongly they are intended to be enacted. To date, we have limited understanding of how discrete SP characteristics (i.e., specificity, frequency, and intent to act) present among adolescents, and whether they relate to SB. In the current study, we investigated SP characteristics and their association with SB history among adolescents who had previously considered suicide.MethodsParticipants were 142 community-based adolescents (14-19 years; M = 17.6, SD = 1.4) who reported a history of suicidal ideation. Adolescents provided responses pertaining to their SP history, SP characteristics, and SB history, via the Self-Injurious Thoughts and Behaviors Interview-Revised (SITBI-R).ResultsGreater specificity, frequency, and intent were each associated with modestly increased odds of reporting an SB history. The associations between plan specificity and SB history, as well as between frequency of thinking about one's SP and SB history, were mediated by adolescents' intent to act on their SP.ConclusionsIt may not only be whether, but how, adolescents plan for suicide that relates to their tendency to engage in SB.</t>
  </si>
  <si>
    <t>[Beaton, Maura A.; Gratch, Ilana; Cha, Christine B.] Columbia Univ, Teachers Coll, Dept Counseling &amp; Clin Psychol, New York, NY 10023 USA; [Beaton, Maura A.] Columbia Univ Irving Med Ctr, Dept Biomed Informat, New York, NY USA; [Cha, Christine B.] Columbia Univ, Teachers Coll, 525 West 120th St,Box 102, New York, NY 10023 USA</t>
  </si>
  <si>
    <t>Columbia University; NewYork-Presbyterian Hospital; Columbia University</t>
  </si>
  <si>
    <t>Cha, CB (corresponding author), Columbia Univ, Teachers Coll, 525 West 120th St,Box 102, New York, NY 10023 USA.</t>
  </si>
  <si>
    <t>cbc2120@tc.columbia.edu</t>
  </si>
  <si>
    <t>Gratch, Ilana/0000-0002-0534-019X</t>
  </si>
  <si>
    <t>National Institute of Mental Health [2R15 MH113076, x2010, 02A1]; Teachers College, Columbia University</t>
  </si>
  <si>
    <t>National Institute of Mental Health(United States Department of Health &amp; Human ServicesNational Institutes of Health (NIH) - USANIH National Institute of Mental Health (NIMH)); Teachers College, Columbia University</t>
  </si>
  <si>
    <t>National Institute of Mental Health, Grant/Award Number: 2R15 MH113076#x2010;02A1; Teachers College, Columbia University</t>
  </si>
  <si>
    <t>0363-0234</t>
  </si>
  <si>
    <t>1943-278X</t>
  </si>
  <si>
    <t>SUICIDE LIFE-THREAT</t>
  </si>
  <si>
    <t>Suicide Life-Threat. Behav.</t>
  </si>
  <si>
    <t>10.1111/sltb.13002</t>
  </si>
  <si>
    <t>Psychiatry; Psychology, Multidisciplinary</t>
  </si>
  <si>
    <t>Psychiatry; Psychology</t>
  </si>
  <si>
    <t>R7YL2</t>
  </si>
  <si>
    <t>WOS:001066474200001</t>
  </si>
  <si>
    <t>Burlig, F; Stevens, AW</t>
  </si>
  <si>
    <t>Burlig, Fiona; Stevens, Andrew W.</t>
  </si>
  <si>
    <t>Social networks and technology adoption: Evidence from church mergers in the US Midwest</t>
  </si>
  <si>
    <t>AMERICAN JOURNAL OF AGRICULTURAL ECONOMICS</t>
  </si>
  <si>
    <t>agriculture; religion; social networks; technology adoption</t>
  </si>
  <si>
    <t>AGRICULTURAL INNOVATIONS; EXTENSION; DECISIONS; OUTCOMES; RELIGION; FARMERS; IMPACT; TIME</t>
  </si>
  <si>
    <t>How do social networks impact technology adoption? Exploiting a natural experiment in the mid-20th century U.S. Upper Midwest, we find that social network expansions, in the form of mergers between congregations of the American Lutheran Church, led to increased rates of agricultural technology adoption among farmers. In counties that experienced a merger, the number of farms using chemical fertilizer increased by over 5%, and the total fertilized acreage increased by over 10% relative to counties without a merger. These effects are consistent with increased information sharing between farmers due to congregational mergers.</t>
  </si>
  <si>
    <t>[Burlig, Fiona] Univ Chicago, Harris Sch Publ Policy, Chicago, IL USA; [Stevens, Andrew W.] Univ Wisconsin Madison, Agr &amp; Appl Econ, Madison, WI 53706 USA</t>
  </si>
  <si>
    <t>University of Chicago; University of Wisconsin System; University of Wisconsin Madison</t>
  </si>
  <si>
    <t>Stevens, AW (corresponding author), Univ Wisconsin Madison, Agr &amp; Appl Econ, Madison, WI 53706 USA.</t>
  </si>
  <si>
    <t>awstevens@wisc.edu</t>
  </si>
  <si>
    <t>Fiona Burlig is an assistant professor at the University of Chicagoamp;apos;s Harris School of Public Policy and Andrew W. Stevens is an assistant professor of Agricultural and Applied Economics at the University of Wisconsin-Madison. We wish to thank Max; University of Minnesota, Twin Cities; USDA Economic Research Service; Evangelical Lutheran Church in America; Concordia Historical Institute [DGE-1106400]; National Science Foundationamp;apos;s Graduate Research Fellowship Program</t>
  </si>
  <si>
    <t>Fiona Burlig is an assistant professor at the University of Chicagoamp;apos;s Harris School of Public Policy and Andrew W. Stevens is an assistant professor of Agricultural and Applied Economics at the University of Wisconsin-Madison. We wish to thank Max(Agence Nationale de la Recherche (ANR)); University of Minnesota, Twin Cities(University of Minnesota System); USDA Economic Research Service(United States Department of Agriculture (USDA)); Evangelical Lutheran Church in America; Concordia Historical Institute; National Science Foundationamp;apos;s Graduate Research Fellowship Program</t>
  </si>
  <si>
    <t>Fiona Burlig is an assistant professor at the University of Chicago &amp; apos;s Harris School of Public Policy and Andrew W. Stevens is an assistant professor of Agricultural and Applied Economics at the University of Wisconsin-Madison. We wish to thank Maximilian Auffhammer, Kendon Bell, Marc Bellemare, Peter Berck, Ritadhi Chakravarti, Jay Coggins, Alain de Janvry, Benjamin Faber, Meredith Fowlie, James Gillan, Kelsey Jack, Rachid Laajaj, Jeremy Magruder, Edward Miguel, Katherine Morris, Louis Preonas, Gautam Rao, Elisabeth Sadoulet, Megan Stevenson, Rebecca Taylor, Sofia Villas-Boas, and David Zilberman, as well as three anonymous reviewers for helpful suggestions. We also benefited from comments from seminar participants at the University of California, Berkeley; the University of Minnesota, Twin Cities; the USDA Economic Research Service; and the North East Universities Development Consortium Conference. We are grateful to Daniel Sparks, Shiyang Fu, and Jose Sandoval for providing research assistance. Luther Seminary, the Evangelical Lutheran Church in America, and the Concordia Historical Institute graciously shared data. Burlig was generously supported by the National Science Foundation &amp; apos;s Graduate Research Fellowship Program under grant DGE-1106400. All remaining errors are our own.</t>
  </si>
  <si>
    <t>0002-9092</t>
  </si>
  <si>
    <t>1467-8276</t>
  </si>
  <si>
    <t>AM J AGR ECON</t>
  </si>
  <si>
    <t>Am. J. Agr. Econ.</t>
  </si>
  <si>
    <t>10.1111/ajae.12429</t>
  </si>
  <si>
    <t>Agricultural Economics &amp; Policy; Economics</t>
  </si>
  <si>
    <t>Agriculture; Business &amp; Economics</t>
  </si>
  <si>
    <t>S3TN4</t>
  </si>
  <si>
    <t>WOS:001070429200001</t>
  </si>
  <si>
    <t>Darandari, E; Khayat, S</t>
  </si>
  <si>
    <t>Darandari, Eqbal; Khayat, Shatha</t>
  </si>
  <si>
    <t>Psychometric properties of the Cultural Intelligence Scale based on item response theory</t>
  </si>
  <si>
    <t>INTERNATIONAL JOURNAL OF SELECTION AND ASSESSMENT</t>
  </si>
  <si>
    <t>CFA; Cultural Intelligence Scale (CQS); EFA; GRM; IRT; PA; psychometric properties</t>
  </si>
  <si>
    <t>4-FACTOR MODEL; FIT INDEXES; NUMBER; VERSION</t>
  </si>
  <si>
    <t>The aim of this study was to investigate the psychometric properties of Cultural Intelligence Scale (CQS), based on item response theory (IRT) using the graded response model (GRM). The study calibration sample included 400, while the study sample included 1000, male and female Saudi participants, aged between 18 and 62 years. IRT-GRM results supported the quality of the psychometric properties of CQS, and its appropriateness to measure cultural intelligence (CQ) for the majority of individuals. CQS well-distinguished people at different ability levels along the CQ latent trait, particularly with middle and low abilities. However, CQS full scale and subscales had less accurate measurement precision at high levels of CQ, and some subscales had more precision at low level abilities. CQS items had medium ability to differentiate among subjects, and they provided more information in evaluating individuals with medium CQ. Therefore, CQS might be more suitable for identification and development purposes, where low to med-levels of CQ are expected. Additional assessment procedures need to be added, for selection or promotion purposes to increase the measurement precision. Confirmatory factor analysis results confirmed the multidimensional construct of CQS with four specific-related factors at the first level, and an aggregate factor at the second level. This model provided better model fit using IRT-GRM approach, and it was supported by classical test theory analysis results. Therefore, it is important to rely on subscale scores, besides the total score to interpret CQ for individuals. The study stressed the importance of examining CQS item parameters and information based on the country it is adapted for, to investigate how they interact with country culture; and to take into account ability level, when selecting optimal measures. The results of confirmatory factor analysis (CFA) and item response theory (IRT) graded response model (GRM) supported the multidimensional construct of Cultural Intelligence Scale (CQS) with four specific-related factors at the first level, and an aggregate factor at the second level, that was proposed by the CQS theory, compared to other models.IRT-GRM analysis results in this study indicated that CQS has good psychometric properties and indicated that it appears to be a valid and moderately reliable instrument in detecting Cultural intelligence (CQ). These results were supported by CTT analysis results.IRT-GRM analysis results showed that CQS well-distinguished people at different ability levels along the CQ latent trait, particularly with middle and low abilities. However, CQS full scale and subscales had less accurate measurement precision at high levels of CQ, and some subscales had more precision at low level abilities.The study suggested that it is important to examine the CQS model fit, item parameters, information functions for the full scale and subscales based on the country it is adapted for, before considering it. It is important also to rely on the subscale scores to interpret CQ for individuals, and to identify their strengths, rather than relying on the total score alone.The study results suggested that CQS suites better CQ identification and development purposes. For selection or promotion purposes, it is suggested to add additional assessment procedures to increase the measurement precision.</t>
  </si>
  <si>
    <t>[Darandari, Eqbal] King Saud Univ, Riyadh, Saudi Arabia; [Khayat, Shatha] Univ Jeddah, Jeddah, Saudi Arabia; [Darandari, Eqbal] King Saud Univ, POB 22234, Riyadh 11495, Saudi Arabia</t>
  </si>
  <si>
    <t>King Saud University; University of Jeddah; King Saud University</t>
  </si>
  <si>
    <t>Darandari, E (corresponding author), King Saud Univ, POB 22234, Riyadh 11495, Saudi Arabia.</t>
  </si>
  <si>
    <t>eqbal@ksu.edu.sa</t>
  </si>
  <si>
    <t>The authors would like to thank University of Jeddah and King Saud University for their support for approving and administering the scale.; University of Jeddah and King Saud University</t>
  </si>
  <si>
    <t>The authors would like to thank University of Jeddah and King Saud University for their support for approving and administering the scale.</t>
  </si>
  <si>
    <t>0965-075X</t>
  </si>
  <si>
    <t>1468-2389</t>
  </si>
  <si>
    <t>INT J SELECT ASSESS</t>
  </si>
  <si>
    <t>Int. J. Sel. Assess.</t>
  </si>
  <si>
    <t>10.1111/ijsa.12451</t>
  </si>
  <si>
    <t>Psychology, Applied; Management</t>
  </si>
  <si>
    <t>Psychology; Business &amp; Economics</t>
  </si>
  <si>
    <t>S4MT6</t>
  </si>
  <si>
    <t>WOS:001070932300001</t>
  </si>
  <si>
    <t>Hayama, K; Iwasaki, R; Tian, Y; Fujita, H</t>
  </si>
  <si>
    <t>Hayama, Koremasa; Iwasaki, Ryoko; Tian, Yahui; Fujita, Hideki</t>
  </si>
  <si>
    <t>Factors associated with generalized pustular psoriasis progression among patients with psoriasis vulgaris in Japan: Results from a claims database study</t>
  </si>
  <si>
    <t>JOURNAL OF DERMATOLOGY</t>
  </si>
  <si>
    <t>claims analysis; disease progression; generalized pustular psoriasis; psoriasis; psoriasis vulgaris</t>
  </si>
  <si>
    <t>PATHOGENESIS; ARTHRITIS; FEATURES</t>
  </si>
  <si>
    <t>Of those patients diagnosed with generalized pustular psoriasis (GPP) in Japan, approximately 30% have a prior psoriasis vulgaris (PsV) diagnosis. Therefore, understanding factors associated with a GPP diagnosis is essential for early diagnosis of GPP in patients with PsV. This retrospective cohort study was conducted to identify associated factors for GPP diagnosis in patients with PsV. Eligible patients with two confirmed diagnoses of PsV with/without a confirmed GPP diagnosis (International Classification of Disease 10th revision codes L40.0 and L40.1, respectively) were identified from the Japanese Medical Data Center database (JMDC) (July 1, 2005-January 31, 2019). Weighted logistic regression was used to identify associated factors (based on recorded comorbidities) between the PsV only and PsV with GPP cohorts. Odds ratios (ORs) of =1.5, associated with a high probability of a GPP diagnosis, were reported for factors with =5 patients/cohort. The time from event to GPP diagnosis was evaluated. The highest associated factor for GPP diagnosis was psoriatic arthritis (OR 20.2, 95% confidence interval [CI] 17.06-23.92, P &lt; 0.0001), which also had the shortest time from event to GPP diagnosis (median 119 days). Other comorbidities associated with GPP diagnosis were other psoriasis, tonsillitis, and sinusitis. Treatments associated with GPP diagnosis included systemic corticosteroids (OR 2.19, 95% CI 1.98-2.43, P &lt; 0.0001; median time from treatment initiation to GPP diagnosis 180 days). Other associated treatments (other immunosuppressants, interleukin [IL]-17 or IL-23 inhibitors, and phototherapy) had a delay of =1 year from treatment initiation to GPP diagnosis. Back pain, headache, and fever were also identified as associated with a GPP diagnosis. Patients with PsV requiring systemic therapies are more likely to receive a GPP diagnosis than those not requiring systemic treatment. These data will help identify patients with PsV at high risk of developing GPP and potentially support early GPP diagnosis.</t>
  </si>
  <si>
    <t>[Hayama, Koremasa; Fujita, Hideki] Nihon Univ, Sch Med, Tokyo, Japan; [Iwasaki, Ryoko] Nippon Boehringer Ingelheim Co Ltd, Tokyo, Japan; [Tian, Yahui] Boehringer Ingelheim Pharmaceut Inc, Ridgefield, CT 06877 USA</t>
  </si>
  <si>
    <t>Nihon University; Boehringer Ingelheim; Boehringer Ingelheim</t>
  </si>
  <si>
    <t>Iwasaki, R (corresponding author), Nippon Boehringer Ingelheim Co Ltd, Tokyo, Japan.;Tian, Y (corresponding author), Boehringer Ingelheim Pharmaceut Inc, Ridgefield, CT 06877 USA.</t>
  </si>
  <si>
    <t>ryoko.iwasaki@boehringer-ingelheim.com; yahui.tian@boehringer-ingelheim.com</t>
  </si>
  <si>
    <t>Hayama, Koremasa/0000-0001-8651-2493</t>
  </si>
  <si>
    <t>Medical writing support was provided by Amy Pashler, PhD, of Hyperion, OPEN Health Communications, and funded by Boehringer Ingelheim, in accordance with Good Publication Practice (GPP) guidelines (). Jingbo Yi and Russell Miller of Syneos Health contribut; Boehringer Ingelheim</t>
  </si>
  <si>
    <t>Medical writing support was provided by Amy Pashler, PhD, of Hyperion, OPEN Health Communications, and funded by Boehringer Ingelheim, in accordance with Good Publication Practice (GPP) guidelines (). Jingbo Yi and Russell Miller of Syneos Health contribut; Boehringer Ingelheim(Boehringer Ingelheim)</t>
  </si>
  <si>
    <t>Medical writing support was provided by Amy Pashler, PhD, of Hyperion, OPEN Health Communications, and funded by Boehringer Ingelheim, in accordance with Good Publication Practice (GPP) guidelines (). Jingbo Yi and Russell Miller of Syneos Health contributed to the analysis and implementation of the study; Natalie Guo of Syneos Health conducted statistical programming and the analysis of the study; and Bruce Crawford of Syneos Health contributed to the implementation of the study.</t>
  </si>
  <si>
    <t>0385-2407</t>
  </si>
  <si>
    <t>1346-8138</t>
  </si>
  <si>
    <t>J DERMATOL</t>
  </si>
  <si>
    <t>J. Dermatol.</t>
  </si>
  <si>
    <t>10.1111/1346-8138.16949</t>
  </si>
  <si>
    <t>Dermatology</t>
  </si>
  <si>
    <t>S0VD4</t>
  </si>
  <si>
    <t>WOS:001068422800001</t>
  </si>
  <si>
    <t>Li, ZZ; Lu, MX; Zhang, YQ; Gong, TJ; Wang, J; Luo, Y; Zhou, Y; Min, L; Tu, CQ</t>
  </si>
  <si>
    <t>Li, Zhuangzhuang; Lu, Minxun; Zhang, Yuqi; Gong, Taojun; Wang, Jie; Luo, Yi; Zhou, Yong; Min, Li; Tu, Chongqi</t>
  </si>
  <si>
    <t>Computer-aided Design and 3D-printed Personalized Stem-plate Composite for Precision Revision of the Proximal Humerus Endoprosthetic Replacement: A Technique Note</t>
  </si>
  <si>
    <t>ORTHOPAEDIC SURGERY</t>
  </si>
  <si>
    <t>3D-printed; Aseptic loosening; Endoprosthetic replacement; Proximal humerus; Revision</t>
  </si>
  <si>
    <t>TUMOR ENDOPROSTHESES; RECONSTRUCTION; RESECTION</t>
  </si>
  <si>
    <t>Background Aseptic loosening is considered to be a rather uncommon complication in proximal humerus endoprosthetic replacement (PHER). However, patients with aseptic loosening often suffer severe bone loss, which poses a great challenge in following revision. Under this situation, a standard stemmed endoprosthesis is unavailable for revision limb salvage. Computer-aided design and 3D-printed personalized implants are an emerging solution for reconstructing complex bone defects.Case Presentation Here, we present a 67-year-old male who underwent PHER after tumor resection and developed aseptic loosening with severe periprosthetic osteolysis around the stem. Computer-aided design and 3D-printed personalized stem-plate composite was used for the precision revision of this patient. During the follow-up, encouraging results were observed, with good endoprosthetic stability and satisfactory limb function.Conclusion Computer-aid design and 3D-printed personalized stem-plate composite used in the present case could help to achieve good endoprosthetic stability and satisfactory limb function. This 3D-printed personalized stem-plate composite seems to be an effective method for the precise revision of PHER in patients with severe periprosthetic osteolysis. In addition, it also provides a novel method for similar revision surgery of other joints or primary endoprosthetic replacement with severe bone defects.</t>
  </si>
  <si>
    <t>[Li, Zhuangzhuang; Lu, Minxun; Zhang, Yuqi; Gong, Taojun; Wang, Jie; Luo, Yi; Zhou, Yong; Min, Li; Tu, Chongqi] Sichuan Univ, West China Hosp, Orthopaed Res Inst, Dept Orthopaed, 37 Guoxue Rd, Chengdu 610041, Peoples R China; [Li, Zhuangzhuang; Lu, Minxun; Zhang, Yuqi; Gong, Taojun; Wang, Jie; Luo, Yi; Zhou, Yong; Min, Li; Tu, Chongqi] Model Worker &amp; Craftsman Talent Innovat Workshop S, Chengdu, Peoples R China</t>
  </si>
  <si>
    <t>Sichuan University</t>
  </si>
  <si>
    <t>Min, L; Tu, CQ (corresponding author), Sichuan Univ, West China Hosp, Orthopaed Res Inst, Dept Orthopaed, 37 Guoxue Rd, Chengdu 610041, Peoples R China.</t>
  </si>
  <si>
    <t>minli1204@scu.edu.cn; tucq@scu.edu.cn</t>
  </si>
  <si>
    <t>1-3-5 project for disciplines of excellence, West China Hospital, Sichuan University [ZYJC18036]</t>
  </si>
  <si>
    <t>1-3-5 project for disciplines of excellence, West China Hospital, Sichuan University</t>
  </si>
  <si>
    <t>This work was supported by 1-3-5 project for disciplinesof excellence, West China Hospital, Sichuan University(ZYJC18036).</t>
  </si>
  <si>
    <t>1757-7853</t>
  </si>
  <si>
    <t>1757-7861</t>
  </si>
  <si>
    <t>ORTHOP SURG</t>
  </si>
  <si>
    <t>Orthop. Surg.</t>
  </si>
  <si>
    <t>10.1111/os.13857</t>
  </si>
  <si>
    <t>Orthopedics</t>
  </si>
  <si>
    <t>S5BC8</t>
  </si>
  <si>
    <t>WOS:001071309000001</t>
  </si>
  <si>
    <t>Rathke, P; Rittle, J</t>
  </si>
  <si>
    <t>Rathke, Paul; Rittle, Jonathan</t>
  </si>
  <si>
    <t>Four-Electron Oxidative Addition of an N=N Double Bond at a Chromium Metallocyclopropene</t>
  </si>
  <si>
    <t>Azobenzene; Chromium; Metallocyclopropene; Oxidative Addition; Phosphinimides</t>
  </si>
  <si>
    <t>MOLECULAR-STRUCTURE; HIGH-SPIN; COMPLEXES; 2-ELECTRON; OXO; REACTIVITY; REDUCTION; ELECTRON; WCL2(PMEPH2)4; ACTIVATION</t>
  </si>
  <si>
    <t>This report describes the synthesis of a pseudo-tetrahedral chromium alkyne complex supported by a bidentate phosphinimide ligand and its reactivity with an azobenzene derivative. Characterization of the former by structural and computational methods reveals an unprecedented extent of alkyne activation by a formal chromium(II) center, suggesting that this complex is best described as a chromium(IV)-metallocyclopropene. Exposure of this compound to 4,4 &amp; PRIME;-difluoroazobenzene results in the formation of a chromium(VI) diimido complex, which constitutes a rare 4-electron oxidative addition of an N=N double bond. The isolation of a chromium(IV)-hydrazido intermediate enabled mechanistic investigations of this challenging bond cleavage process. This work substantiates the notion that terminal phosphinimide ligands can engender first-row transition metal ions with exceptional reactivity. This report describes the synthesis of a chromium alkyne complex supported by a bidentate phosphinimide ligand. This compound features an unprecedented extent of alkyne activation, exposure of which to an azobenzene derivative leads to a rare 4-electron oxidative addition of an N=N double bond across a single chromium center.**image</t>
  </si>
  <si>
    <t>[Rathke, Paul; Rittle, Jonathan] Univ Calif Berkeley, Coll Chem, Berkeley, CA 94720 USA</t>
  </si>
  <si>
    <t>University of California System; University of California Berkeley</t>
  </si>
  <si>
    <t>Rittle, J (corresponding author), Univ Calif Berkeley, Coll Chem, Berkeley, CA 94720 USA.</t>
  </si>
  <si>
    <t>rittle@berkeley.edu</t>
  </si>
  <si>
    <t>University of California Berkeley; Office of Science, Office of Basic Energy Sciences, of the U.S. Department of Energy [DE-AC02-05CH11231]; NIH [S10OD024998]</t>
  </si>
  <si>
    <t>University of California Berkeley(University of California System); Office of Science, Office of Basic Energy Sciences, of the U.S. Department of Energy(United States Department of Energy (DOE)); NIH(United States Department of Health &amp; Human ServicesNational Institutes of Health (NIH) - USA)</t>
  </si>
  <si>
    <t>This research was supported by the University of California Berkeley. X-ray diffraction experiments performed at beamline 12.2.1 at the Advanced Light Source at Lawrence Berkeley National Laboratory were supported by the Director, Office of Science, Office of Basic Energy Sciences, of the U.S. Department of Energy under Contract No. DE-AC02-05CH11231. We thank Dr. Hasan Celik, and UC Berkeley's NMR facility in the College of Chemistry (CoC NMR) for spectroscopic assistance. Instruments in the CoC NMR are supported in part by NIH S10OD024998.</t>
  </si>
  <si>
    <t>10.1002/anie.202310482</t>
  </si>
  <si>
    <t>R8NQ5</t>
  </si>
  <si>
    <t>WOS:001066873400001</t>
  </si>
  <si>
    <t>Sciacca, G</t>
  </si>
  <si>
    <t>Sciacca, Giulio</t>
  </si>
  <si>
    <t>Grounding and boundaries</t>
  </si>
  <si>
    <t>ANALYTIC PHILOSOPHY</t>
  </si>
  <si>
    <t>This paper discusses a recent puzzle concerning the notions of boundary parthood and dependence, and offers a new solution. The puzzle was originally presented by Jeroen Smid and successively elaborated upon by Claudio Calosi. I first reformulate some of the troublesome premises. Particularly, whereas Smid and Calosi discuss the puzzle in terms of an underspecified notion of dependence, I propose to construe it in terms of the notion of grounding. In this manner, the dependence relation inherently carries an asymmetry, and we can effectively utilize its four places. The solution I advance precisely takes advantage of this feature of dependence. My proposal avoids the contradiction while still respecting the intuitions driving the original premises. It is also fully compatible with boundaries being only generically dependent on their wholes.</t>
  </si>
  <si>
    <t>giulio.sciacca@gmail.com</t>
  </si>
  <si>
    <t>The author thanks Roberto Loss, who has been providing invaluable help and support on the present issues. The author also thanks their supervisor Andrea Bottani for his patience and thorough suggestions.</t>
  </si>
  <si>
    <t>2153-9596</t>
  </si>
  <si>
    <t>2153-960X</t>
  </si>
  <si>
    <t>ANAL PHILOS</t>
  </si>
  <si>
    <t>Anal. Philos.</t>
  </si>
  <si>
    <t>10.1111/phib.12319</t>
  </si>
  <si>
    <t>Philosophy</t>
  </si>
  <si>
    <t>S0DE0</t>
  </si>
  <si>
    <t>WOS:001067954600001</t>
  </si>
  <si>
    <t>Woods, SB; Udezi, V; Roberson, PNE; Arnold, EM; Nesbitt, S; Hiefner, A</t>
  </si>
  <si>
    <t>Woods, Sarah B.; Udezi, Victoria; Roberson, Patricia N. E.; Arnold, Elizabeth Mayfield; Nesbitt, Shawna; Hiefner, Angela</t>
  </si>
  <si>
    <t>A cuff is not enough: A community-based participatory research approach to soliciting perspectives of African Americans with hypertension and their family members on self-management intervention features</t>
  </si>
  <si>
    <t>FAMILY PROCESS</t>
  </si>
  <si>
    <t>community-based participatory research; family relations; health disparities; hypertension; qualitative research; self-management</t>
  </si>
  <si>
    <t>BLOOD-PRESSURE CONTROL; HEALTH; INTERVIEWS; BARRIERS; FACILITATORS; DISPARITIES</t>
  </si>
  <si>
    <t>We aimed to solicit the perspectives of African Americans with hypertension and their family members on the desired features of a behavioral hypertension self-management intervention. Using a community-based participatory approach to intervention design, we conducted four dyadic focus groups, including African American community members with hypertension (n = 23) and their family members (n = 23), recruited from African American-serving Christian churches in a large, southern metropolitan area. We used open-ended questions to elicit participants' perspectives regarding program features they would recommend, intervention delivery, and barriers necessary to address. Our grounded theory analysis identified themes reflecting participants' recommendations for hypertension self-management interventions to enhance health literacy and provide communication training via an accessible, population-tailored, family-based approach, which they believed has the potential to create family-level impact on health across generations. Participants also recommended intervention researchers engage in advocacy (i.e., via physician education and policy change) as part of a broader impact on structural inequities driving worse hypertension and health outcomes for African Americans. The perceptions and recommendations of African Americans with a lived experience of hypertension, as well as their family members, aid in shaping acceptable and efficacious behavioral interventions aiming to promote hypertension self-management behavior while leveraging the unique power of family relationships to create sustained behavior change.</t>
  </si>
  <si>
    <t>[Woods, Sarah B.; Udezi, Victoria; Arnold, Elizabeth Mayfield; Hiefner, Angela] Univ Texas Southwestern Med Ctr, Dept Family &amp; Community Med, Dallas, TX 75390 USA; [Roberson, Patricia N. E.] Univ Tennessee Knoxville, Coll Nursing, Knoxville, TN USA; [Nesbitt, Shawna] Univ Texas Southwestern Med Ctr, Dept Internal Med &amp; Cardiol, Dallas, TX USA</t>
  </si>
  <si>
    <t>University of Texas System; University of Texas Southwestern Medical Center Dallas; University of Tennessee System; University of Tennessee Knoxville; University of Texas System; University of Texas Southwestern Medical Center Dallas</t>
  </si>
  <si>
    <t>Woods, SB (corresponding author), Univ Texas Southwestern Med Ctr, Dept Family &amp; Community Med, Dallas, TX 75390 USA.</t>
  </si>
  <si>
    <t>sarah.woods@utsouthwestern.edu</t>
  </si>
  <si>
    <t>Arnold, Elizabeth/0000-0002-4279-8896; Roberson, Patricia N. E./0000-0001-7746-0548; Nesbitt, Shawna/0000-0001-6043-6541; Hiefner, Angela/0000-0002-7923-2511</t>
  </si>
  <si>
    <t>The authors wish to thank Patricia Knowles and Gabrielle Slaughter, M.D. for their help in data collection for this study.</t>
  </si>
  <si>
    <t>0014-7370</t>
  </si>
  <si>
    <t>1545-5300</t>
  </si>
  <si>
    <t>FAM PROCESS</t>
  </si>
  <si>
    <t>Fam. Process</t>
  </si>
  <si>
    <t>10.1111/famp.12935</t>
  </si>
  <si>
    <t>Psychology, Clinical; Family Studies</t>
  </si>
  <si>
    <t>Psychology; Family Studies</t>
  </si>
  <si>
    <t>S0DF0</t>
  </si>
  <si>
    <t>WOS:001067955600001</t>
  </si>
  <si>
    <t>Zhang, F; Tu, BB; Yang, SF; Fan, K; Liu, ZL; Xiong, ZJ; Zhang, J; Li, W; Huang, HT; Yu, C; Jen, AKY; Yao, K</t>
  </si>
  <si>
    <t>Zhang, Fu; Tu, Binbin; Yang, Shaofei; Fan, Ke; Liu, Zhiliang; Xiong, Zhijun; Zhang, Jie; Li, Wei; Huang, Haitao; Yu, Cao; Jen, Alex K. -y; Yao, Kai</t>
  </si>
  <si>
    <t>Buried-Interface Engineering of Conformal 2D/3D Perovskite Heterojunction for Efficient Perovskite/Silicon Tandem Solar Cells on Industrially Textured Silicon</t>
  </si>
  <si>
    <t>buried interfacial engineering; perovskite heterojunctions; perovskite/silicon tandem solar cells; texture compatibilities</t>
  </si>
  <si>
    <t>FABRICATION</t>
  </si>
  <si>
    <t>Exploring strategies to control the crystallization and modulate interfacial properties for high-quality perovskite film on industry-relevant textured crystalline silicon solar cells is highly valued in the perovskite/silicon tandem photovoltaics community. The formation of a 2D/3D perovskite heterojunction is widely employed to passivate defects and suppress ion migration in the film surface of perovskite solar cells. However, realizing solution-processed heterostructures at the buried interface faces solvent incompatibilities with the challenge of underlying-layer disruption, and texture incompatibilities with the challenge of uneven coverage. Here, a hybrid two-step deposition method is used to prepare robust 2D perovskites with cross-linkable ligands underneath the 3D perovskite. This structurally coherent interlayer benefits by way of preferred crystal growth of strain-free and uniform upper perovskite, inhibits interfacial defect-induced instability and recombination, and promotes charge-carrier extraction with ideal energy-level alignment. The broad applicability of the bottom-contact heterostructure for different textured substrates with conformal coverage and various precursor solutions with intact properties free of erosion are demonstrated. With this buried interface engineering strategy, the resulting perovskite/silicon tandem cells, based on industrially textured Czochralski (CZ) silicon, achieve a certified efficiency of 28.4% (1.0 cm2), while retaining 89% of the initial PCE after over 1000 h operation. Using a hybrid two-step deposition method, prepared robust 2D perovskites with cross-linkable ligands underneath 3D perovskite enable the formation of a conformal 2D/3D heterostructure at the buried interface. Owing to the influence of the heterojunction on crystallization and interfacial modulation, perovskite-silicon tandem solar cells based on industrially fully textured silicon achieve an efficiency of 29.8% (certified 28.4%).image</t>
  </si>
  <si>
    <t>[Zhang, Fu; Tu, Binbin; Liu, Zhiliang; Xiong, Zhijun; Yao, Kai] Nanchang Univ, Inst Photovolta, Sch Mat Sci &amp; Engn, Nanchang 330031, Peoples R China; [Yang, Shaofei; Liu, Zhiliang; Yu, Cao] Suzhou Maxwell Technol Co Ltd, Suzhou 215200, Peoples R China; [Fan, Ke; Huang, Haitao] Hong Kong Polytech Univ, Dept Appl Phys, Hung Hom, Kowloon, Hong Kong 999077, Peoples R China; [Zhang, Jie; Jen, Alex K. -y] City Univ Hong Kong, Dept Mat Sci &amp; Engn, Kowloon, Hong Kong 999077, Peoples R China; [Zhang, Jie] Chinese Acad Sci, Shenzhen Inst Adv Technol, Shenzhen 518055, Peoples R China; [Li, Wei] Wuhan Univ Technol, State Key Lab Adv Technol Mat Synth &amp; Proc, Wuhan 430070, Peoples R China</t>
  </si>
  <si>
    <t>Nanchang University; Hong Kong Polytechnic University; City University of Hong Kong; Chinese Academy of Sciences; Shenzhen Institute of Advanced Technology, CAS; Wuhan University of Technology</t>
  </si>
  <si>
    <t>Yao, K (corresponding author), Nanchang Univ, Inst Photovolta, Sch Mat Sci &amp; Engn, Nanchang 330031, Peoples R China.</t>
  </si>
  <si>
    <t>yaokai@ncu.edu.cn</t>
  </si>
  <si>
    <t>Yu, Cao/0000-0001-6307-2245</t>
  </si>
  <si>
    <t>National Natural Science Foundation of China [62274080, 61874052]; Natural Science Foundation of Jiangxi Province, China [20224ACB214003]; Thousand Talents Plan of Jiangxi Province [jxsq2019201109]</t>
  </si>
  <si>
    <t>National Natural Science Foundation of China(National Natural Science Foundation of China (NSFC)); Natural Science Foundation of Jiangxi Province, China(Natural Science Foundation of Jiangxi Province); Thousand Talents Plan of Jiangxi Province</t>
  </si>
  <si>
    <t>F.Z., B.T., and S.Y. contributed equally to this work. The authors thank Dr. Francis R. Lin (City University of Hong Kong) for providing critical evaluation of the manuscript during revision. The authors also thank C. Zhou in Shanghai JinZhu Technology Co. LTD. for assistance with confocal PL mapping measurement. The authors gratefully acknowledge the financial support from the National Natural Science Foundation of China (Grants 62274080 and 61874052) and the Natural Science Foundation of Jiangxi Province, China (20224ACB214003). K.Y. is also thankful for the support from the Thousand Talents Plan of Jiangxi Province (jxsq2019201109).</t>
  </si>
  <si>
    <t>10.1002/adma.202303139</t>
  </si>
  <si>
    <t>R8NU4</t>
  </si>
  <si>
    <t>WOS:001066877300001</t>
  </si>
  <si>
    <t>Brugnoli, FR; Holy, M; Niello, M; Maier, J; Hanreich, M; Menzel, M; Haberler, M; Zulus, N; Pickl, T; Ivanova, C; Muiznieks, LD; Garlan, B; Sitte, HH</t>
  </si>
  <si>
    <t>Brugnoli, Francesca R.; Holy, Marion; Niello, Marco; Maier, Julian; Hanreich, Marcus; Menzel, Mario; Haberler, Matthias; Zulus, Niklas; Pickl, Thomas; Ivanova, Christa; Muiznieks, Lisa D.; Garlan, Benjamin; Sitte, Harald H.</t>
  </si>
  <si>
    <t>Development and validation of an automated microfluidic perfusion platform for parallelized screening of compounds in vitro</t>
  </si>
  <si>
    <t>BASIC &amp; CLINICAL PHARMACOLOGY &amp; TOXICOLOGY</t>
  </si>
  <si>
    <t>automated screening; microfluidics; neurotransmitter; release assay; serotonin</t>
  </si>
  <si>
    <t>CARRIER-MEDIATED RELEASE; DOPAMINE TRANSPORTER; NEUROTRANSMITTER TRANSPORTERS; PSYCHOACTIVE-DRUGS; HIGH-THROUGHPUT; MONOAMINE; AMPHETAMINE; INHIBITION; MEPHEDRONE; COCAINE</t>
  </si>
  <si>
    <t>Monoamine transporters are of great interest for their role in the physiological activity of the body and their link to mental and behavioural disorders. Currently, static well-plate assays or manual perfusion systems are used to characterize the interaction of psychostimulants, antidepressants and drugs of abuse with the transporters but still suffer from significant drawbacks caused by lack of automation, for example, low reproducibility, non-comparability of results. An automated microfluidic platform was developed to address the need for more standardized procedures for cell-based assays. An automated system was used to control and drive the simultaneous perfusion of 12 channels on a microfluidic chip, establishing a more standardized protocol to perform release assays to study monoamine transporter-mediated substrate efflux. D-Amphetamine, GBR12909 (norepinephrine transporter) and p-chloroamphetamine, paroxetine (serotonin transporter) were used as control compounds to validate the system. The platform was able to produce the expected releasing (D-Amphetamine, p-chloroamphetamine) or inhibiting (GBR12909, paroxetine) profiles for the two transporters. The reduction of manual operation and introduction of automated flow control enabled the implementation of stronger standardized protocols and the possibility of obtaining higher throughput by increasing parallelization.</t>
  </si>
  <si>
    <t>[Brugnoli, Francesca R.; Ivanova, Christa; Muiznieks, Lisa D.; Garlan, Benjamin] Elvesys Microfluid Innovat Ctr, Paris, France; [Brugnoli, Francesca R.; Holy, Marion; Niello, Marco; Maier, Julian; Sitte, Harald H.] Med Univ Vienna, Inst Pharmacol, Ctr Physiol &amp; Pharmacol, Wahringerstr 13A, A-1090 Vienna, Austria; [Hanreich, Marcus; Menzel, Mario; Haberler, Matthias; Zulus, Niklas; Pickl, Thomas] Hohere Tech Bundeslehr &amp; Versuchsanstalt Modling H, Modling, Austria; [Sitte, Harald H.] Al Ahliyya Amman Univ, Hourani Ctr Appl Sci Res, Amman, Jordan; [Sitte, Harald H.] Med Univ Vienna, Ctr Addict Res &amp; Sci AddRess, Vienna, Austria</t>
  </si>
  <si>
    <t>Medical University of Vienna; Al-Ahliyya Amman University; Medical University of Vienna</t>
  </si>
  <si>
    <t>Sitte, HH (corresponding author), Med Univ Vienna, Inst Pharmacol, Ctr Physiol &amp; Pharmacol, Wahringerstr 13A, A-1090 Vienna, Austria.</t>
  </si>
  <si>
    <t>harald.sitte@meduniwien.ac.at</t>
  </si>
  <si>
    <t>Sitte, Harald/N-2681-2013</t>
  </si>
  <si>
    <t>Sitte, Harald/0000-0002-1339-7444</t>
  </si>
  <si>
    <t>We want to thank Kurt Salzmann for his support throughout this project.</t>
  </si>
  <si>
    <t>NeuroTrans has received funding from the European Commission under the European Union &amp; apos;s Horizon 2020 programme-grant agreement number 860954. The European Union has no responsibility for the content of this document. This work was supported by the Austrian Science Fund/FWF by grants P35589 (to HHS, MN) and DOC33-B27 (to HHS, JM).r We want to thank Kurt Salzmann for his support throughout this project.</t>
  </si>
  <si>
    <t>1742-7835</t>
  </si>
  <si>
    <t>1742-7843</t>
  </si>
  <si>
    <t>BASIC CLIN PHARMACOL</t>
  </si>
  <si>
    <t>Basic Clin. Pharmacol. Toxicol.</t>
  </si>
  <si>
    <t>2023 SEP 17</t>
  </si>
  <si>
    <t>10.1111/bcpt.13940</t>
  </si>
  <si>
    <t>Pharmacology &amp; Pharmacy; Toxicology</t>
  </si>
  <si>
    <t>R9YR7</t>
  </si>
  <si>
    <t>WOS:001067838300001</t>
  </si>
  <si>
    <t>Trapero, I; Sánchez-Martínez, V; Cauli, O; Buigues, C</t>
  </si>
  <si>
    <t>Trapero, Isabel; Sanchez-Martinez, Vanessa; Cauli, Omar; Buigues, Cristina</t>
  </si>
  <si>
    <t>Evaluating video virtual reality teaching for nursing students</t>
  </si>
  <si>
    <t>MEDICAL EDUCATION</t>
  </si>
  <si>
    <t>News Item; Early Access</t>
  </si>
  <si>
    <t>[Sanchez-Martinez, Vanessa] Univ Valencia, Dept Nursing, Avd Menendez Pelayo 19, Valencia 46010, Spain</t>
  </si>
  <si>
    <t>University of Valencia</t>
  </si>
  <si>
    <t>Sánchez-Martínez, V (corresponding author), Univ Valencia, Dept Nursing, Avd Menendez Pelayo 19, Valencia 46010, Spain.</t>
  </si>
  <si>
    <t>0308-0110</t>
  </si>
  <si>
    <t>1365-2923</t>
  </si>
  <si>
    <t>MED EDUC</t>
  </si>
  <si>
    <t>Med. Educ.</t>
  </si>
  <si>
    <t>10.1111/medu.15234</t>
  </si>
  <si>
    <t>Education, Scientific Disciplines; Health Care Sciences &amp; Services</t>
  </si>
  <si>
    <t>Education &amp; Educational Research; Health Care Sciences &amp; Services</t>
  </si>
  <si>
    <t>S7JX5</t>
  </si>
  <si>
    <t>WOS:001072907000001</t>
  </si>
  <si>
    <t>Xiang, F; Luo, FW</t>
  </si>
  <si>
    <t>Xiang, Fu; Luo, Fuwen</t>
  </si>
  <si>
    <t>Stem cell factor modulates HIF-1a levels and diminishes 5-FU sensitivity in 5-FU resistant pancreatic cells by altering the anabolic glucose metabolism</t>
  </si>
  <si>
    <t>JOURNAL OF BIOCHEMICAL AND MOLECULAR TOXICOLOGY</t>
  </si>
  <si>
    <t>CTPS1; HIF-1 &amp; alpha;; pancreatic cancer; TKT</t>
  </si>
  <si>
    <t>DRUG-RESISTANCE; CANCER CELLS; 5-FLUOROURACIL; GEMCITABINE; HIF-1-ALPHA; CISPLATIN; TUMORS</t>
  </si>
  <si>
    <t>Resistance to chemotherapy in cancer leads to poor therapeutic outcomes and also leads to challenges in treatment. The present work evaluated the mechanism involved in the resistance of 5-flurouracil (5-FU) in pancreatic cancer. At least 14 different pancreatic cancer (PC) cell lines were used for the study. For in vivo study female nude mice were selected. Patient-derived tumor xenograft samples were obtained from patients. The study involved, study for glucose uptake, fluorescence-activated cell sorting for glucose transporter, 3-[4,5-dimethylthiazol-2-yl]-2,5-diphenyltetrazolium bromide for cell survival, Picto-micrography for clonogenic assay, glutamine uptake assay, extracellular acidification and oxygen consumption rate, carbon dioxide release assay and lactate assay were also done. In addition to this, quantitative real-time polymerase chain reaction analysis for expression of genes, chromatin immunoprecipitation assay, western blot for protein expression, and immunohistochemical analysis in tumor sections, the tumors were studied by imaging for hypoxia and localization of TKT and CTPS-2. Also, patient-derived xenograft tumors were engrafted in nude mice, followed by a glucose uptake assay. We reported that elevated glycolytic flux causes dependence on glucose in cancer cells and, at the same time, increases pyrimidine biosynthesis. It was also found that stem cell factor-mediated stabilization of hypoxia-inducible factor-1a (HIF-1a) modulates the resistance in PC. Targeting HIF-1a in combination with 5-FU, strongly reduced the tumor burden. The study concludes that stem cell factor modulates HIF-1a and decreases the sensitivity in 5-FU resistant pancreatic cancer cells by targeting glucose metabolism. Deceased expression levels of CTPS-2 and TKT, which are regulators of pyrimidine biosynthesis could better the chance of survival in patients of pancreatic cancer receiving treatment of 5-FU.</t>
  </si>
  <si>
    <t>[Xiang, Fu] Dalian Med Univ, Dept Gen Surg, Dalian, Liaoning, Peoples R China; [Luo, Fuwen] Dalian Med Univ, Dept Acute Abdominal Surg, Dalian, Liaoning, Peoples R China; [Luo, Fuwen] Dalian Med Univ, Dept Acute Abdominal Surg, 9 Lvshun,South Rd West Sect, Dalian 116000, Liaoning, Peoples R China</t>
  </si>
  <si>
    <t>Dalian Medical University; Dalian Medical University; Dalian Medical University</t>
  </si>
  <si>
    <t>Luo, FW (corresponding author), Dalian Med Univ, Dept Acute Abdominal Surg, 9 Lvshun,South Rd West Sect, Dalian 116000, Liaoning, Peoples R China.</t>
  </si>
  <si>
    <t>fuwenluo1982@outlook.com</t>
  </si>
  <si>
    <t>The authors are thankful to the staff of The first affiliated hospital of Dalian Medical University, Dalian, Liaoning, China. The project was self-financed.; Dalian, Liaoning, China</t>
  </si>
  <si>
    <t>The authors are thankful to the staff of The first affiliated hospital of Dalian Medical University, Dalian, Liaoning, China. The project was self-financed.</t>
  </si>
  <si>
    <t>1095-6670</t>
  </si>
  <si>
    <t>1099-0461</t>
  </si>
  <si>
    <t>J BIOCHEM MOL TOXIC</t>
  </si>
  <si>
    <t>J. Biochem. Mol. Toxicol.</t>
  </si>
  <si>
    <t>e23487</t>
  </si>
  <si>
    <t>10.1002/jbt.23487</t>
  </si>
  <si>
    <t>Biochemistry &amp; Molecular Biology; Toxicology</t>
  </si>
  <si>
    <t>S0EU2</t>
  </si>
  <si>
    <t>WOS:001067996800001</t>
  </si>
  <si>
    <t>Borghi, M; Mariani, MM; Vega, RP; Wirtz, J</t>
  </si>
  <si>
    <t>Borghi, Matteo; Mariani, Marcello M.; Vega, Rodrigo P.; Wirtz, Jochen</t>
  </si>
  <si>
    <t>The impact of service robots on customer satisfaction online ratings: The moderating effects of rapport and contextual review factors</t>
  </si>
  <si>
    <t>PSYCHOLOGY &amp; MARKETING</t>
  </si>
  <si>
    <t>customer satisfaction; eWOM; mobile; online reviews; rapport; service robot</t>
  </si>
  <si>
    <t>WORD-OF-MOUTH; SELF-SERVICE; ARTIFICIAL-INTELLIGENCE; TECHNOLOGY</t>
  </si>
  <si>
    <t>Recent research has established a positive relationship between the use of service robots powered by artificial intelligence in hospitality firms and customer satisfaction online ratings, a particularly important form of electronic word of mouth. However, it is not clear if and how this relationship is augmented or diminished by moderating factors. In this study, we examined four potential moderators by using machine learning and natural language processing techniques to analyze 20,166 online reviews of hotels that had implemented service robots. We had four key findings. First, a positive service robot-satisfaction rating relationship was further enhanced by improved customer-service robot rapport during the service encounter. Second, higher customer effort focused on service robots in a review reduced the service robot-satisfaction rating relationship. Third, posting reviews using a mobile device (vs. other devices) showed higher satisfaction ratings. Finally, customers' prior experience in writing online reviews was unrelated to the service robot-satisfaction rating relationship. Taken together, these results suggest that service robots should be designed to be interactive and encourage customers to build rapport, for example, by service robots engaging in conversational flows. Moreover, customers should be nudged to use their mobile devices to post timely reviews on their positive human-robot interactions.</t>
  </si>
  <si>
    <t>[Borghi, Matteo; Mariani, Marcello M.; Vega, Rodrigo P.] Univ Reading, Henley Business Sch, Reading RG6 6UD, England; [Mariani, Marcello M.] Univ Bologna, Bologna, Italy; [Wirtz, Jochen] Natl Univ Singapore, NUS Business Sch, Grad Studies, Singapore, Singapore</t>
  </si>
  <si>
    <t>University of Reading; University of Bologna; National University of Singapore</t>
  </si>
  <si>
    <t>Mariani, MM (corresponding author), Univ Reading, Henley Business Sch, Reading RG6 6UD, England.</t>
  </si>
  <si>
    <t>m.mariani@henley.ac.uk</t>
  </si>
  <si>
    <t>Perez Vega, Rodrigo/0000-0003-1619-317X; MARIANI, MARCELLO/0000-0002-7916-2576</t>
  </si>
  <si>
    <t>The authors acknowledge the participants in the AIRSI2022 conference and in the 12th SERVSIG 2022 conference for precious developmental feedback. The authors are grateful to three colleagues for their advice on earlier versions of the paper and to Emma Lan; European Union</t>
  </si>
  <si>
    <t>The authors acknowledge the participants in the AIRSI2022 conference and in the 12th SERVSIG 2022 conference for precious developmental feedback. The authors are grateful to three colleagues for their advice on earlier versions of the paper and to Emma Lan; European Union(European Union (EU))</t>
  </si>
  <si>
    <t>The authors acknowledge the participants in the AIRSI2022 conference and in the 12th SERVSIG 2022 conference for precious developmental feedback. The authors are grateful to three colleagues for their advice on earlier versions of the paper and to Emma Lang and Kathryn Pilgrem for their assistance with professional copyediting and design. Marcello Mariani acknowledges funding from the project &amp; quot;Online environmental discourse in hospitality and tourism services (OnVIRONMENT)&amp; quot; funded by the European Union in the framework of NextGenerationEU.</t>
  </si>
  <si>
    <t>0742-6046</t>
  </si>
  <si>
    <t>1520-6793</t>
  </si>
  <si>
    <t>PSYCHOL MARKET</t>
  </si>
  <si>
    <t>Psychol. Mark.</t>
  </si>
  <si>
    <t>2023 SEP 16</t>
  </si>
  <si>
    <t>10.1002/mar.21903</t>
  </si>
  <si>
    <t>Business; Psychology, Applied</t>
  </si>
  <si>
    <t>Business &amp; Economics; Psychology</t>
  </si>
  <si>
    <t>R7KR3</t>
  </si>
  <si>
    <t>WOS:001066111300001</t>
  </si>
  <si>
    <t>Goins, M</t>
  </si>
  <si>
    <t>Goins, Mitchell</t>
  </si>
  <si>
    <t>Equipping faculty to support multilingual learners in higher education: An online course model for faculty professional development</t>
  </si>
  <si>
    <t>TESOL JOURNAL</t>
  </si>
  <si>
    <t>[Goins, Mitchell] Malcolm X Coll, Chicago, IL 60612 USA</t>
  </si>
  <si>
    <t>Goins, M (corresponding author), Malcolm X Coll, Chicago, IL 60612 USA.</t>
  </si>
  <si>
    <t>mgoins2@ccc.edu</t>
  </si>
  <si>
    <t>1056-7941</t>
  </si>
  <si>
    <t>1949-3533</t>
  </si>
  <si>
    <t>TESOL J</t>
  </si>
  <si>
    <t>TESOL J.</t>
  </si>
  <si>
    <t>e760</t>
  </si>
  <si>
    <t>10.1002/tesj.760</t>
  </si>
  <si>
    <t>S1GO4</t>
  </si>
  <si>
    <t>WOS:001068723700001</t>
  </si>
  <si>
    <t>Kim, M; Hong, KT; Park, HJ; Kim, BK; Lee, YJ; Choi, JY; Choi, YH; Park, SH; Kim, HS; Kang, HJ</t>
  </si>
  <si>
    <t>Kim, Minji; Hong, Kyung Taek; Park, Hyun Jin; Kim, Bo Kyung; Lee, Yun Jeong; Choi, Jung Yoon; Choi, Young Hun; Park, Sung-Hye; Kim, Han-Soo; Kang, Hyoung Jin</t>
  </si>
  <si>
    <t>Use of larotrectinib in a pediatric patient with NTRK-rearranged spindle cell neoplasm and subsequent recurring bone fracture</t>
  </si>
  <si>
    <t>PEDIATRIC BLOOD &amp; CANCER</t>
  </si>
  <si>
    <t>Letter; Early Access</t>
  </si>
  <si>
    <t>SOLID TUMORS</t>
  </si>
  <si>
    <t>[Kim, Minji; Hong, Kyung Taek; Park, Hyun Jin; Kim, Bo Kyung; Lee, Yun Jeong; Choi, Jung Yoon; Kang, Hyoung Jin] Seoul Natl Univ, Childrens Hosp, Dept Pediat, Coll Med, Seoul, South Korea; [Hong, Kyung Taek; Park, Hyun Jin; Choi, Jung Yoon; Kang, Hyoung Jin] Seoul Natl Univ, Canc Res Inst, Seoul, South Korea; [Choi, Jung Yoon] Seoul Natl Univ, Seoul Natl Univ Hosp, Dept Radiol, Coll Med, Seoul, South Korea; [Park, Sung-Hye] Seoul Natl Univ, Seoul Natl Univ Hosp, Coll Med, Dept Pathol, Seoul, South Korea; [Kim, Han-Soo] Seoul Natl Univ, Seoul Natl Univ Hosp, Dept Orthoped Surg, Coll Med, Seoul, South Korea; [Kang, Hyoung Jin] Wide River Inst Immunol, Hongcheon, South Korea</t>
  </si>
  <si>
    <t>Seoul National University (SNU); Seoul National University Hospital; Seoul National University (SNU); Seoul National University (SNU); Seoul National University Hospital; Seoul National University (SNU); Seoul National University Hospital; Seoul National University (SNU); Seoul National University Hospital</t>
  </si>
  <si>
    <t>Hong, KT (corresponding author), Seoul Natl Univ, Childrens Hosp, Dept Pediat, Coll Med, Seoul, South Korea.</t>
  </si>
  <si>
    <t>hongkt@snu.ac.kr</t>
  </si>
  <si>
    <t>1545-5009</t>
  </si>
  <si>
    <t>1545-5017</t>
  </si>
  <si>
    <t>PEDIATR BLOOD CANCER</t>
  </si>
  <si>
    <t>Pediatr. Blood Cancer</t>
  </si>
  <si>
    <t>10.1002/pbc.30679</t>
  </si>
  <si>
    <t>Oncology; Hematology; Pediatrics</t>
  </si>
  <si>
    <t>S1PQ1</t>
  </si>
  <si>
    <t>WOS:001068965000001</t>
  </si>
  <si>
    <t>Park, YW; Vollmuth, P; Foltyn-Dumitru, M; Sahm, F; Choi, KS; Park, JE; Ahn, SS; Chang, JH; Kim, SH</t>
  </si>
  <si>
    <t>Park, Yae Won; Vollmuth, Philipp; Foltyn-Dumitru, Martha; Sahm, Felix; Choi, Kyu Sung; Park, Ji Eun; Ahn, Sung Soo; Chang, Jong Hee; Kim, Se Hoon</t>
  </si>
  <si>
    <t>The 2021 WHO Classification for Gliomas and Implications on Imaging Diagnosis: Part 3-Summary of Imaging Findings on Glioneuronal and Neuronal Tumors</t>
  </si>
  <si>
    <t>central nervous system neoplasms; glioma; magnetic resonance imaging; World Health Organization</t>
  </si>
  <si>
    <t>CENTRAL-NERVOUS-SYSTEM; DYSEMBRYOPLASTIC NEUROEPITHELIAL TUMORS; LHERMITTE-DUCLOS DISEASE; PROTON MR SPECTROSCOPY; EXTRAVENTRICULAR NEUROCYTOMA; DIFFUSION; FEATURES; PERFUSION; GANGLIOGLIOMA; EXPRESSION</t>
  </si>
  <si>
    <t>The fifth edition of the World Health Organization classification of central nervous system tumors published in 2021 reflects the current transitional state between traditional classification system based on histopathology and the state-of-the-art molecular diagnostics. This Part 3 Review focuses on the molecular diagnostics and imaging findings of glioneuronal and neuronal tumors. Histological and molecular features in glioneuronal and neuronal tumors often overlap with pediatric-type diffuse low-grade gliomas and circumscribed astrocytic gliomas (discussed in the Part 2 Review). Due to this overlap, in several tumor types of glioneuronal and neuronal tumors the diagnosis may be inconclusive with histopathology and genetic alterations, and imaging features may be helpful to distinguish difficult cases. Thus, it is crucial for radiologists to understand the underlying molecular diagnostics as well as imaging findings for application on clinical practice.</t>
  </si>
  <si>
    <t>[Ahn, Sung Soo] 50-1 Yonsei Ro, Seoul 120752, South Korea; [Park, Yae Won; Ahn, Sung Soo] Yonsei Univ, Coll Med, Dept Radiol, Seoul, South Korea; [Park, Yae Won; Ahn, Sung Soo] Yonsei Univ, Coll Med, Res Inst Radiol Sci, Seoul, South Korea; [Park, Yae Won; Ahn, Sung Soo] Yonsei Univ, Coll Med, Ctr Clin Imaging Data Sci, Seoul, South Korea; [Vollmuth, Philipp; Foltyn-Dumitru, Martha] Heidelberg Univ, Coll Med, Dept Neuropathol, Heidelberg, Germany; [Sahm, Felix] Heidelberg Univ, Coll Med, Dept Neuropathol, Heidelberg, Germany; [Choi, Kyu Sung] Seoul Natl Univ Hosp, Dept Radiol, Seoul, South Korea; [Park, Ji Eun] Univ Ulsan, Coll Med, Dept Radiol, Seoul, South Korea; [Park, Ji Eun] Univ Ulsan, Coll Med, Res Inst Radiol, Seoul, South Korea; [Chang, Jong Hee] Yonsei Univ Coll, Dept Neurosurg, Seoul, South Korea; [Kim, Se Hoon] Yonsei Univ, Coll Med, Dept Pathol, Seoul, South Korea</t>
  </si>
  <si>
    <t>Yonsei University; Yonsei University Health System; Yonsei University; Yonsei University Health System; Yonsei University; Yonsei University Health System; Ruprecht Karls University Heidelberg; Ruprecht Karls University Heidelberg; Seoul National University (SNU); Seoul National University Hospital; University of Ulsan; University of Ulsan; Yonsei University; Yonsei University; Yonsei University Health System</t>
  </si>
  <si>
    <t>Ahn, SS (corresponding author), 50-1 Yonsei Ro, Seoul 120752, South Korea.</t>
  </si>
  <si>
    <t>sungsoo@yuhs.ac</t>
  </si>
  <si>
    <t>Ahn, Sung Soo/0000-0002-0503-5558</t>
  </si>
  <si>
    <t>Basic Science Research Program through the National Research Foundation of Korea (NRF) - Ministry of Science, Information and Communication Technologies amp; Future Planning; Ministry of Education [2020R1A2C1003886]; Ministry of Health amp; Welfare, Republic of Korea [2020R1I1A1A01071648]; Deutsche Forschungsgemeinschaft (the German Research Foundation) [HI21C1161]; 2177 Radiomics: Next Generation of Biomedical Imaging [404521405, 402688427, KI 2410/1-1]; Else Kroner Fresenius Foundation [MA 6340/18-1]; [2022_EKCS.17]</t>
  </si>
  <si>
    <t>Basic Science Research Program through the National Research Foundation of Korea (NRF) - Ministry of Science, Information and Communication Technologies amp; Future Planning; Ministry of Education; Ministry of Health amp; Welfare, Republic of Korea; Deutsche Forschungsgemeinschaft (the German Research Foundation)(German Research Foundation (DFG)); 2177 Radiomics: Next Generation of Biomedical Imaging; Else Kroner Fresenius Foundation;</t>
  </si>
  <si>
    <t>We would like to thank Professor Se Hoon Kim for his generous contribution of pathology slides to our manuscript and Henri Bogumil from Heidelberg University Hospital for providing rare tumor cases. We would also like to thank Yerim Moon for her graphical support. This research received funding from the Basic Science Research Program through the National Research Foundation of Korea (NRF) funded by the Ministry of Science, Information and Communication Technologies &amp; amp; Future Planning (2020R1A2C1003886); Ministry of Education (2020R1I1A1A01071648); Ministry of Health &amp; amp; Welfare, Republic of Korea (HI21C1161). Parts of this work were also funded by the Deutsche Forschungsgemeinschaft (the German Research Foundation; project identifier 404521405 [SFB 1389-UNITE Glioblastoma, Work Package C02] and project identifier 402688427 [Priority Programme 2177 Radiomics: Next Generation of Biomedical Imaging, KI 2410/1-1, MA 6340/18-1]). PV is partially funded through an Else Kroner Clinician Scientist Endowed Professorship by the &amp; nbsp;Else Kroner Fresenius Foundation (reference number: 2022_EKCS.17).</t>
  </si>
  <si>
    <t>10.1002/jmri.29016</t>
  </si>
  <si>
    <t>S1JW3</t>
  </si>
  <si>
    <t>WOS:001068810500001</t>
  </si>
  <si>
    <t>Tyagi, A; Bodh, P; Mohta, M; Gupta, B</t>
  </si>
  <si>
    <t>Tyagi, Asha; Bodh, Poonam; Mohta, Medha; Gupta, Bindiya</t>
  </si>
  <si>
    <t>Weight-based versus fixed dose oxytocin infusion for preventing uterine atony during cesarean section in laboring patients: A randomized trial</t>
  </si>
  <si>
    <t>cesarean; ED90; minimum effective dose; oxytocin</t>
  </si>
  <si>
    <t>DELIVERY; REQUIREMENTS; WOMEN</t>
  </si>
  <si>
    <t>ObjectiveWe compared efficacy of weight-based (0.4 IU/kg/h) versus fixed-dose (34 IU/h) oxytocin infusion during cesarean section.MethodsThe oxytocin infusion in either group (n = 32 each) was initiated upon cord clamping. Primary outcome measure was adequacy of uterine tone at 4 min after initiating oxytocin infusion. Oxytocin associated side effects were also observed.ResultsSignificantly less oxytocin was used with the weight-based versus fixed-dose regimen (16.3 [11.2-22.4] IU vs 20.4 [15.8-26.9] IU; P = 0.036). Incidence of adequate uterine tone was clinically greater but not significantly different with the weight-based versus fixed-dose regimen (81.3% vs 71.9%; P = 0.376). The weight-based regimen was associated with clinically lesser, although not statistically significant need for rescue oxytocin (25% vs 46.9%; P = 0.068) and additional uterotonic (9.4% vs 15.6%; P = 0.708); as well as oxytocin associated side effects (hypotension [34.4% vs 46.9%; P = 0.309], nausea/vomiting [18.8% vs 40.6%; P = 0.055], and ST-T changes [0% vs 3.1%; P = 1.000]).ConclusionWeight-based oxytocin was not significantly different from the fixed-dose regimen in terms of uterotonic efficacy or associated side-effects, despite significantly lower doses being used. Use of weight-based oxytocin infusion (0.4 IU/kg/h) can be considered in clinical practice.Trial RegistrationClinical Trial Registry of India (, number. CTRI/2021/01/030642). Using weight-based oxytocin infusion results in significant reduction in dose (P = 0.036), while achieving a similar incidence of adequate uterine tone during cesarean section.</t>
  </si>
  <si>
    <t>[Tyagi, Asha; Bodh, Poonam; Mohta, Medha] Univ Coll Med Sci, Dept Anesthesiol &amp; Crit Care, Delhi 110095, India; [Tyagi, Asha; Bodh, Poonam; Mohta, Medha; Gupta, Bindiya] GTB Hosp, Delhi 110095, India; [Gupta, Bindiya] Univ Coll Med Sci, Dept Obstet &amp; Gynecol, Delhi, India</t>
  </si>
  <si>
    <t>University of Delhi; University College of Medical Sciences; University of Delhi; University College of Medical Sciences; University of Delhi; University College of Medical Sciences</t>
  </si>
  <si>
    <t>Tyagi, A (corresponding author), Univ Coll Med Sci, Dept Anesthesiol &amp; Crit Care, Delhi 110095, India.;Tyagi, A (corresponding author), GTB Hosp, Delhi 110095, India.</t>
  </si>
  <si>
    <t>drashatyagi@gmail.com</t>
  </si>
  <si>
    <t>TYAGI, ASHA/0000-0001-5331-6832</t>
  </si>
  <si>
    <t>10.1002/ijgo.15138</t>
  </si>
  <si>
    <t>R8JI2</t>
  </si>
  <si>
    <t>WOS:001066760100001</t>
  </si>
  <si>
    <t>Yoshimura, S; Nakatani, Y; Kaseno, K; Nakamura, K; Naito, S</t>
  </si>
  <si>
    <t>Yoshimura, Shingo; Nakatani, Yosuke; Kaseno, Kenichi; Nakamura, Kohki; Naito, Shigeto</t>
  </si>
  <si>
    <t>A-V-V-A response to single atrial premature depolarization in a narrow QRS tachycardia: What is the mechanism?</t>
  </si>
  <si>
    <t>JOURNAL OF ARRHYTHMIA</t>
  </si>
  <si>
    <t>atrioventricular nodal reentrant tachycardia; double ventricular response; junctional ectopic tachycardia; narrow QRS tachycardia; upper common pathway</t>
  </si>
  <si>
    <t>[Yoshimura, Shingo; Nakatani, Yosuke; Kaseno, Kenichi; Nakamura, Kohki; Naito, Shigeto] Gunma Prefectural Cardiovasc Ctr, Div Cardiol, 3-12 Kameizumi Machi, Maebashi, Gunma 3710004, Japan</t>
  </si>
  <si>
    <t>Yoshimura, S (corresponding author), Gunma Prefectural Cardiovasc Ctr, Div Cardiol, 3-12 Kameizumi Machi, Maebashi, Gunma 3710004, Japan.</t>
  </si>
  <si>
    <t>me17093@yahoo.co.jp</t>
  </si>
  <si>
    <t>1880-4276</t>
  </si>
  <si>
    <t>1883-2148</t>
  </si>
  <si>
    <t>J ARRYTHM</t>
  </si>
  <si>
    <t>J. Arrythm.</t>
  </si>
  <si>
    <t>10.1002/joa3.12924</t>
  </si>
  <si>
    <t>R8KL3</t>
  </si>
  <si>
    <t>WOS:001066789600001</t>
  </si>
  <si>
    <t>Zheng, YP; Yang, BW; Sarem, M</t>
  </si>
  <si>
    <t>Zheng, Yunping; Yang, Bowen; Sarem, Mudar</t>
  </si>
  <si>
    <t>FNRegion: A fast NAM-based region extraction algorithm</t>
  </si>
  <si>
    <t>IET IMAGE PROCESSING</t>
  </si>
  <si>
    <t>image processing; image representation</t>
  </si>
  <si>
    <t>Region extraction is usually used by many computer vision tasks as a pre-processing step to extract image features. However, how to efficiently extract effective regions remains a challenging problem. In this paper, inspired by the non-symmetry and anti-packing pattern representation model (NAM) and the FatRegion algorithm, a fast NAM-based region extraction algorithm which is called FNRegion is proposed. A NAM-based homogeneous block generation algorithm is first presented to represent an image as a combination of multiple homogeneous blocks, each of which is a square region with visually indistinguishable intra-region colour difference. Then, these homogeneous blocks are merged into larger regions according to their colour and shape information. To group these regions into larger ones in order to progressively build a region tree, a distance function is defined using variety of regional information to measure the distance between adjacent regions. Also, a multi-feature region merging algorithm with linear complexity both in time and space is presented.The proposed algorithm has been evaluated on multiple public datasets in comparison with the state-of-the-art region extraction algorithms. The experimental results show that in the case of almost the same or even less running time as other fast region extraction algorithms, the proposed algorithm is able to extract higher-quality regions. In this paper, inspired by the non-symmetry and anti-packing pattern representation model (NAM) and the FatRegion algorithm, a fast NAM-based region extraction algorithm which is called FNRegion is proposed. A NAM-based homogeneous block generation algorithm is first presented to represent an image as a combination of multiple homogeneous blocks, each of which is a square region with visually indistinguishable intra-region colour difference. Then, these homogeneous blocks are merged into larger regions according to their colour and shape information. To group these regions into larger ones in order to progressively build a region tree, a distance function is defined using variety of regional information to measure the distance between adjacent regions. Also, a multi-feature region merging algorithm with linear complexity both in time and space is presented. image</t>
  </si>
  <si>
    <t>[Zheng, Yunping; Yang, Bowen] South China Univ Technol, Sch Comp Sci &amp; Engn, Guangzhou 510006, Peoples R China; [Sarem, Mudar] Gen Org Remote Sensing GORS, Damascus, Syria</t>
  </si>
  <si>
    <t>South China University of Technology</t>
  </si>
  <si>
    <t>Yang, BW (corresponding author), South China Univ Technol, Sch Comp Sci &amp; Engn, Guangzhou 510006, Peoples R China.</t>
  </si>
  <si>
    <t>toumayou@qq.com</t>
  </si>
  <si>
    <t>Natural Science Foundation of Guangdong Province of China [2017A030313349, 2021A1515011517, 2023A1515011288]; National Natural Science Foundation of China [61300134]</t>
  </si>
  <si>
    <t>Natural Science Foundation of Guangdong Province of China(National Natural Science Foundation of Guangdong Province); National Natural Science Foundation of China(National Natural Science Foundation of China (NSFC))</t>
  </si>
  <si>
    <t>Natural Science Foundation of Guangdong Province of China, Grant/Award Numbers: 2017A030313349, 2021A1515011517, 2023A1515011288; National Natural Science Foundation of China, Grant/Award Number: 61300134</t>
  </si>
  <si>
    <t>1751-9659</t>
  </si>
  <si>
    <t>1751-9667</t>
  </si>
  <si>
    <t>IET IMAGE PROCESS</t>
  </si>
  <si>
    <t>IET Image Process.</t>
  </si>
  <si>
    <t>10.1049/ipr2.12919</t>
  </si>
  <si>
    <t>Computer Science, Artificial Intelligence; Engineering, Electrical &amp; Electronic; Imaging Science &amp; Photographic Technology</t>
  </si>
  <si>
    <t>Computer Science; Engineering; Imaging Science &amp; Photographic Technology</t>
  </si>
  <si>
    <t>R7JP4</t>
  </si>
  <si>
    <t>WOS:001066083200001</t>
  </si>
  <si>
    <t>Zhu, XY; Hu, KQ; Cheng, HR; Wu, H; Li, KK; Gao, Y; Lv, MR; Xu, C; Geng, H; Shen, QS; Cao, YX; He, XJ; Tang, DD; Guo, R</t>
  </si>
  <si>
    <t>Zhu, Xiaoyu; Hu, Kaiqin; Cheng, Huiru; Wu, Huan; Li, Kuokuo; Gao, Yang; Lv, Mingrong; Xu, Chuan; Geng, Hao; Shen, Qunshan; Cao, Yunxia; He, Xiaojin; Tang, Dongdong; Guo, Rui</t>
  </si>
  <si>
    <t>Novel MEIOB pathogenic variants including a homozygous non-canonical splicing variant, cause meiotic arrest and human non-obstructive azoospermia</t>
  </si>
  <si>
    <t>CLINICAL GENETICS</t>
  </si>
  <si>
    <t>MEIOB-SPATA22 interaction; meiosis; meiosis-specific with OB-fold (MEIOB); non-canonical splicing variant; non-obstructive azoospermia (NOA)</t>
  </si>
  <si>
    <t>Non-obstructive azoospermia (NOA) is the most severe form of human male infertility, and the genetic causes of NOA with meiotic arrest remain largely unclear. In this study, we identified novel compound heterozygous MEIOB variants (c.814C &gt; T: p.R272X and c.976G &gt; A: p.A326T) and a previously undescribed homozygous non-canonical splicing variant of MEIOB (c.528 + 3A &gt; C) in two NOA-affected individuals from two irrelevant Chinese families. MEIOB missense variant (p.A326T) significantly reduced protein abundance and nonsense variant (p.R272X) produced a truncated protein. Both of two variants impaired the MEIOB-SPATA22 interaction. The MEIOB non-canonical splicing variant resulted in whole Exon 6 skipping by minigene assay, which was predicted to produce a frameshift truncated protein (p.S111Rfs*32). Histological and immunostaining analysis indicated that both patients exhibited a similar phenotype as we previously reported in Meiob mutant mice, that is, absence of spermatids in seminiferous tubules and meiotic arrest. Our study identified three novel pathogenic variants of MEIOB in NOA patients, extending the mutation spectrum of the MEIOB and highlighting the contribution of meiotic recombination related genes in human fertility.</t>
  </si>
  <si>
    <t>[Zhu, Xiaoyu; Hu, Kaiqin; Cheng, Huiru; Wu, Huan; Li, Kuokuo; Gao, Yang; Lv, Mingrong; Xu, Chuan; Geng, Hao; Shen, Qunshan; Cao, Yunxia; He, Xiaojin; Tang, Dongdong; Guo, Rui] Anhui Med Univ, Affiliated Hosp 1, Dept Obstet &amp; Gynecol, Hefei, Anhui, Peoples R China; [Zhu, Xiaoyu; Hu, Kaiqin; Cheng, Huiru; Wu, Huan; Li, Kuokuo; Gao, Yang; Lv, Mingrong; Xu, Chuan; Geng, Hao; Shen, Qunshan; Cao, Yunxia; He, Xiaojin; Tang, Dongdong; Guo, Rui] Anhui Med Univ, NHC Key Lab Study Abnormal Gametes &amp; Reprod Tract, Hefei, Anhui, Peoples R China; [Zhu, Xiaoyu; Hu, Kaiqin; Cheng, Huiru; Gao, Yang; Lv, Mingrong; Geng, Hao; Cao, Yunxia; Guo, Rui] Anhui Med Univ, Key Lab Populat Hlth Life Cycle, Minist Educ Peoples Republ China, Hefei, Anhui, Peoples R China; [Wu, Huan; Li, Kuokuo; Lv, Mingrong; Xu, Chuan; Geng, Hao; Tang, Dongdong] Anhui Prov Key Lab Reprod Hlth &amp; Genet, Hefei, Anhui, Peoples R China; [Wu, Huan; Li, Kuokuo; Lv, Mingrong; Xu, Chuan; Geng, Hao; Tang, Dongdong] Anhui Prov Engn Res Ctr Biopreservat &amp; Artificial, Hefei, Anhui, Peoples R China; [Shen, Qunshan; He, Xiaojin] Anhui Med Univ, Affiliated Hosp 1, Anhui Prov Human Sperm Bank, Hefei, Anhui, Peoples R China</t>
  </si>
  <si>
    <t>Anhui Medical University; Anhui Medical University; Ministry of Education, China; Anhui Medical University; Anhui Medical University</t>
  </si>
  <si>
    <t>Tang, DD; Guo, R (corresponding author), Anhui Med Univ, Affiliated Hosp 1, Dept Obstet &amp; Gynecol, Hefei, Anhui, Peoples R China.</t>
  </si>
  <si>
    <t>15856389914@163.com; gr9325820@163.com</t>
  </si>
  <si>
    <t>Wu, Huan/0000-0002-0009-3839; Gao, Yang/0000-0002-9068-9993</t>
  </si>
  <si>
    <t>The authors thank all the patients, their family members and the control patients for participating in this study.</t>
  </si>
  <si>
    <t>0009-9163</t>
  </si>
  <si>
    <t>1399-0004</t>
  </si>
  <si>
    <t>CLIN GENET</t>
  </si>
  <si>
    <t>Clin. Genet.</t>
  </si>
  <si>
    <t>10.1111/cge.14426</t>
  </si>
  <si>
    <t>R9UO7</t>
  </si>
  <si>
    <t>WOS:001067731200001</t>
  </si>
  <si>
    <t>Benaglia, C; Aromolo, IF; Giacalone, S; Morini, N; Zussino, M; Di Benedetto, A; Marzano, AV; Ferrucci, SM</t>
  </si>
  <si>
    <t>Benaglia, Chiara; Aromolo, Italo F.; Giacalone, Serena; Morini, Nicole; Zussino, Martina; Di Benedetto, Alessandra; Marzano, Angelo V.; Ferrucci, Silvia M.</t>
  </si>
  <si>
    <t>Eczema herpeticum and herpetic keratitis after the loading dose of dupilumab in a worsening atopic dermatitis: causality?</t>
  </si>
  <si>
    <t>INTERNATIONAL JOURNAL OF DERMATOLOGY</t>
  </si>
  <si>
    <t>[Benaglia, Chiara; Aromolo, Italo F.; Giacalone, Serena; Morini, Nicole; Zussino, Martina; Di Benedetto, Alessandra; Marzano, Angelo V.; Ferrucci, Silvia M.] Fdn IRCCS Ca Granda Osped Maggiore Policlin, Dermatol Unit, Milan, Italy; [Benaglia, Chiara; Aromolo, Italo F.; Giacalone, Serena; Morini, Nicole; Marzano, Angelo V.] Univ Milan, Dept Pathophysiol &amp; Transplantat, Milan, Italy</t>
  </si>
  <si>
    <t>IRCCS Ca Granda Ospedale Maggiore Policlinico; University of Milan</t>
  </si>
  <si>
    <t>Morini, N (corresponding author), Fdn IRCCS Ca Granda Osped Maggiore Policlin, Dermatol Unit, Milan, Italy.;Morini, N (corresponding author), Univ Milan, Dept Pathophysiol &amp; Transplantat, Milan, Italy.</t>
  </si>
  <si>
    <t>nicole.morini@unimi.it</t>
  </si>
  <si>
    <t>Benaglia, Chiara/0000-0003-0279-277X; Aromolo, Italo Francesco/0000-0003-0996-6963</t>
  </si>
  <si>
    <t>Written informed consent was obtained from the patient for publication of this report and accompanying images.</t>
  </si>
  <si>
    <t>0011-9059</t>
  </si>
  <si>
    <t>1365-4632</t>
  </si>
  <si>
    <t>INT J DERMATOL</t>
  </si>
  <si>
    <t>Int. J. Dermatol.</t>
  </si>
  <si>
    <t>2023 SEP 15</t>
  </si>
  <si>
    <t>10.1111/ijd.16827</t>
  </si>
  <si>
    <t>R9LE8</t>
  </si>
  <si>
    <t>WOS:001067486900001</t>
  </si>
  <si>
    <t>Cannarella, R; Condorelli, RA; Leanza, C; Garofalo, V; Aversa, A; Papa, G; Calogero, AE; La Vignera, S</t>
  </si>
  <si>
    <t>Cannarella, Rossella; Condorelli, Rosita A.; Leanza, Claudia; Garofalo, Vincenzo; Aversa, Antonio; Papa, Giuseppe; Calogero, Aldo E.; La Vignera, Sandro</t>
  </si>
  <si>
    <t>Dapagliflozin improves erectile dysfunction in patients with type 2 diabetes mellitus: An open-label, non-randomized pilot study</t>
  </si>
  <si>
    <t>DIABETIC MEDICINE</t>
  </si>
  <si>
    <t>dapagliflozin; erectile dysfunction; SGLT2i; T2DM; tadalafil</t>
  </si>
  <si>
    <t>Introduction: The role of dapagliflozin on erectile dysfunction (ED), a condition widely affecting patients with type 2 diabetes mellitus (T2DM), has not yet been studied.Aim: The aim of the study was to evaluate the effects of dapagliflozin alone or in combination with tadalafil on ED in patients with T2DM.Methods: This was an open-label, non-randomized pilot study involving 30 Caucasian male patients with T2DM and severe ED. They were equally divided into three groups, assigned to treatment with tadalafil 5 mg/day (Group 1), tadalafil 5 mg/day plus dapagliflozin 10 mg/day (Group 2) and dapagliflozin 10 mg/day (Group 3) for 3 months. The presence and the severity of ED were evaluated at enrolment and after treatment, by the International Index of Erectile Function 5-item (IIEF-5) questionnaire and the dynamic penile echo colour Doppler ultrasound (PCDU) examination.Results: At the end of treatment, the three groups showed a significant improvement in IIEF-5 score, by 294%, 375% and 197%, in Groups 1, 2 and 3, respectively. PCDU evaluation showed a significant increase in peak systolic velocity by 178.9%, 339% and 153%; acceleration time was significantly shortened in Group 2 (-26.2%) and was significantly lower than in Group 1 and 3 (-7.2% and -6.6%), while no significant difference was found in end-diastolic velocity after treatment. The greatest rates of improvement were observed in Group 2 for all the end points.Conclusions: Dapagliflozin improves ED in patients with T2DM and enhances the efficacy of tadalafil. Further studies are needed to confirm our results explain the mechanism(s) by which dapagliflozin exerts its effects on ED.</t>
  </si>
  <si>
    <t>[Cannarella, Rossella; Condorelli, Rosita A.; Leanza, Claudia; Garofalo, Vincenzo; Calogero, Aldo E.; La Vignera, Sandro] Univ Catania, Dept Clin &amp; Expt Med, Catania, Italy; [Cannarella, Rossella] Cleveland Clin Fdn, Glickman Urol &amp; Kidney Inst, Cleveland, OH USA; [Aversa, Antonio] Magna Graecia Univ Catanzaro, Dept Expt &amp; Clin Med, Catanzaro, Italy; [Papa, Giuseppe] Ctr Catanese Med &amp; Chirurg Clin, Unit Metab &amp; Endocrine Dis, Catania, Italy; [Cannarella, Rossella] Univ Catania, Dept Clin &amp; Expt Med, Via S Sofia 78, I-95123 Catania, Italy</t>
  </si>
  <si>
    <t>University of Catania; Cleveland Clinic Foundation; Magna Graecia University of Catanzaro; University of Catania</t>
  </si>
  <si>
    <t>Cannarella, R (corresponding author), Univ Catania, Dept Clin &amp; Expt Med, Via S Sofia 78, I-95123 Catania, Italy.</t>
  </si>
  <si>
    <t>rossella.cannarella@phd.unict.it</t>
  </si>
  <si>
    <t>0742-3071</t>
  </si>
  <si>
    <t>1464-5491</t>
  </si>
  <si>
    <t>DIABETIC MED</t>
  </si>
  <si>
    <t>Diabetic Med.</t>
  </si>
  <si>
    <t>e15217</t>
  </si>
  <si>
    <t>10.1111/dme.15217</t>
  </si>
  <si>
    <t>S1DN0</t>
  </si>
  <si>
    <t>WOS:001068642900001</t>
  </si>
  <si>
    <t>Cao, J; Mou, T; Mei, BB; Yao, PF; Han, C; Gong, X; Song, P; Jiang, Z; Frauenheim, T; Xiao, JP; Xu, WL</t>
  </si>
  <si>
    <t>Cao, Jing; Mou, Tong; Mei, Bingbao; Yao, Pengfei; Han, Ce; Gong, Xue; Song, Ping; Jiang, Zheng; Frauenheim, Thomas; Xiao, Jianping; Xu, Weilin</t>
  </si>
  <si>
    <t>Improved Electrocatalytic Activity and Stability by Single Iridium Atoms on Iron-based Layered Double Hydroxides for Oxygen Evolution</t>
  </si>
  <si>
    <t>Activity; Fe Based on LDH; OER; Single Atom Iridium Catalysts; Stability</t>
  </si>
  <si>
    <t>Full understanding to the origin of the catalytic performance of a supported nanocatalyst from the points of view of both the active component and support is significant for the achievement of high performance. Herein, based on a model electrocatalyst of single-iridium-atom-doped iron (Fe)-based layered double hydroxides (LDH) for oxygen evolution reaction (OER), we reveal the first completed origin of the catalytic performance of such supported nanocatalysts. Specially, besides the activity enhancement of Ir sites by LDH support, the stability of surface Fe sites is enhanced by doped Ir sites: DFT calculation shows that the Ir sites can reduce the activity and enhance the stability of the nearby Fe sites; while further finite element simulations indicate, the stability enhancement of distant Fe sites could be attributed to the much low concentration of OER reactant (hydroxyl ions, OH-) around them induced by the much fast consumption of OH- on highly active Ir sites. These new findings about the interaction between the main active components and supports are applicable in principle to other heterogeneous nanocatalysts and provide a completed understanding to the catalytic performance of heterogeneous nanocatalysts. The completed origin of the catalytic performance of Ir/CoFe-LDH for OER from the points of view of both the active center and the support.image</t>
  </si>
  <si>
    <t>[Cao, Jing; Yao, Pengfei; Han, Ce; Gong, Xue; Song, Ping; Xu, Weilin] Chinese Acad Sci, State Key Lab Electroanalyt Chem, Changchun 130022, Peoples R China; [Cao, Jing; Yao, Pengfei; Han, Ce; Gong, Xue; Song, Ping; Xu, Weilin] Chinese Acad Sci, Changchun Inst Appl Chem, Jilin Prov Key Lab Low Carbon Chem Power, Changchun 130022, Peoples R China; [Cao, Jing; Yao, Pengfei; Han, Ce; Gong, Xue; Song, Ping; Xu, Weilin] Univ Sci &amp; Technol China, Hefei 230026, Anhui, Peoples R China; [Mou, Tong; Xiao, Jianping] Chinese Acad Sci, Dalian Inst Chem Phys, State Key Lab Catalysis, Dalian Natl Lab Clean Energy, Dalian 116023, Peoples R China; [Mei, Bingbao] Chinese Acad Sci, Shanghai Adv Res Inst, Shanghai Synchrotron Radiat Facil, Shanghai 201800, Peoples R China; [Jiang, Zheng] Univ Sci &amp; Technol China, Natl Synchrotron Radiat Lab, Hefei 230026, Peoples R China; [Frauenheim, Thomas] Shenzhen JL Computat &amp; Appl Res Inst, Shenzhen 518131, Peoples R China; [Frauenheim, Thomas] Univ Bremen, Bremen Ctr Computat Mat Sci, D-28359 Bremen, Germany; [Mou, Tong; Frauenheim, Thomas; Xiao, Jianping] Beijing Computat Sci Res Ctr, Beijing 100193, Peoples R China</t>
  </si>
  <si>
    <t>Chinese Academy of Sciences; Chinese Academy of Sciences; Changchun Institute of Applied Chemistry, CAS; Chinese Academy of Sciences; University of Science &amp; Technology of China, CAS; Chinese Academy of Sciences; Dalian Institute of Chemical Physics, CAS; State Key Laboratory of Catalysis, CAS; Chinese Academy of Sciences; Shanghai Advanced Research Institute, CAS; Chinese Academy of Sciences; University of Science &amp; Technology of China, CAS; University of Bremen; Chinese Academy of Engineering Physics; Beijing Computational Science Research Center (CSRC)</t>
  </si>
  <si>
    <t>Xu, WL (corresponding author), Chinese Acad Sci, State Key Lab Electroanalyt Chem, Changchun 130022, Peoples R China.;Xu, WL (corresponding author), Chinese Acad Sci, Changchun Inst Appl Chem, Jilin Prov Key Lab Low Carbon Chem Power, Changchun 130022, Peoples R China.;Xu, WL (corresponding author), Univ Sci &amp; Technol China, Hefei 230026, Anhui, Peoples R China.;Xiao, JP (corresponding author), Chinese Acad Sci, Dalian Inst Chem Phys, State Key Lab Catalysis, Dalian Natl Lab Clean Energy, Dalian 116023, Peoples R China.;Frauenheim, T (corresponding author), Shenzhen JL Computat &amp; Appl Res Inst, Shenzhen 518131, Peoples R China.;Frauenheim, T (corresponding author), Univ Bremen, Bremen Ctr Computat Mat Sci, D-28359 Bremen, Germany.;Frauenheim, T; Xiao, JP (corresponding author), Beijing Computat Sci Res Ctr, Beijing 100193, Peoples R China.</t>
  </si>
  <si>
    <t>thomas.frauenheim@bccms.unibremen.de; xiao@dicp.ac.cn; weilinxu@ciac.ac.cn</t>
  </si>
  <si>
    <t>National Natural Science Foundation of China [21925205, 22072145, 22102172, 22005294, 21721003, 22172156, 91945302]; Key Research and Development Program - Ministry of Science and Technology (MOST) [2022YFA1203400, 2018YFB1502302]; National Key Research and Development Program of China [2021YFA1500702]; DNL Cooperation Fund, CAS [DNL202003]; Liao Ning Revitalization Talents program [XLYC1907099]; Strategic Priority Research Program of the Chinese Academy of Sciences [XDB36030200]</t>
  </si>
  <si>
    <t>National Natural Science Foundation of China(National Natural Science Foundation of China (NSFC)); Key Research and Development Program - Ministry of Science and Technology (MOST); National Key Research and Development Program of China; DNL Cooperation Fund, CAS; Liao Ning Revitalization Talents program; Strategic Priority Research Program of the Chinese Academy of Sciences(Chinese Academy of Sciences)</t>
  </si>
  <si>
    <t>We acknowledge support from the National Natural Science Foundation of China (No. 21925205, 22072145,22102172, 22005294, 21721003), and the Key Research and Development Program sponsored by the Ministry of Science and Technology (MOST) (No.2022YFA1203400, 2018YFB1502302); J.X. acknowledges the support of the National Key Research and Development Program of China (No. 2021YFA1500702), the National Natural Science Foundation of China (No. 22172156, 91945302), the DNL Cooperation Fund, CAS (DNL202003), Liao Ning Revitalization Talents program (No. XLYC1907099), and Strategic Priority Research Program of the Chinese Academy of Sciences (No. XDB36030200).</t>
  </si>
  <si>
    <t>10.1002/anie.202310973</t>
  </si>
  <si>
    <t>R6PI1</t>
  </si>
  <si>
    <t>WOS:001065551600001</t>
  </si>
  <si>
    <t>Charry, K; Poncin, I; Kullak, A; Hollebeek, LD</t>
  </si>
  <si>
    <t>Charry, Karine; Poncin, Ingrid; Kullak, Avreliane; Hollebeek, Linda D.</t>
  </si>
  <si>
    <t>Gamification &amp; apos;s role in fostering user engagement with healthy food-based digital content</t>
  </si>
  <si>
    <t>challenge; engagement; experience; gamification; healthy food; mobile apps; state of change</t>
  </si>
  <si>
    <t>CUSTOMER ENGAGEMENT; CONSUMER ENGAGEMENT; FUNDAMENTAL PROPOSITIONS; BRAND ENGAGEMENT; SOCIAL-INFLUENCE; EXPERIENCE; SCALE; MOOD; BEHAVIOR; OUTCOMES</t>
  </si>
  <si>
    <t>Though digital platforms (e.g., social media) are often used to promote unhealthy, calorie-dense foods, the dynamics characterizing consumers' engagement with healthy nutrition-based content (e.g., as stimulated trough gamification) on these platforms remains tenuous, warranting further exploration. Addressing this gap, we deploy a qualitative field study and two experiments to show that challenge, a gamification mechanic that relies on rewarding incremental behavioral (e.g., food choice) improvements, shapes consumers' enjoyment of, and engagement with, digital healthy food-based content. Study 1 (n = 95) shows that challenge induces consumer enjoyment, boosting their engagement with healthy food-related digital content. Study 2 (n = 94) corroborates these findings by revealing a serial mediation effect of gamification-based challenge on consumers' enjoyment of, and engagement with, healthy food-based content. Extending Study 1, we also identify engagement's positive effect on consumers' app reuse intent. Moreover, we identify a moderating role of consumers' stage of change-based action (i.e., readiness to act on their health), which strengthens the association of gamification-based challenge/enjoyment. Overall, the findings substantiate gamification's role in boosting consumers' engagement with digital healthy food-based content. We conclude by deriving pertinent implications from our analyses.</t>
  </si>
  <si>
    <t>[Charry, Karine; Poncin, Ingrid; Kullak, Avreliane] UCLouvain, LSM, LouRIM, 151 Chaussee Binche, B-7000 Mons, Belgium; [Hollebeek, Linda D.] Tallinn Univ Technol, Dept Business Adm, Tallinn, Estonia; [Hollebeek, Linda D.] Vilnius Univ, Dept Mkt, Vilnius, Lithuania; [Hollebeek, Linda D.] Umea Univ, Dept Business Adm, Umea, Sweden; [Hollebeek, Linda D.] Lund Univ, Dept Business Adm, Lund, Sweden; [Hollebeek, Linda D.] Univ Johannesburg, Dept Mkt Management, Johannesburg, South Africa</t>
  </si>
  <si>
    <t>Tallinn University of Technology; Vilnius University; Umea University; Lund University; University of Johannesburg</t>
  </si>
  <si>
    <t>Poncin, I (corresponding author), UCLouvain, LSM, LouRIM, 151 Chaussee Binche, B-7000 Mons, Belgium.</t>
  </si>
  <si>
    <t>ingrid.poncin@uclouvain.be</t>
  </si>
  <si>
    <t>This research was partly supported by the Partenamut IPM Digital Marketing Chair (Belgium). We are grateful for the help of Masteramp;apos;s students Audrey Dominicus and Julien Devroede in collecting data for Studies 2.; Partenamut IPM Digital Marketing Chair (Belgium)</t>
  </si>
  <si>
    <t>This research was partly supported by the Partenamut IPM Digital Marketing Chair (Belgium). We are grateful for the help of Master &amp; apos;s students Audrey Dominicus and Julien Devroede in collecting data for Studies 2.</t>
  </si>
  <si>
    <t>10.1002/mar.21892</t>
  </si>
  <si>
    <t>R9HN8</t>
  </si>
  <si>
    <t>WOS:001067391400001</t>
  </si>
  <si>
    <t>De, S; Ranjan, P; Chaurasia, V; Pal, S; Pal, S; Pandey, P; Bera, JK</t>
  </si>
  <si>
    <t>De, Subhabrata; Ranjan, Prabodh; Chaurasia, Vishal; Pal, Sourav; Pal, Saikat; Pandey, Pragati; Bera, Jitendra K.</t>
  </si>
  <si>
    <t>Synchronous Proton-Hydride Transfer by a Pyrazole-Functionalized Protic Mn(I) Complex in Catalytic Alcohol Dehydrogenative Coupling</t>
  </si>
  <si>
    <t>CHEMISTRY-A EUROPEAN JOURNAL</t>
  </si>
  <si>
    <t>dehydrogenative coupling; DFT; manganese; proton-responsive Ligand; reaction mechanism</t>
  </si>
  <si>
    <t>N-HETEROCYCLIC CARBENE; ASYMMETRIC TRANSFER HYDROGENATION; LIGAND BIFUNCTIONAL CATALYSIS; EFFECTIVE CORE POTENTIALS; AROMATIC DIAMINES; AB-INITIO; INTRAMOLECULAR HYDROAMINATION; MOLECULAR CALCULATIONS; SUSTAINABLE SYNTHESIS; RUTHENIUM COMPLEXES</t>
  </si>
  <si>
    <t>A series of Mn(I) complexes Mn(L1)(CO)3Br, Mn(L2)(CO)3Br, Mn(L1)(CO)3(OAc) and Mn(L3)(CO)3Br [L1=2-(5-tert-butyl-1H-pyrazol-3-yl)-1,8-naphthyridine, L2=2-(5-tert-butyl-1H-pyrazol-3-yl)pyridine, L3=2-(5-tert-butyl-1-methyl-1H-pyrazol-3-yl)-1,8-naphthyridine] were synthesized and fully characterized. The acid-base equilibrium between the pyrazole and the pyrazolato forms of Mn(L1)(CO)3Br was studied by 1H NMR and UV-vis spectra. These complexes are screened as catalysts for acceptorless dehydrogenative coupling (ADC) of primary alcohols and aromatic diamines for the synthesis of benzimidazole and quinoline derivatives with the release of H2 and H2O as byproducts. The protic complex Mn(L1)(CO)3Br shows the highest catalytic activity for the synthesis of 2-substituted benzimidazole derivatives with broad substrate scope, whereas a related complex [Mn(L3)(CO)3Br], which is devoid of the proton responsive &amp; beta;-NH unit, shows significantly reduced catalytic efficiency validating the crucial role of the &amp; beta;-NH functionality for the alcohol dehydrogenation reactions. Control experiments, kinetic and deuterated studies, and density functional theory (DFT) calculations reveal a synchronous hydride-proton transfer by the metal-ligand construct in the alcohol dehydrogenation step. A protic Mn(I) complex featuring pyrazole functionality was evaluated for dehydrogenative coupling reactions to access benzimidazole and quinoline derivatives. Kinetic experiments and DFT calculations reveal that the initial alcohol dehydrogenation step proceeds through a concerted proton and hydride transfers to pyrazolato N and Mn, respectively, on the metal-ligand construct.image</t>
  </si>
  <si>
    <t>[De, Subhabrata; Ranjan, Prabodh; Chaurasia, Vishal; Pal, Sourav; Pal, Saikat; Pandey, Pragati; Bera, Jitendra K.] Indian Inst Technol Kanpur, Dept Chem, Kanpur 208016, India; [De, Subhabrata; Ranjan, Prabodh; Chaurasia, Vishal; Pal, Sourav; Pal, Saikat; Pandey, Pragati; Bera, Jitendra K.] Indian Inst Technol Kanpur, Ctr Environm Sci &amp; Engn, Kanpur 208016, India</t>
  </si>
  <si>
    <t>Indian Institute of Technology System (IIT System); Indian Institute of Technology (IIT) - Kanpur; Indian Institute of Technology System (IIT System); Indian Institute of Technology (IIT) - Kanpur</t>
  </si>
  <si>
    <t>Bera, JK (corresponding author), Indian Inst Technol Kanpur, Dept Chem, Kanpur 208016, India.;Bera, JK (corresponding author), Indian Inst Technol Kanpur, Ctr Environm Sci &amp; Engn, Kanpur 208016, India.</t>
  </si>
  <si>
    <t>jbera@iitk.ac.in</t>
  </si>
  <si>
    <t>DE, SUBHABRATA/0000-0003-3916-6377</t>
  </si>
  <si>
    <t>Science and Engineering Research Board (SERB), India, is gratefully acknowledged for financial support. J. K. B. thanks SERB, India for a J. C. Bose fellowship. We thank the Computer Center at Indian institute of Technology Kanpur for providing high comput; Science and Engineering Research Board (SERB), India; SERB, India; IIT Kanpur; CSIR; UGC, India</t>
  </si>
  <si>
    <t>Science and Engineering Research Board (SERB), India, is gratefully acknowledged for financial support. J. K. B. thanks SERB, India for a J. C. Bose fellowship. We thank the Computer Center at Indian institute of Technology Kanpur for providing high comput; Science and Engineering Research Board (SERB), India(Department of Science &amp; Technology (India)Science Engineering Research Board (SERB), India); SERB, India(Department of Science &amp; Technology (India)Science Engineering Research Board (SERB), India); IIT Kanpur; CSIR(Council of Scientific &amp; Industrial Research (CSIR) - India); UGC, India(University Grants Commission, India)</t>
  </si>
  <si>
    <t>Science and Engineering Research Board (SERB), India, is gratefully acknowledged for financial support. J. K. B. thanks SERB, India for a J. C. Bose fellowship. We thank the Computer Center at Indian institute of Technology Kanpur for providing high computing facilities for the DFT calculations. S.D. thanks IIT Kanpur for fellowship. P. R. thanks the Department of Chemistry, IIT Kanpur, for a post-doctoral fellowship. V.C., S.P. thank CSIR and S.P. thanks UGC, India for fellowships. P.P thanks CSIR for fellowship.</t>
  </si>
  <si>
    <t>0947-6539</t>
  </si>
  <si>
    <t>1521-3765</t>
  </si>
  <si>
    <t>CHEM-EUR J</t>
  </si>
  <si>
    <t>Chem.-Eur. J.</t>
  </si>
  <si>
    <t>10.1002/chem.202301758</t>
  </si>
  <si>
    <t>R6SZ3</t>
  </si>
  <si>
    <t>WOS:001065647500001</t>
  </si>
  <si>
    <t>Fu, SJ; Zhang, QL; Zhang, SY; Jiang, WZ; Jiang, MJ</t>
  </si>
  <si>
    <t>Fu, Shujie; Zhang, Qinglang; Zhang, Shiyu; Jiang, Weizhe; Jiang, Minjie</t>
  </si>
  <si>
    <t>Determination of rosmarinic acid and its N-substituted analog A1 in rat plasma using high-performance liquid chromatography-tandem mass spectrometry and its application in pharmacokinetics</t>
  </si>
  <si>
    <t>RAPID COMMUNICATIONS IN MASS SPECTROMETRY</t>
  </si>
  <si>
    <t>BackgroundThe aim of this study was to determine the concentration of rosmarinic acid (RA) and its analog (E)-3-(3,4-dihydroxyphenyl)-2-(3-(3,4-dihydroxyphenyl)acrylamido)propanoic acid (A1) in rat plasma following oral administration. The significance of this study lies in the development of a rapid, sensitive, and alternative method using liquid chromatography-tandem mass spectrometry for the accurate quantification and identification of RA and A1 in vivo. MethodsLiquid chromatography-tandem mass spectrometry was employed to analyze RA and A1 in rat plasma. A C18 column (1.9 &amp; mu;m, 2.1 x 100 mm) with a C18 guard column (5 &amp; mu;m, 2.1 x 10 mm) and a triple-quadrupole mass spectrometer combined with an electrospray ionization source were utilized. Sample pretreatment involved a one-step protein precipitation using isopropanol:ethyl acetate (20:80, v/v) as the solvent. Pseudoephedrine hydrochloride served as a standard. ResultsThe developed method exhibited a linear relationship within the concentration ranges of 5-750 ng/ml for both RA and A1. Relative standard deviations in daily courses were less than 15%, and the relative errors recorded were within 15%. This is the first study to concentrate on determining A1 and RA in rat plasma through oral administration. ConclusionsThe liquid chromatography-tandem mass spectrometry method developed in this study offers a rapid, sensitive, and alternative approach for the accurate quantification and identification of RA and A1 in vivo. The findings serve as a significant foundation for evaluating the clinical applications of the medicine.</t>
  </si>
  <si>
    <t>[Fu, Shujie; Jiang, Weizhe] Guangxi Med Univ, Pharmaceut Coll, Nanning, Peoples R China; [Zhang, Qinglang; Zhang, Shiyu; Jiang, Minjie] Guangxi Univ Chinese Med, Nanning, Peoples R China</t>
  </si>
  <si>
    <t>Guangxi Medical University; Guangxi University of Chinese Medicine</t>
  </si>
  <si>
    <t>Jiang, MJ (corresponding author), Guangxi Univ Chinese Med, Nanning, Peoples R China.</t>
  </si>
  <si>
    <t>jiangminjietp@me.com</t>
  </si>
  <si>
    <t>Natural Science Foundation of Guangxi Province [2020GXNSFBA297042]; Youth Fund Projects of Guangxi University of Traditional Chinese Medicine [2016QN010, YSL17023]</t>
  </si>
  <si>
    <t>Natural Science Foundation of Guangxi Province(National Natural Science Foundation of Guangxi Province); Youth Fund Projects of Guangxi University of Traditional Chinese Medicine</t>
  </si>
  <si>
    <t>ACKNOWLEDGMENTS This study was supported by the Natural Science Foundation of Guangxi Province (2020GXNSFBA297042) and Youth Fund Projects of Guangxi University of Traditional Chinese Medicine (Grant/Award Numbers: 2016QN010 and YSL17023). The funders had no role in the study design, data collection and analysis, decision to publish, or preparation of the manuscript.</t>
  </si>
  <si>
    <t>0951-4198</t>
  </si>
  <si>
    <t>1097-0231</t>
  </si>
  <si>
    <t>RAPID COMMUN MASS SP</t>
  </si>
  <si>
    <t>Rapid Commun. Mass Spectrom.</t>
  </si>
  <si>
    <t>SEP 15</t>
  </si>
  <si>
    <t>e9598</t>
  </si>
  <si>
    <t>10.1002/rcm.9598</t>
  </si>
  <si>
    <t>Biochemical Research Methods; Chemistry, Analytical; Spectroscopy</t>
  </si>
  <si>
    <t>Biochemistry &amp; Molecular Biology; Chemistry; Spectroscopy</t>
  </si>
  <si>
    <t>L6HO6</t>
  </si>
  <si>
    <t>WOS:001024256000001</t>
  </si>
  <si>
    <t>Fu, ST; Wang, HM; Zhong, YR; Schaefer, S; Li, M; Wu, MM; Wang, HL</t>
  </si>
  <si>
    <t>Fu, Shuting; Wang, Hongmin; Zhong, Yiren; Schaefer, Samuel; Li, Min; Wu, Mingmei; Wang, Hailiang</t>
  </si>
  <si>
    <t>High-Mass-Loading Li-S Batteries Catalytically Activated by Cerium Oxide: Performance and Failure Analysis under Lean Electrolyte Conditions</t>
  </si>
  <si>
    <t>electrocatalysis; failure mechanisms; lean electrolyte; Li metal anode; Li-S batteries</t>
  </si>
  <si>
    <t>Increasing sulfur mass loading and minimizing electrolyte amount remains a major challenge for the development of high-energy-density Li-S batteries, which needs to be tackled with combined efforts of materials development and mechanistic analysis. This work, following the same team's most recent identification of the potential-limiting step of Li-S batteries under lean electrolyte conditions, seeks to advance the understanding by extending it to a new catalyst and into the high-sulfur-mass-loading region. CeOx nanostructures are integrated into cotton-derived carbon to develop a multifunctional 3D network that can host a large amount of active material, facilitate electron transport, and catalyze the sulfur lithiation reaction. The resulting S/CeOx/C electrode can deliver a stable areal capacity of 9 mAh cm-2 with a high sulfur loading of 14 mg cm-2 at a low electrolyte/sulfur ratio of 5 &amp; mu;L mg-1. This study discovers that Li||S/CeOx/C cells usually fail during charging at high current density, as a consequence of local short circuiting caused by electrochemically deposited Li dendrites penetrating through the separator, a previously overlooked failure pattern distinctive to cells operating under lean electrolyte conditions. This work highlights the importance of developing new material structures and analyzing failure mechanisms in the advancement of Li-S batteries. A 3D sulfur electrode with cotton-derived carbon as the substrate and CeOx as the catalyst is developed to achieve high sulfur mass loading and fast reaction kinetics under lean electrolyte conditions. The resulting Li-S cell is found to fail after 100-200 cycles during charging due to local short circuiting caused by Li dendrites penetrating the separator.image</t>
  </si>
  <si>
    <t>[Fu, Shuting; Wang, Hongmin; Zhong, Yiren; Schaefer, Samuel; Wang, Hailiang] Yale Univ, Dept Chem, 810 West Campus Dr, West Haven, CT 06516 USA; [Fu, Shuting; Wang, Hongmin; Zhong, Yiren; Schaefer, Samuel; Wang, Hailiang] Yale Univ, Energy Sci Inst, 810 West Campus Dr, West Haven, CT 06516 USA; [Fu, Shuting; Wu, Mingmei] Sun Yat Sen Univ, Sch Chem, MOE Key Lab Bioinorgan &amp; Synthet Chem, Guangzhou 510275, Peoples R China; [Fu, Shuting; Wu, Mingmei] Sun Yat Sen Univ, Sch Chem Engn &amp; Technol, Zhuhai 519082, Peoples R China; [Li, Min] Yale Univ, Mat Characterizat Core, 810 West Campus Dr, West Haven, CT 06516 USA</t>
  </si>
  <si>
    <t>Yale University; Yale University; Sun Yat Sen University; Sun Yat Sen University; Yale University</t>
  </si>
  <si>
    <t>Wang, HM; Wang, HL (corresponding author), Yale Univ, Dept Chem, 810 West Campus Dr, West Haven, CT 06516 USA.;Wang, HM; Wang, HL (corresponding author), Yale Univ, Energy Sci Inst, 810 West Campus Dr, West Haven, CT 06516 USA.;Wu, MM (corresponding author), Sun Yat Sen Univ, Sch Chem, MOE Key Lab Bioinorgan &amp; Synthet Chem, Guangzhou 510275, Peoples R China.;Wu, MM (corresponding author), Sun Yat Sen Univ, Sch Chem Engn &amp; Technol, Zhuhai 519082, Peoples R China.</t>
  </si>
  <si>
    <t>hongmin.wang@yale.edu; ceswmm@mail.sysu.edu.cn; hailiang.wang@yale.edu</t>
  </si>
  <si>
    <t>Wang, Hongmin/HMV-9249-2023</t>
  </si>
  <si>
    <t>Wang, Hongmin/0000-0003-2714-4250</t>
  </si>
  <si>
    <t>U.S. National Science Foundation [CBET-1903342]; Guangzhou Elite Project</t>
  </si>
  <si>
    <t>U.S. National Science Foundation(National Science Foundation (NSF)); Guangzhou Elite Project</t>
  </si>
  <si>
    <t>This work was supported by the U.S. National Science Foundation (CBET-1903342). Shuting Fu acknowledges support from Guangzhou Elite Project.</t>
  </si>
  <si>
    <t>10.1002/adma.202302771</t>
  </si>
  <si>
    <t>R7DN8</t>
  </si>
  <si>
    <t>WOS:001065923000001</t>
  </si>
  <si>
    <t>Huang, LZ; Ding, L; Caro, J; Wang, HH</t>
  </si>
  <si>
    <t>Huang, Lingzhi; Ding, Li; Caro, Juergen; Wang, Haihui</t>
  </si>
  <si>
    <t>MXene-based Membranes for Drinking Water Production</t>
  </si>
  <si>
    <t>2D Membrane; MXene; Nanosheets; Water Purification</t>
  </si>
  <si>
    <t>2-DIMENSIONAL TI2CTX MXENE; COMPOSITE MEMBRANES; LAMELLAR MEMBRANE; LIQUID-CRYSTALS; GRAPHENE; EFFICIENT; CARBIDE; PURIFICATION; NANOSHEETS; TI3C2</t>
  </si>
  <si>
    <t>The soaring development of industry exacerbates the shortage of fresh water, making drinking water production an urgent demand. Membrane techniques feature the merits of high efficiency, low energy consumption, and easy operation, deemed as the most potential technology to purify water. Recently, a new type of two-dimensional materials, MXenes as the transition metal carbides or nitrides in the shape of nanosheets, have attracted enormous interest in water purification due to their extraordinary properties such as adjustable hydrophilicity, easy processibility, antifouling resistance, mechanical strength, and light-to-heat transformation capability. In pioneering studies, MXene-based membranes have been evaluated in the past decade for drinking water production including the separation of bacteria, dyes, salts, and heavy metals. This review focuses on the recent advancement of MXene-based membranes for drinking water production. A brief introduction of MXenes is given first, followed by descriptions of their unique properties. Then, the preparation methods of MXene membranes are summarized. The various applications of MXene membranes in water treatment and the corresponding separation mechanisms are discussed in detail. Finally, the challenges and prospects of MXene membranes are presented with the hope to provide insightful guidance on the future design and fabrication of high-performance MXene membranes. MXenes have attracted enormous interest in water purification due to their extraordinary properties such as adjustable hydrophilicity, easy processibility, antifouling resistance, etc. This review focuses on the progress and advancement of MXene-based membranes for drinking water production, including preparations, separation mechanisms, and applications.image</t>
  </si>
  <si>
    <t>[Huang, Lingzhi; Ding, Li; Wang, Haihui] Tsinghua Univ, Dept Chem Engn, Beijing Key Lab Membrane Mat &amp; Engn, Beijing 100084, Peoples R China; [Caro, Juergen] Leibniz Univ Hannover, Inst Phys Chem &amp; Electrochem, Callinstr 3A, D-30167 Hannover, Germany</t>
  </si>
  <si>
    <t>Tsinghua University; Leibniz University Hannover</t>
  </si>
  <si>
    <t>Ding, L; Wang, HH (corresponding author), Tsinghua Univ, Dept Chem Engn, Beijing Key Lab Membrane Mat &amp; Engn, Beijing 100084, Peoples R China.;Caro, J (corresponding author), Leibniz Univ Hannover, Inst Phys Chem &amp; Electrochem, Callinstr 3A, D-30167 Hannover, Germany.</t>
  </si>
  <si>
    <t>celiding@tsinghua.edu.cn; juergen.caro@pci.uni-hannover.de; cehhwang@tsinghua.edu.cn</t>
  </si>
  <si>
    <t>Ding, Li/0000-0002-2393-1188; Wang, Haihui/0000-0002-2917-4739</t>
  </si>
  <si>
    <t>Nation Natural Science Foundation of China [22138005, 22141001, 22378226]; Young Elite Scientists Sponsorship Program by BAST; Projekt DEAL</t>
  </si>
  <si>
    <t>Nation Natural Science Foundation of China(National Natural Science Foundation of China (NSFC)); Young Elite Scientists Sponsorship Program by BAST; Projekt DEAL</t>
  </si>
  <si>
    <t>We gratefully acknowledge the funding from the Nation Natural Science Foundation of China (22138005, 22141001, 22378226), Young Elite Scientists Sponsorship Program by BAST. Open Access funding enabled and organized by Projekt DEAL.</t>
  </si>
  <si>
    <t>10.1002/anie.202311138</t>
  </si>
  <si>
    <t>R6SY6</t>
  </si>
  <si>
    <t>WOS:001065646800001</t>
  </si>
  <si>
    <t>Khan, K; Hanif, MB; Xin, H; Hussain, A; Ali, HG; Fu, BW; Fang, ZX; Motola, M; Xu, ZQ; Wu, MQ</t>
  </si>
  <si>
    <t>Khan, Kashif; Hanif, Muhammad Bilal; Xin, Hu; Hussain, Arshad; Ali, Hina Ghulam; Fu, Bowen; Fang, Zixuan; Motola, Martin; Xu, Ziqiang; Wu, Mengqiang</t>
  </si>
  <si>
    <t>PEO-Based Solid Composite Polymer Electrolyte for High Capacity Retention All-Solid-State Lithium Metal Battery</t>
  </si>
  <si>
    <t>all-solid-state lithium metal batteries; hybrid fillers; ionic conductivity; polyethylene oxide; solid polymer electrolytes</t>
  </si>
  <si>
    <t>IONIC-CONDUCTIVITY; OXIDE)</t>
  </si>
  <si>
    <t>The limited ionic conductivity at room temperature and the constrained electrochemical window of poly(ethylene oxide) (PEO) pose significant obstacles that hinder its broader utilization in high-energy-density lithium metal batteries. The garnet-type material Li6.4La3Zr1.4Ta0.6O12 (LLZTO) is recognized as a highly promising active filler for enhancing the performance of PEO-based solid polymer electrolytes (SPEs). However, its performance is still limited by its high interfacial resistance. In this study, a novel hybrid filler-designed SPE is employed to achieve excellent electrochemical performance for both the lithium metal anode and the LiFePO4 cathode. The solid composite membrane containing hybrid fillers achieves a maximum ionic conductivity of 1.9 x 10-4 S cm-1 and a Li+ transference number of 0.67 at 40 &amp; DEG;C, respectively. Additionally, the Li/Li symmetric cells demonstrate a smooth and stable process for 2000 h at a current density of 0.1 mA cm-2. Furthermore, the LiFePO4/Li battery delivers a high-rate capacity of 159.2 mAh g-1 at 1 C, along with a capacity retention of 95.2% after 400 cycles. These results validate that employing a composite of both active and inactive fillers is an effective strategy for achieving superior performance in all-solid-state lithium metal batteries (ASSLMBs). Solid polymer electrolytes (SPE) provide safety benefits for all-solid-state lithium metal batteries (ASSLMBs), yet hurdles such as restricted ion conductivity and electrochemical stability remain. The innovation in this work introduces a groundbreaking solid composite polymer electrolyte, delivering exceptional ionic conductivity, an extended electrochemical window, and stable cycling performance.image</t>
  </si>
  <si>
    <t>[Khan, Kashif; Xu, Ziqiang; Wu, Mengqiang] Univ Elect Sci &amp; Technol China, Yangtze Delta Reg Inst Huzhou, Huzhou 313001, Zhejiang, Peoples R China; [Khan, Kashif; Xin, Hu; Fu, Bowen; Fang, Zixuan; Xu, Ziqiang; Wu, Mengqiang] Univ Elect Sci &amp; Technol China, Sch Mat &amp; Energy, Chengdu 611731, Peoples R China; [Hanif, Muhammad Bilal; Motola, Martin] Comenius Univ, Fac Nat Sci, Dept Inorgan Chem, Bratislava SK-84215, Slovakia; [Hussain, Arshad] Shenzhen Univ, Inst Adv Study, Guangdong 518060, Peoples R China; [Ali, Hina Ghulam] Helmholtz Inst Ulm Electrochem Energy Storage HIU, Helmholtzstr 11, D-89081 Ulm, Germany</t>
  </si>
  <si>
    <t>University of Electronic Science &amp; Technology of China; University of Electronic Science &amp; Technology of China; Comenius University Bratislava; Shenzhen University; Helmholtz Association; Karlsruhe Institute of Technology</t>
  </si>
  <si>
    <t>Khan, K; Wu, MQ (corresponding author), Univ Elect Sci &amp; Technol China, Yangtze Delta Reg Inst Huzhou, Huzhou 313001, Zhejiang, Peoples R China.</t>
  </si>
  <si>
    <t>kashif0101@yahoo.com; mwu@uestc.edu.cn</t>
  </si>
  <si>
    <t>khan, kashif/HNI-7100-2023</t>
  </si>
  <si>
    <t>khan, kashif/0000-0003-2115-9240</t>
  </si>
  <si>
    <t>Key R D program [2019ZDZX0029, 2020YFG0339]; China Postdoctoral Science Foundation [2022M710619]</t>
  </si>
  <si>
    <t>Key R D program; China Postdoctoral Science Foundation(China Postdoctoral Science Foundation)</t>
  </si>
  <si>
    <t>This work was supported by the Key R &amp; D program (#2019ZDZX0029 and #2020YFG0339) of Sichuan Province, and the China Postdoctoral Science Foundation (#2022M710619).</t>
  </si>
  <si>
    <t>10.1002/smll.202305772</t>
  </si>
  <si>
    <t>R6PG2</t>
  </si>
  <si>
    <t>WOS:001065549700001</t>
  </si>
  <si>
    <t>Khouri, A; Islam, JY; Van Bibber, NW; Coghill, AE; Suneja, G</t>
  </si>
  <si>
    <t>Khouri, Ashley; Islam, Jessica Y.; Van Bibber, Nathan W.; Coghill, Anna E.; Suneja, Gita</t>
  </si>
  <si>
    <t>Cancer treatment delays among cancer patients living with HIV during the COVID-19 pandemic in the United States</t>
  </si>
  <si>
    <t>cancer; HIV and cancer; COVID-19</t>
  </si>
  <si>
    <t>INFECTED INDIVIDUALS; OUTCOMES; DISPARITIES; SURGERY; IMPACT</t>
  </si>
  <si>
    <t>Background: The COVID-19 pandemic led to care disruptions across the cancer continuum. It is unknown if immunosuppressed patients with cancer, who may be at higher risk for complications of SARS-CoV-2 infection, are disproportionately impacted. Thus, we aimed to compare delays in cancer treatment initiation between people living with HIV (PLWH) and cancer, the general cancer population (GCP), and patients with cancer and a history of solid organ transplant (SOT). Comparisons were made across the period 2 years preceding the pandemic versus the first year of the pandemic.Methods: We used data from a real-world electronic health record-derived de-identified database (2018-2021) comprised of US patients with cancer from 800 sites of care across the country. We included patients with 19 different cancer types. We calculated time to cancer treatment initiation (TTI) as the difference between the date of cancer diagnosis and the earliest date that cancer treatment was recorded.Results: The sample included 181 PLWH, 65,073 GCP patients, and 195 patients with a SOT. Difference-in-difference regression models adjusted for age, sex, and presence of metastatic disease at cancer diagnosis revealed a significant increase in delayed TTI among PLWH compared to the GCP during COVID-19 versus prior to COVID-19, with delays increasing by approximately 1 month during the pandemic (DID: 32.6 days [8.9-56.3]; p = 0.007). The increase in TTI for PLWH was observed across treatment modalities, including surgery (DID: 55.1 [28.8-81.3], p &lt; 0.001) and systemic therapy (DID: 30.4 [4.6-56.3], p = 0.021).Conclusions/Relevance: PLWH experienced significant delays in cancer treatment initiation after diagnosis during the first year of COVID-19, delays that may negatively impact cancer outcomes. These data warrant patient and provider attention as the pandemic continues to impact the US healthcare system.</t>
  </si>
  <si>
    <t>[Khouri, Ashley] Univ Utah, Sch Med, Salt Lake City, UT USA; [Khouri, Ashley; Suneja, Gita] Huntsman Canc Inst, Salt Lake City, UT USA; [Islam, Jessica Y.; Van Bibber, Nathan W.; Coghill, Anna E.] H Lee Moffitt Canc Ctr &amp; Res Inst, Canc Epidemiol Program, Tampa, FL USA; [Suneja, Gita] Univ Utah, Dept Radiat Oncol, Salt Lake City, UT USA; [Coghill, Anna E.] H Lee Moffitt Canc Ctr &amp; Res Inst, Canc Epidemiol Program, 13131 USF Magnolia Dr, Tampa, FL 33612 USA</t>
  </si>
  <si>
    <t>Utah System of Higher Education; University of Utah; Huntsman Cancer Institute; H Lee Moffitt Cancer Center &amp; Research Institute; Utah System of Higher Education; University of Utah; H Lee Moffitt Cancer Center &amp; Research Institute</t>
  </si>
  <si>
    <t>Coghill, AE (corresponding author), H Lee Moffitt Canc Ctr &amp; Res Inst, Canc Epidemiol Program, 13131 USF Magnolia Dr, Tampa, FL 33612 USA.</t>
  </si>
  <si>
    <t>anna.coghill@moffitt.org</t>
  </si>
  <si>
    <t>Khouri, Ashley/0000-0001-6925-359X; Islam, Jessica/0000-0002-3690-3848</t>
  </si>
  <si>
    <t>10.1002/cam4.6489</t>
  </si>
  <si>
    <t>S0MT1</t>
  </si>
  <si>
    <t>WOS:001068203900001</t>
  </si>
  <si>
    <t>Liu, AX; Yang, YB</t>
  </si>
  <si>
    <t>Liu, Angxin; Yang, Yongbiao</t>
  </si>
  <si>
    <t>A multilevel segmentation method of asymmetric semantics based on deep learning</t>
  </si>
  <si>
    <t>IET CYBER-PHYSICAL SYSTEMS: THEORY &amp; APPLICATIONS</t>
  </si>
  <si>
    <t>big data; computer network security</t>
  </si>
  <si>
    <t>An asymmetric semantic multi-level segmentation method based on depth learning is proposed in order to improve the precision and effect of semantic segmentation. A 'content tree' structure and an adjacency matrix are constructed to represent the parent-child relationship between each image sub region in a complete image. Through multiple combinations of spatial attention mechanism and channel attention mechanism, the similarity semantic features of the target object can be selectively aggregated, so as to enhance its feature expression and avoid the impact of significant objects. The asymmetric semantic segmentation model asymmetric pyramid feature convolutional network (APFCN) is constructed, and the path feature extraction and parameter adjustment are realised through APFCN. On the basis of APFCN network, a full convolution network is introduced for end-to-end image semantic segmentation. Combining the advantages of convolution network in extracting image features and the advantages of short-term and short-term memory network in solving long-term dependence, an end-to-end hybrid depth network is constructed for image semantic multi-level segmentation. The experimental results show that the mean intersection over Union value and mean pixel accuracy value are higher than that of the literature method, both of which are increased by more than 3%, and the segmentation effect is good. The experimental results show that the mIoU value and MPA value of this method are high, and the segmentation effect is good.image</t>
  </si>
  <si>
    <t>[Liu, Angxin] Jiangsu Univ, Wuxi, Jiangsu, Peoples R China; [Yang, Yongbiao] Southeast Univ, Nanjing, Jiangsu, Peoples R China</t>
  </si>
  <si>
    <t>Jiangsu University; Southeast University - China</t>
  </si>
  <si>
    <t>Liu, AX (corresponding author), Jiangsu Univ, Wuxi, Jiangsu, Peoples R China.</t>
  </si>
  <si>
    <t>angwo55124@163.com</t>
  </si>
  <si>
    <t>2398-3396</t>
  </si>
  <si>
    <t>IET CYBER PHYS SYST</t>
  </si>
  <si>
    <t>IET Cyber Phys. Syst. Theory Appl.</t>
  </si>
  <si>
    <t>10.1049/cps2.12075</t>
  </si>
  <si>
    <t>Computer Science, Information Systems; Computer Science, Interdisciplinary Applications; Engineering, Electrical &amp; Electronic</t>
  </si>
  <si>
    <t>Computer Science; Engineering</t>
  </si>
  <si>
    <t>R8HU0</t>
  </si>
  <si>
    <t>WOS:001066719900001</t>
  </si>
  <si>
    <t>Martello, MV; Whittle, AJ; Oddo, PC; de Neufville, R</t>
  </si>
  <si>
    <t>Martello, Michael V.; Whittle, Andrew J.; Oddo, Perry C.; de Neufville, Richard</t>
  </si>
  <si>
    <t>Real options analysis for valuation of climate adaptation pathways with application to transit infrastructure</t>
  </si>
  <si>
    <t>RISK ANALYSIS</t>
  </si>
  <si>
    <t>adaptation valuation; climate adaptation; coastal flood risk; infrastructure planning; real options analysis</t>
  </si>
  <si>
    <t>SEA-LEVEL</t>
  </si>
  <si>
    <t>Climate change and sea-level rise (SLR) are expected to increase the frequency and intensity of coastal flood events, posing risks to coastal communities and infrastructure. While regional climate adaptation investments can provide substantive flood protection, existing plans often neglect uncertainty in future climate conditions and adaptation performance, consequently neglecting the option value of flexibly implementing proposed projects. Addressing this gap, we develop and employ a generalizable real options analysis (ROA) valuation framework that considers how uncertainty in adaptation project costs, SLR, flood severity, and flood losses inform the full range of adaptation performance outcomes. We further propose and apply a novel, computationally efficient flood loss sampling algorithm to estimate the consequences of randomly arriving coastal flood events. We apply this ROA framework to assess the option value of flexibly timing adaptation investments over time, investigating an adaptation pathway proposed by the City of Boston from the perspective of the regional transit system manager. Our results suggest that flexible implementation can provide significant option value in the near- to mid-term (&gt;30 years), with the highest option values under low-probability, high-consequence scenarios. Our results also suggest adaptation pathway performance in the latter half of the 21st century is most sensitive to uncertainty in SLR, flood loss estimates, and flood frequency, underscoring the importance of uncertainty quantification in the long-term valuation of adaptation investments.</t>
  </si>
  <si>
    <t>[Martello, Michael V.] US Army Corps Engineers, New York, NY 10278 USA; [Whittle, Andrew J.] MIT, Dept Civil &amp; Environm Engn, Cambridge, MA USA; [Oddo, Perry C.] NASA, Goddard Space Flight Ctr, Greenbelt, MD USA; [de Neufville, Richard] MIT, Inst Data Syst &amp; Soc, Cambridge, MA USA</t>
  </si>
  <si>
    <t>United States Department of Defense; United States Army; U.S. Army Corps of Engineers; Massachusetts Institute of Technology (MIT); National Aeronautics &amp; Space Administration (NASA); NASA Goddard Space Flight Center; Massachusetts Institute of Technology (MIT)</t>
  </si>
  <si>
    <t>Martello, MV (corresponding author), US Army Corps Engineers, New York, NY 10278 USA.</t>
  </si>
  <si>
    <t>michael.v.martello@usace.army.mil</t>
  </si>
  <si>
    <t>Martello, Michael/0000-0002-6977-7657</t>
  </si>
  <si>
    <t>The research reported in this study was supported by the Massachusetts Bay Transportation Authority (MBTA) and the United States Department of Defense (via the DoD SMART Scholarship-for-Service Program). The opinions expressed in this paper are those of th; Massachusetts Bay Transportation Authority (MBTA); United States Department of Defense; (DoD SMART Scholarship-for-Service Program); DoD</t>
  </si>
  <si>
    <t>The research reported in this study was supported by the Massachusetts Bay Transportation Authority (MBTA) and the United States Department of Defense (via the DoD SMART Scholarship-for-Service Program). The opinions expressed in this paper are those of th; Massachusetts Bay Transportation Authority (MBTA); United States Department of Defense(United States Department of Defense); (DoD SMART Scholarship-for-Service Program); DoD(United States Department of Defense)</t>
  </si>
  <si>
    <t>The research reported in this study was supported by the Massachusetts Bay Transportation Authority (MBTA) and the United States Department of Defense (via the DoD SMART Scholarship-for-Service Program). The opinions expressed in this paper are those of the authors and do not represent those of the MBTA, DoD, or USACE. We thank the IPCC SLR projection authors for developing and making the SLR projections available, multiple funding agencies for supporting the development of the projections, and the NASA Sea-Level Change Team for developing and hosting the IPCC AR6 Sea-Level Projection Tool.</t>
  </si>
  <si>
    <t>0272-4332</t>
  </si>
  <si>
    <t>1539-6924</t>
  </si>
  <si>
    <t>RISK ANAL</t>
  </si>
  <si>
    <t>Risk Anal.</t>
  </si>
  <si>
    <t>10.1111/risa.14218</t>
  </si>
  <si>
    <t>Public, Environmental &amp; Occupational Health; Mathematics, Interdisciplinary Applications; Social Sciences, Mathematical Methods</t>
  </si>
  <si>
    <t>Public, Environmental &amp; Occupational Health; Mathematics; Mathematical Methods In Social Sciences</t>
  </si>
  <si>
    <t>R8XL7</t>
  </si>
  <si>
    <t>WOS:001067128900001</t>
  </si>
  <si>
    <t>Moon, Y; Lee, S; Kim, J; Park, G; Park, C; Lim, JW; Yeom, M; Song, D; Haam, S</t>
  </si>
  <si>
    <t>Moon, Yesol; Lee, Sojeong; Kim, Jinyoung; Park, Geunseon; Park, Chaewon; Lim, Jong-Woo; Yeom, Minjoo; Song, Daesub; Haam, Seungjoo</t>
  </si>
  <si>
    <t>Label-Free and Colorimetric Detection of Influenza A Virus via Receptor-Mediated Viral Fusion with Plasmonic Vesicles</t>
  </si>
  <si>
    <t>colorimetric detection; influenza A virus; plasmonic immunoassay; plasmonic vesicles; viral membrane fusion</t>
  </si>
  <si>
    <t>GOLD NANOPARTICLES; ACID</t>
  </si>
  <si>
    <t>The rapid transmission and numerous re-emerging human influenza virus variants that spread via the respiratory system have led to severe global damage, emphasizing the need for detection tools that can recognize active and intact virions with infectivity. Here, this work presents a plasmonic vesicle-mediated fusogenic immunoassay (PVFIA) comprising gold nanoparticle (GNP) encapsulating fusogenic polymeric vesicles (plasmonic vesicles; PVs) for the label-free and colorimetric detection of influenza A virus (IAV). The PVFIA combines two sequential assays: a biochip-based immunoassay for target-specific capture and a PV-induced fusion assay for color change upon the IAV-PV fusion complex formation. The PVFIA demonstrates excellent specificity in capturing the target IAV, while the fusion conditions and GNP induce a significant color change, enabling visual detection. The integration of two consecutive assays results in a low detection limit (100.7919 EID50 mL-1) and good reliability (0.9901), indicating sensitivity that is 104.208 times higher than conventional immunoassay. Leveraging the PV viral membrane fusion activity renders the PVFIA promising for point-of-care diagnostics through colorimetric detection. The innovative approach addresses the critical need for detecting active and intact virions with infectivity, providing a valuable tool with which to combat the spread of the virus. This work presents a plasmonic vesicle-mediated fusogenic immunoassay (PVFIA) for the label-free and colorimetric detection of influenza A virus (IAV). PVFIA demonstrates excellent specificity in capturing the target, while the fusion assay with gold nanoparticle (GNP) encapsulating fusogenic plasmonic vesicles (PVs) enables visual detection. The results show a low detection limit (100.7919 EID50 mL-1) and good reliability (0.9901), indicating sensitivity 104.208 times higher than conventional immunoassay.image</t>
  </si>
  <si>
    <t>[Moon, Yesol; Lee, Sojeong; Kim, Jinyoung; Park, Geunseon; Park, Chaewon; Haam, Seungjoo] Yonsei Univ, Dept Chem &amp; Biomol Engn, Seoul 03722, South Korea; [Lim, Jong-Woo; Yeom, Minjoo; Song, Daesub] Seoul Natl Univ, Coll Vet Med, Dept Vet Med, Virol Lab, Seoul 08826, South Korea; [Kim, Jinyoung; Yeom, Minjoo; Song, Daesub] Seoul Natl Univ, Res Inst Vet Sci, Seoul 08826, South Korea</t>
  </si>
  <si>
    <t>Yonsei University; Seoul National University (SNU); Seoul National University (SNU)</t>
  </si>
  <si>
    <t>Haam, S (corresponding author), Yonsei Univ, Dept Chem &amp; Biomol Engn, Seoul 03722, South Korea.;Song, D (corresponding author), Seoul Natl Univ, Coll Vet Med, Dept Vet Med, Virol Lab, Seoul 08826, South Korea.;Song, D (corresponding author), Seoul Natl Univ, Res Inst Vet Sci, Seoul 08826, South Korea.</t>
  </si>
  <si>
    <t>sds@snu.ac.kr; haam@yonsei.ac.kr</t>
  </si>
  <si>
    <t>Korea Environment Industry &amp; Technology Institute (KEITI) through the Technology Development Project for Biological Hazards Management in Indoor Air Project - Korea Ministry of Environment (MOE) [RE202101004]; National Research Foundation of Korea (NRF) grant from the Korea government (MSIT) [RS-2023-00236421]; Bio &amp; Medical Technology Development Program of the National Research Foundation (NRF) - Ministry of Science ICT [NRF-2021M3E5E3080556]</t>
  </si>
  <si>
    <t>Korea Environment Industry &amp; Technology Institute (KEITI) through the Technology Development Project for Biological Hazards Management in Indoor Air Project - Korea Ministry of Environment (MOE)(Ministry of Environment (ME), Republic of Korea); National Research Foundation of Korea (NRF) grant from the Korea government (MSIT)(National Research Foundation of KoreaMinistry of Science &amp; ICT (MSIT), Republic of Korea); Bio &amp; Medical Technology Development Program of the National Research Foundation (NRF) - Ministry of Science ICT(National Research Foundation of KoreaMinistry of Science, ICT &amp; Future Planning, Republic of Korea)</t>
  </si>
  <si>
    <t>Y.M. and S.L. contributed equally to this work. S.H. acknowledges support from Korea Environment Industry &amp; Technology Institute (KEITI) through the Technology Development Project for Biological Hazards Management in Indoor Air Project funded by Korea Ministry of Environment (MOE)(RE202101004) and by the National Research Foundation of Korea (NRF) grant from the Korea government (MSIT) (No. RS-2023-00236421). D.S. acknowledges support from the Bio &amp; Medical Technology Development Program of the National Research Foundation (NRF) funded by the Ministry of Science &amp; ICT (NRF-2021M3E5E3080556).</t>
  </si>
  <si>
    <t>10.1002/smll.202305748</t>
  </si>
  <si>
    <t>R6OZ6</t>
  </si>
  <si>
    <t>WOS:001065543100001</t>
  </si>
  <si>
    <t>Murata, D; Azuma, K; Matsuo, N; Murotani, K; Matama, G; Kawahara, A; Sasada, T; Tokito, T; Hoshino, T</t>
  </si>
  <si>
    <t>Murata, Daiki; Azuma, Koichi; Matsuo, Norikazu; Murotani, Kenta; Matama, Goushi; Kawahara, Akihiko; Sasada, Tetsuro; Tokito, Takaaki; Hoshino, Tomoaki</t>
  </si>
  <si>
    <t>Survival and biomarkers for cachexia in non-small cell lung cancer receiving immune checkpoint inhibitors</t>
  </si>
  <si>
    <t>cachexia; chemokine; CRP; cytokine; NSCLC; PD-1 inhibitor</t>
  </si>
  <si>
    <t>DOCETAXEL; INFLAMMATION; NIVOLUMAB; PROGNOSIS; GHRELIN; PHASE-3</t>
  </si>
  <si>
    <t>Background: The presence of cachexia negatively impacts the prognosis of patients with cancer. However, the mechanisms behind the development of cachexia and its prognostic impact on immunotherapy efficacy are not fully understood.Materials and Methods: We retrospectively screened patients with advanced or recurrent non-small cell lung cancer (NSCLC) who received PD-1/PD-L1 inhibitor monotherapy. Among 183 patients, pre-treatment plasma samples were available from 100 patients. We defined cancer cachexia as weight loss of at least 5% during the past 6 months or weight loss of at least 2% and BMI &lt;20. We analyzed 75 soluble immune mediators in pre-treatment plasma samples to explore the possible mechanisms behind the development of cancer cachexia. We also investigated whether cancer cachexia affects prognosis.Results: Among 100 patients, 35 had cancer cachexia. Logistic regression analysis identified ghrelin, c-reactive protein (CRP), pentraxin-3 (PTX-3), and osteopontin (OPN) as factors associated with cachexia. Patients with cachexia had worse progression-free survival (PFS) and overall survival (OS), although we did not detect statistically significant differences. Analyzing the soluble immune mediators associated with cachexia, the combination of cachexia and PTX-3 or OPN expression levels was predictive for PFS and the combination of cachexia and CRP or OPN expression levels was predictive for OS.Conclusions: Pre-treatment ghrelin, CRP, PTX-3, and OPN may be associated with cachexia. Among patients with NSCLC who received PD-1/L1 inhibitor monotherapy, those with cachexia had worse survival than those without cachexia. Larger studies will be required to confirm our data and better understand the mechanisms behind the development of cachexia.</t>
  </si>
  <si>
    <t>[Murata, Daiki; Azuma, Koichi; Matsuo, Norikazu; Matama, Goushi; Tokito, Takaaki; Hoshino, Tomoaki] Kurume Univ, Sch Med, Dept Internal Med, Div Respirol Neurol &amp; Rheumatol, Kurume, Fukuoka 8300011, Japan; [Murotani, Kenta] Kurume Univ, Sch Med, Biostat Ctr, Fukuoka, Japan; [Kawahara, Akihiko] Kurume Univ Hosp, Dept Diagnost Pathol, Fukuoka, Japan; [Sasada, Tetsuro] Kanagawa Canc Ctr Res Inst, Canc Vaccine &amp; Immunotherapy Ctr, Yokohama, Kanagawa, Japan</t>
  </si>
  <si>
    <t>Kurume University; Kurume University; Kurume University; Kanagawa Prefectural Cancer Center</t>
  </si>
  <si>
    <t>Azuma, K (corresponding author), Kurume Univ, Sch Med, Dept Internal Med, Div Respirol Neurol &amp; Rheumatol, Kurume, Fukuoka 8300011, Japan.</t>
  </si>
  <si>
    <t>azuma@med.kurume-u.ac.jp</t>
  </si>
  <si>
    <t>Kawahara, Akihiko/0000-0002-4081-2519; Murata, Daiki/0000-0002-4295-5046</t>
  </si>
  <si>
    <t>We would like to thank the participating patients for their contributions to this study.</t>
  </si>
  <si>
    <t>10.1002/cam4.6549</t>
  </si>
  <si>
    <t>R8ZN1</t>
  </si>
  <si>
    <t>WOS:001067182400001</t>
  </si>
  <si>
    <t>Oldenburg, S</t>
  </si>
  <si>
    <t>Oldenburg, Silke</t>
  </si>
  <si>
    <t>How to make a wetland: Water and moral ecology in Turkey</t>
  </si>
  <si>
    <t>AMERICAN ETHNOLOGIST</t>
  </si>
  <si>
    <t>[Oldenburg, Silke] Univ Basel, Basel, Switzerland</t>
  </si>
  <si>
    <t>University of Basel</t>
  </si>
  <si>
    <t>Oldenburg, S (corresponding author), Univ Basel, Basel, Switzerland.</t>
  </si>
  <si>
    <t>silke.oldenburg@unibas.ch</t>
  </si>
  <si>
    <t>0094-0496</t>
  </si>
  <si>
    <t>1548-1425</t>
  </si>
  <si>
    <t>AM ETHNOL</t>
  </si>
  <si>
    <t>Am. Ethnol.</t>
  </si>
  <si>
    <t>10.1111/amet.13212</t>
  </si>
  <si>
    <t>Anthropology</t>
  </si>
  <si>
    <t>S0WG0</t>
  </si>
  <si>
    <t>WOS:001068451900001</t>
  </si>
  <si>
    <t>Pleckaitis, M; Karabanovas, V; Butkiene, G; Venius, J; Burkanas, M; Grinciene, G; Jagminas, A; Rotomskis, R</t>
  </si>
  <si>
    <t>Pleckaitis, Marijus; Karabanovas, Vitalijus; Butkiene, Greta; Venius, Jonas; Burkanas, Marius; Grinciene, Giedre; Jagminas, Arunas; Rotomskis, Ricardas</t>
  </si>
  <si>
    <t>Magnetic Nanoparticles Decorated with Gold Nanoclusters-Applications in Cancer Theranostics</t>
  </si>
  <si>
    <t>ADVANCED MATERIALS INTERFACES</t>
  </si>
  <si>
    <t>cancer theranostics; dual-imaging; gold nanoclusters; magnetic iron oxide nanoparticles; photodynamic therapy</t>
  </si>
  <si>
    <t>IRON-OXIDE NANOPARTICLES; PHOTODYNAMIC THERAPY; SINGLET OXYGEN; PHOTOSENSITIZERS; NANOMATERIALS; GENERATION; PRINCIPLES; SYSTEMS; AGENTS</t>
  </si>
  <si>
    <t>Nanomedicine presents exciting new opportunities for the detection and treatment of cancer. Current cancer imaging methods and treatment approaches in clinics frequently fall short of entirely curing cancer and can have severe side effects. Theranostic nanoparticles, however, have the potential to revolutionize effective cancer treatment and early cancer detection. The objective of this study is to show how magnetic iron oxide nanoparticles and photoluminescent gold nanoclusters (MN-AuNCs) may be combined effectively to produce bimodal imaging nanoparticles that possess magnetic and optical properties and can be used for both magnetic resonance imaging and optical biopsy. These findings demonstrate that MN-AuNCs, when exposed to visible light, also have the capability to produce singlet oxygen, which is necessary for photodynamic therapy of cancer. In addition, it shows that they are non-toxic, accumulate inside the cells, and cause cell death during exposure to visible light. The creation of these MN-AuNCs offers a novel remedy for the current shortcomings in cancer diagnosis and treatment. Since they have both therapeutic and imaging capabilities, MN-AuNCs have the potential to improve patient outcomes while lowering the risk of negative side effects. Magnetic iron oxide nanoparticles decorated with photoluminescent gold nanoclusters exhibit optical and magnetic properties that enable bimodal imaging (optical biopsy and magnetic resonance imaging). These nanoparticles can also generate singlet oxygen and be used as therapeutic agents in photodynamic cancer therapy. Thus, possession of diagnostic and therapeutic properties makes magnetic nanoparticles decorated with gold nanoclusters as potential theranostic nanoplatform.image</t>
  </si>
  <si>
    <t>[Pleckaitis, Marijus; Butkiene, Greta; Venius, Jonas; Rotomskis, Ricardas] Natl Canc Inst, Biomed Phys Lab, P Baublio Str 3b, LT-08406 Vilnius, Lithuania; [Pleckaitis, Marijus] Vilnius Univ, Life Sci Ctr, Sauletekio Ave 7, LT-10257 Vilnius, Lithuania; [Karabanovas, Vitalijus] Vilnius Gediminas Tech Univ, Dept Chem &amp; Bioengn, Sauletekio Ave 11, LT-10223 Vilnius, Lithuania; [Venius, Jonas; Burkanas, Marius] Natl Canc Inst, Med Phys Dept, Santariskiu Str 1, LT-08660 Vilnius, Lithuania; [Grinciene, Giedre; Jagminas, Arunas] Ctr Phys Sci &amp; Technol, State Res Inst, Sauletekio Ave 3, LT-10257 Vilnius, Lithuania; [Rotomskis, Ricardas] Vilnius Univ, Phys Fac, Laser Res Ctr, Biophoton Grp, Sauletekio Ave 9, LT-10222 Vilnius, Lithuania</t>
  </si>
  <si>
    <t>National Cancer Institute - Lithuania; Vilnius University; Vilnius Gediminas Technical University; National Cancer Institute - Lithuania; Center for Physical Sciences &amp; Technology - Lithuania; Vilnius University</t>
  </si>
  <si>
    <t>Pleckaitis, M; Rotomskis, R (corresponding author), Natl Canc Inst, Biomed Phys Lab, P Baublio Str 3b, LT-08406 Vilnius, Lithuania.;Pleckaitis, M (corresponding author), Vilnius Univ, Life Sci Ctr, Sauletekio Ave 7, LT-10257 Vilnius, Lithuania.;Rotomskis, R (corresponding author), Vilnius Univ, Phys Fac, Laser Res Ctr, Biophoton Grp, Sauletekio Ave 9, LT-10222 Vilnius, Lithuania.</t>
  </si>
  <si>
    <t>marijus.pleckaitis@nvi.lt; ricardas.rotomskis@nvi.lt</t>
  </si>
  <si>
    <t>Butkiene, Greta/I-8886-2017</t>
  </si>
  <si>
    <t>Butkiene, Greta/0000-0003-3244-4979</t>
  </si>
  <si>
    <t>2196-7350</t>
  </si>
  <si>
    <t>ADV MATER INTERFACES</t>
  </si>
  <si>
    <t>Adv. Mater. Interfaces</t>
  </si>
  <si>
    <t>10.1002/admi.202300462</t>
  </si>
  <si>
    <t>Chemistry, Multidisciplinary; Materials Science, Multidisciplinary</t>
  </si>
  <si>
    <t>Chemistry; Materials Science</t>
  </si>
  <si>
    <t>R8FA0</t>
  </si>
  <si>
    <t>WOS:001066646900001</t>
  </si>
  <si>
    <t>Roy, SS</t>
  </si>
  <si>
    <t>Roy, Sayantan Saha</t>
  </si>
  <si>
    <t>A ritual of indistinction</t>
  </si>
  <si>
    <t>affect; Armed Forces Special Powers Act (AFSPA); hunger strike; India; law; Manipur; state of exception</t>
  </si>
  <si>
    <t>SPECIAL POWERS ACT; EXCEPTION; LAW</t>
  </si>
  <si>
    <t>The state of exception is classically understood as a situation devoid of laws and marked by the sovereign's absolute powers. This picture is unsettled by offering a more tenuous account of the state of siege, showing that normal laws and processes can be a constitutive dimension of modern exceptional regimes. Through an ethnography of a permanent space of exception in India, I argue that emergency regimes as forms of structural injustice are marked by affective intensities and anger directed against state power. Irom Sharmila's 16-year hunger strike in the state of Manipur was one such affective act that challenged state authority. The police mitigated this challenge through the minutia of rules and processes targeting the protester's body. The state's legal response to the hunger strike showed that emergency powers are better understood not by the sovereign's fantasy of absolutism but as the messy affective mediation of the normal and exceptional.</t>
  </si>
  <si>
    <t>[Roy, Sayantan Saha] Univ Connecticut, Dept Anthropol, Storrs, CT 06269 USA</t>
  </si>
  <si>
    <t>University of Connecticut</t>
  </si>
  <si>
    <t>Roy, SS (corresponding author), Univ Connecticut, Dept Anthropol, Storrs, CT 06269 USA.</t>
  </si>
  <si>
    <t>sayantan.saha_roy@uconn.edu</t>
  </si>
  <si>
    <t>Suchismita Das, Do Dom Kim, and Najnin Islam read multiple drafts of this article. Shefali Jha, Harini Kumar, Ritam Sengupta, and Priyankar Dey commented on an earlier draft. I thank all of them. I remain indebted to my interlocutors in Manipur, especially</t>
  </si>
  <si>
    <t>Suchismita Das, Do Dom Kim, and Najnin Islam read multiple drafts of this article. Shefali Jha, Harini Kumar, Ritam Sengupta, and Priyankar Dey commented on an earlier draft. I thank all of them. I remain indebted to my interlocutors in Manipur, especially Babloo &amp; apos;da. This article is dedicated to Irom Sharmila.</t>
  </si>
  <si>
    <t>10.1111/amet.13205</t>
  </si>
  <si>
    <t>R6VO5</t>
  </si>
  <si>
    <t>WOS:001065715600001</t>
  </si>
  <si>
    <t>Souroujon, AA; Guttman, I; Levin, N; Capuano, G; Salcedo, CAR; Garcia, P</t>
  </si>
  <si>
    <t>Souroujon, Ariela A.; Guttman, Ilana; Levin, Nathalie; Capuano, Galia; Salcedo, Cesar Alejandro Reyes; Garcia, Paulina</t>
  </si>
  <si>
    <t>Autologous cell transplant as a treatment for stable segmental vitiligo: a systematic review</t>
  </si>
  <si>
    <t>TERM-FOLLOW-UP; MELANOCYTES TRANSPLANTATION; SUSPENSION; EFFICACY</t>
  </si>
  <si>
    <t>ObjectiveThis systematic review provides a comprehensive analysis of the efficacy of autologous cell transplant as a therapeutic approach for stable segmental vitiligo. Vitiligo poses significant challenges for healthcare professionals in terms of treatment selection. Autologous cell transplant has emerged as a promising modality for managing vitiligo, with cultured and noncultured transplants being considered when determining the patient's treatment approach. There is little knowledge and literature on the subject, so we analyze the different studies.MethodUsing online medical literature databases and the PRISMA guidelines, six out of 60 articles met the acceptance criteria to be analyzed, emphasizing the lack of current literature on this subject.ResultsAutologous cell transplant achieves excellent pigmentation rates for many body parts. We found that cultivated cells had better results than noncultivated ones. Both types of treatments could pigment 80% or more where needed.ConclusionThis review highlights the importance of autologous cell transplant as a new and reliable tool for the treatment of stable segmental vitiligo, cultured transplants being the most effective. By employing autologous cell transplant, the repigmentation rate is notably high and consistently achievable. Although its cost and logistical complexities hinder the current accessibility to this therapy, efforts are being made to enhance its availability, and its scope is expected to expand further. More studies are needed to understand this therapy method in other kinds of vitiligo.</t>
  </si>
  <si>
    <t>[Souroujon, Ariela A.; Guttman, Ilana; Levin, Nathalie; Capuano, Galia; Garcia, Paulina] Univ Anahuac Mexico, Huixquilucan, Mexico; [Salcedo, Cesar Alejandro Reyes] Dermatol Clin Dermacares, Mexico City, Mexico; [Souroujon, Ariela A.] Univ Anahauc Mexico, Prolongac Bosques Reforma 1539 401, Mexico City, Mexico</t>
  </si>
  <si>
    <t>Universidad Anahuac</t>
  </si>
  <si>
    <t>Souroujon, AA (corresponding author), Univ Anahauc Mexico, Prolongac Bosques Reforma 1539 401, Mexico City, Mexico.</t>
  </si>
  <si>
    <t>arisourou2000@gmail.com</t>
  </si>
  <si>
    <t>Souroujon Torun, Ariela Aline/0000-0002-6388-7556; Reyes Salcedo, Cesar Alejandro/0000-0002-2377-0599</t>
  </si>
  <si>
    <t>10.1111/ijd.16844</t>
  </si>
  <si>
    <t>R8EZ8</t>
  </si>
  <si>
    <t>WOS:001066646700001</t>
  </si>
  <si>
    <t>Sremac, M; Luo, H; Deng, HP; Parr, MFE; Hutcheson, J; Verde, PS; Alagpulinsa, DA; Kitzmann, JM; Papas, KK; Brauns, T; Markmann, JF; Lei, J; Poznansky, MC</t>
  </si>
  <si>
    <t>Sremac, Marinko; Luo, Hao; Deng, Hongping; Parr, Madeline F. E.; Hutcheson, Jessica; Verde, Pushkar S.; Alagpulinsa, David A.; Kitzmann, Jenna Miner; Papas, Klearchos K.; Brauns, Timothy; Markmann, James F.; Lei, Ji; Poznansky, Mark C.</t>
  </si>
  <si>
    <t>Short-term function and immune-protection of microencapsulated adult porcine islets with alginate incorporating CXCL12 in healthy and diabetic non-human primates without systemic immune suppression: A pilot study</t>
  </si>
  <si>
    <t>XENOTRANSPLANTATION</t>
  </si>
  <si>
    <t>alginate; chemokine CXCL12; immunosuppression; microencapsulated; porcine islets</t>
  </si>
  <si>
    <t>OXYGEN-CONSUMPTION RATE; BETA-CELL REPLACEMENT; PANCREATIC-ISLETS; IN-VITRO; TRANSPLANTATION; SURVIVAL; MODEL; BIOCOMPATIBILITY; MECHANISMS; PERIFUSION</t>
  </si>
  <si>
    <t>Replacement of insulin-producing pancreatic beta-cells by islet transplantation offers a functional cure for type-1 diabetes (T1D). We recently demonstrated that a clinical grade alginate micro-encapsulant incorporating the immune-repellent chemokine and pro-survival factor CXCL12 could protect and sustain the integrity and function of autologous islets in healthy non-human primates (NHPs) without systemic immune suppression. In this pilot study, we examined the impact of the CXCL12 micro encapsulant on the function and inflammatory and immune responses of xenogeneic islets transplanted into the omental tissue bilayer sac (OB; n = 4) and diabetic (n = 1) NHPs. Changes in the expression of cytokines after implantation were limited to 2-6-fold changes in blood, most of which did not persist over the first 4 weeks after implantation. Flow cytometry of PBMCs following transplantation showed minimal changes in IFN &amp; gamma; or TNF &amp; alpha; expression on xenoantigen-specific CD4+ or CD8+ T cells compared to unstimulated cells, and these occurred mainly in the first 4 weeks. Microbeads were readily retrievable for assessment at day 90 and day 180 and at retrieval were without microscopic signs of degradation or foreign body responses (FBR). In vitro and immunohistochemistry studies of explanted microbeads indicated the presence of functional xenogeneic islets at day 30 post transplantation in all biopsied NHPs. These results from a small pilot study revealed that CXCL12-microencapsulated xenogeneic islets abrogate inflammatory and adaptive immune responses to the xenograft. This work paves the way toward future larger scale studies of the transplantation of alginate microbeads with CXCL12 and porcine or human stem cell-derived beta cells or allogeneic islets into diabetic NHPs without systemic immunosuppression.</t>
  </si>
  <si>
    <t>[Sremac, Marinko; Parr, Madeline F. E.; Verde, Pushkar S.; Alagpulinsa, David A.; Brauns, Timothy; Poznansky, Mark C.] Massachusetts Gen Hosp, Vaccine &amp; Immunotherapy Ctr, Dept Med, Boston, MA USA; [Luo, Hao; Deng, Hongping; Markmann, James F.; Lei, Ji] Massachusetts Gen Hosp, Div Transplant Surg, Boston, MA USA; [Luo, Hao; Deng, Hongping; Markmann, James F.; Lei, Ji] Massachusetts Gen Hosp, Ctr Transplantat Sci, Boston, MA USA; [Luo, Hao] Gen Hosp Western Theater Command, Dept Gen Surg, Chengdu, Peoples R China; [Hutcheson, Jessica] VICapsys Inc, Athens, GA USA; [Kitzmann, Jenna Miner; Papas, Klearchos K.] Univ Arizona, Inst Cellular Transplantat, Dept Surg, Tucson, AZ USA; [Lei, Ji] Massachusetts Gen Hosp, Div Transplant Surg, Boston, MA 02114 USA; [Lei, Ji] Massachusetts Gen Hosp, Ctr Transplantat Sci, Boston, MA 02114 USA; [Poznansky, Mark C.] MGH, Vaccine &amp; Immunotherapy Ctr, 149 13th St, Charlestown, MA 02129 USA</t>
  </si>
  <si>
    <t>Harvard University; Massachusetts General Hospital; Harvard University; Massachusetts General Hospital; Harvard University; Massachusetts General Hospital; University of Arizona; Harvard University; Massachusetts General Hospital; Harvard University; Massachusetts General Hospital</t>
  </si>
  <si>
    <t>Lei, J (corresponding author), Massachusetts Gen Hosp, Div Transplant Surg, Boston, MA 02114 USA.;Lei, J (corresponding author), Massachusetts Gen Hosp, Ctr Transplantat Sci, Boston, MA 02114 USA.;Poznansky, MC (corresponding author), MGH, Vaccine &amp; Immunotherapy Ctr, 149 13th St, Charlestown, MA 02129 USA.</t>
  </si>
  <si>
    <t>Jlei2@mgh.harvard.edu; mpoznansky@mgh.harvard.edu</t>
  </si>
  <si>
    <t>Deng, Hongping/0000-0002-9752-8965</t>
  </si>
  <si>
    <t>JDRF [2-SRA-2014-290-Q-R]</t>
  </si>
  <si>
    <t>JDRF(Juvenile Diabetes Research Foundation)</t>
  </si>
  <si>
    <t>JDRF, Grant/Award Number: grant 2-SRA-2014-290-Q-R</t>
  </si>
  <si>
    <t>0908-665X</t>
  </si>
  <si>
    <t>1399-3089</t>
  </si>
  <si>
    <t>Xenotransplantation</t>
  </si>
  <si>
    <t>10.1111/xen.12826</t>
  </si>
  <si>
    <t>Medicine, Research &amp; Experimental; Transplantation</t>
  </si>
  <si>
    <t>Research &amp; Experimental Medicine; Transplantation</t>
  </si>
  <si>
    <t>R6PV1</t>
  </si>
  <si>
    <t>WOS:001065564600001</t>
  </si>
  <si>
    <t>Wang, Q; Wang, Z</t>
  </si>
  <si>
    <t>Wang, Qi; Wang, Zhe</t>
  </si>
  <si>
    <t>Serpin family H member 1 and its related collagen gene network are the potential prognostic biomarkers and anticancer targets for glioma</t>
  </si>
  <si>
    <t>glioma; immune checkpoints; immune infiltration; immunotherapy; prognosis</t>
  </si>
  <si>
    <t>HSP47; CANCER; CELLS; MACROPHAGES; SURVIVAL; GROWTH</t>
  </si>
  <si>
    <t>Serpin family H member 1 (SERPINH1) is responsible for encoding the protein known as heat shock protein 47, which functions as a molecular chaperone specific to collagen (COL). This protein has been identified as a potential therapeutic target for COL-related disorders. In this study, we aimed to investigate the role of SERPINH1 in the tumorigenicity of gliomas. To achieve this, we utilized various bioinformatics tools to analyze gene expression, overall survival, protein-protein interactions, Gene Ontology (GO), Kyoto Encyclopedia of Genes and Genomes (KEGG) enrichment, and Gene Set Enrichment Analysis (GSEA). Based on The Cancer Genome Atlas database revealed that SERPINH1 and four COL family members (COL1A1, COL3A1, COL4A1, and COL4A2) expression are significantly upregulated in glioma tissues compared with normal nontumor tissues. GO, KEGG, and GSEA analyses exhibited that SERPINH1 is implicated in the establishment and degradation of COL-containing extracellular matrix (ECM), focal adhesion, and ECM-receptor interaction in glioma. SERPINH1 is an independent prognostic factor, exhibiting a positive association with the augmentation of neutrophils and macrophages, as well as the manifestation of immune checkpoint molecules within glioma. Experimental assessments conducted both in vitro and in vivo demonstrated that the suppression of SERPINH1 impeded the migratory, invasive, and proliferative capacities of glioma cells, while concurrently fostering cellular apoptosis. Consequently, SERPINH1 emerges as an oncogenic gene and an independent prognostic marker for glioma, potentially facilitating the advancement of immunotherapeutic interventions for the treatment of glioma.</t>
  </si>
  <si>
    <t>[Wang, Qi; Wang, Zhe] First Hosp Jilin Univ, Dept Geriatr, 71 Xinmin St, Changchun 130000, Jilin, Peoples R China</t>
  </si>
  <si>
    <t>Jilin University</t>
  </si>
  <si>
    <t>Wang, Q (corresponding author), First Hosp Jilin Univ, Dept Geriatr, 71 Xinmin St, Changchun 130000, Jilin, Peoples R China.</t>
  </si>
  <si>
    <t>wangqiyisheng@jlu.edu.cn</t>
  </si>
  <si>
    <t>e23541</t>
  </si>
  <si>
    <t>10.1002/jbt.23541</t>
  </si>
  <si>
    <t>S0IF3</t>
  </si>
  <si>
    <t>WOS:001068085900001</t>
  </si>
  <si>
    <t>Yamagishi, Y; Oginosawa, Y; Nakamura, Y; Yagyu, K; Miyamoto, T</t>
  </si>
  <si>
    <t>Yamagishi, Yasunobu; Oginosawa, Yasushi; Nakamura, Yuki; Yagyu, Keishiro; Miyamoto, Taro</t>
  </si>
  <si>
    <t>Spatiotemporal incremental change of radiofrequency catheter ablation-associated pulmonary vein calcifications</t>
  </si>
  <si>
    <t>atrial fibrillation; pulmonary vein calcifications; radiofrequency catheter ablation</t>
  </si>
  <si>
    <t>We presented a detailed time course of RFCA-associated PV calcification process. Because RFCA-associated PV calcification may progress over time even with a single ablation, long-term caution should be paid in cases of especially extensive ablation and/or patients with stiff LA syndromeimage</t>
  </si>
  <si>
    <t>[Yamagishi, Yasunobu; Oginosawa, Yasushi; Nakamura, Yuki; Yagyu, Keishiro; Miyamoto, Taro] Univ Occupat &amp; Environm Hlth, Dept Internal Med 2, Kitakyushu, Japan; [Oginosawa, Yasushi] Univ Occupat &amp; Environm Hlth, Dept Internal Med 2, 1-1 Iseigaoka,Yahatanish, Kitakyushu 8078555, Japan</t>
  </si>
  <si>
    <t>University of Occupational &amp; Environmental Health - Japan; University of Occupational &amp; Environmental Health - Japan</t>
  </si>
  <si>
    <t>Oginosawa, Y (corresponding author), Univ Occupat &amp; Environm Hlth, Dept Internal Med 2, 1-1 Iseigaoka,Yahatanish, Kitakyushu 8078555, Japan.</t>
  </si>
  <si>
    <t>y-ogi@med.uoeh-u.ac.jp</t>
  </si>
  <si>
    <t>10.1002/joa3.12925</t>
  </si>
  <si>
    <t>R7NS7</t>
  </si>
  <si>
    <t>WOS:001066191400001</t>
  </si>
  <si>
    <t>Zhou, T; Kong, XX; Bian, XH; Wang, ST; Liu, JS; Schmidt, LA</t>
  </si>
  <si>
    <t>Zhou, Tong; Kong, Xiaoxue; Bian, Xiaohua; Wang, Shuotian; Liu, Junsheng; Schmidt, Louis A.</t>
  </si>
  <si>
    <t>Maternal involvement and adolescents &amp; apos; psychological and academic adjustment after COVID-19 return-to-school: A one-year longitudinal study</t>
  </si>
  <si>
    <t>JOURNAL OF RESEARCH ON ADOLESCENCE</t>
  </si>
  <si>
    <t>COVID-19 return-to-school; daily routines; depressive symptoms; loneliness; maternal involvement; school adjustment</t>
  </si>
  <si>
    <t>STUDIES DEPRESSION SCALE; PARENTAL INVOLVEMENT; FAMILY ROUTINES; CHILD ROUTINES; MENTAL-HEALTH; CHINESE; ACHIEVEMENT; PERCEPTIONS; MEDIATION; STRESS</t>
  </si>
  <si>
    <t>The current study examined the idea that maternal involvement during the COVID-19 school closure period could contribute to the development of adolescents' daily routines, which could ultimately associate with their psychological and academic adjustment after return-to-school. Data were collected from 520 Chinese adolescents (M-age = 12.75 years, SDage = 1.48 years) and their mothers during the COVID-19 school closure and one year after return-to-school. Results indicated that maternal involvement in both education and leisure activities predicted more consistent adolescents' daily routines during the school closure period and then contributed to their more consistent daily routines after return-to-school, resulting in less psychological maladjustment and better academic outcomes. Findings highlight the importance of maternal involvement and daily routines in the context of COVID-19.</t>
  </si>
  <si>
    <t>[Zhou, Tong] East China Normal Univ, Sch Psychol &amp; Cognit Sci, Shanghai Key Lab Mental Hlth &amp; Psychol Crisis Inte, Shanghai, Peoples R China; [Kong, Xiaoxue; Schmidt, Louis A.] McMaster Univ, Dept Psychol Neurosci &amp; Behav, Hamilton, ON, Canada; [Bian, Xiaohua] Zhengzhou Normal Univ, Sch Educ Sci, Zhengzhou, Peoples R China; [Wang, Shuotian] Chinese Univ Hong Kong, Fac Educ, Hong Kong, Peoples R China; Shanghai Changning Mental Hlth Ctr, Dept Sci &amp; Educ, Shanghai, Peoples R China; [Liu, Junsheng] East China Normal Univ, Sch Psychol &amp; Cognit Sci, Shanghai Key Lab Mental Hlth &amp; Psychol Crisis Inte, 3663 North Zhongshan Rd, Shanghai 200062, Peoples R China</t>
  </si>
  <si>
    <t>East China Normal University; McMaster University; Zhengzhou Normal University; Chinese University of Hong Kong; East China Normal University</t>
  </si>
  <si>
    <t>Liu, JS (corresponding author), East China Normal Univ, Sch Psychol &amp; Cognit Sci, Shanghai Key Lab Mental Hlth &amp; Psychol Crisis Inte, 3663 North Zhongshan Rd, Shanghai 200062, Peoples R China.</t>
  </si>
  <si>
    <t>jsliu@psy.ecnu.edu.cn</t>
  </si>
  <si>
    <t>Zhou, Tong/0000-0001-7902-933X</t>
  </si>
  <si>
    <t>We are grateful to the families for their participation.</t>
  </si>
  <si>
    <t>1050-8392</t>
  </si>
  <si>
    <t>1532-7795</t>
  </si>
  <si>
    <t>J RES ADOLESCENCE</t>
  </si>
  <si>
    <t>J. Res. Adolesc.</t>
  </si>
  <si>
    <t>10.1111/jora.12885</t>
  </si>
  <si>
    <t>Family Studies; Psychology, Developmental</t>
  </si>
  <si>
    <t>Family Studies; Psychology</t>
  </si>
  <si>
    <t>R8ZR5</t>
  </si>
  <si>
    <t>WOS:001067186800001</t>
  </si>
  <si>
    <t>Zhou, XY; Qi, J; Zhou, D; Li, T; Wu, TL; Yang, WL; Xu, Y</t>
  </si>
  <si>
    <t>Zhou, Xiaoyun; Qi, Jing; Zhou, Dan; Li, Tao; Wu, Tianli; Yang, Wenlong; Xu, Ying</t>
  </si>
  <si>
    <t>In-Built Polaronic States Self-Regulation for Boosting Potassium-Ion Diffusion Kinetics</t>
  </si>
  <si>
    <t>bismuth oxyhalide; density functional theory; polaronic states; potassium-ion batteries; self-hybridized structures</t>
  </si>
  <si>
    <t>ANODE; NO</t>
  </si>
  <si>
    <t>Potassium ion batteries (PIBs) have attracted enormous attention due to their low cost and high abundance of potassium resources. Here, self-hybridized BiOBr0.5I0.5 with a flower-like structure composed of 2D nanosheets is assembled and used as PIBs anode. According to the systematic theoretical calculations, the unbalanced charge distribution between Br and I atoms induces an intensified internal electric field and a wide van der Waals gap; while the decreasing of electron polarons caused by the hybridized structure improves the stability and electronic conductivity of the system. Moreover, the K+ ion uptake induces an energetic evolution in polaronic states in the BiOBr0.5I0.5 crystal skeleton, whereby the dynamic K+ ion-halogen atoms correlation in situ forms hole-like polarons, which substantially promotes K+ ion diffusion kinetics and the corresponding reaction kinetics during charge/discharge processes, imparting significant implications for the design of high-performance energy storage electrode materials by engineering the interface interaction and electronic structure. Therefore, with this atomic orbital self-hybridized structure, the K+ ion diffusion kinetics and the corresponding reaction kinetics during the charge/discharge process are both enhanced remarkably, thus enabling a high electrochemical performance of 155 mAh g-1 at 1000 mA g-1 over 4000 cycles in PIBs with the BiOBr0.5I0.5 as the anode. The self-hybridization of BiOBr0.5I0.5 induces the intensified internal electric field and wider van der Waals gap, providing a fast diffusion path for K+ ion. Combining the decreasing of electron polarons induced by the hybridized structure and the in-situ formation of hole-like polarons caused by the dynamic K+ ion-halogen atoms correlation, the BiOBr0.5I0.5 exhibits a high electrochemical performance in potassium-ion batteries.image</t>
  </si>
  <si>
    <t>[Zhou, Xiaoyun; Qi, Jing; Zhou, Dan; Wu, Tianli] Henan Univ, Sch Future Technol, Kaifeng 475004, Peoples R China; [Li, Tao; Xu, Ying] Lanzhou Univ, Sch Mat &amp; Energy, Lanzhou 730000, Peoples R China; [Yang, Wenlong] Shandong Univ, Inst Frontier &amp; Interdisciplinary Sci, Sci Ctr Mat Creat &amp; Energy Convers, Shandong Prov Key Lab Sci Mat Creat &amp; Energy Conve, Qingdao 266237, Peoples R China</t>
  </si>
  <si>
    <t>Henan University; Lanzhou University; Shandong University</t>
  </si>
  <si>
    <t>Wu, TL (corresponding author), Henan Univ, Sch Future Technol, Kaifeng 475004, Peoples R China.;Xu, Y (corresponding author), Lanzhou Univ, Sch Mat &amp; Energy, Lanzhou 730000, Peoples R China.;Yang, WL (corresponding author), Shandong Univ, Inst Frontier &amp; Interdisciplinary Sci, Sci Ctr Mat Creat &amp; Energy Convers, Shandong Prov Key Lab Sci Mat Creat &amp; Energy Conve, Qingdao 266237, Peoples R China.</t>
  </si>
  <si>
    <t>tianliwu@henu.edu.cn; wlyang@sdu.edu.cn; xuying@lzu.edu.cn</t>
  </si>
  <si>
    <t>National Natural Science Foundation of China [52001151]; Taishan Scholar Project of Shandong Province of China [62460082161012]; Natural Science Foundation of Henan Province [202300410068]; Natural Science Foundation of Fujian Province [2022J05104]; Postdoctoral Foundation of Henan Province [201902029]; Science and Technology Foundation for Youths of Gansu Province [21JR7RA518]</t>
  </si>
  <si>
    <t>National Natural Science Foundation of China(National Natural Science Foundation of China (NSFC)); Taishan Scholar Project of Shandong Province of China; Natural Science Foundation of Henan Province; Natural Science Foundation of Fujian Province(Natural Science Foundation of Fujian Province); Postdoctoral Foundation of Henan Province; Science and Technology Foundation for Youths of Gansu Province</t>
  </si>
  <si>
    <t>This work was financially supported by the National Natural Science Foundation of China (52001151), the Taishan Scholar Project of Shandong Province of China (62460082161012), Natural Science Foundation of Henan Province (202300410068) and Fujian Province (2022J05104), Postdoctoral Foundation of Henan Province (201902029), and the Science and Technology Foundation for Youths of Gansu Province (21JR7RA518).</t>
  </si>
  <si>
    <t>10.1002/adfm.202308029</t>
  </si>
  <si>
    <t>R6PT4</t>
  </si>
  <si>
    <t>WOS:001065562900001</t>
  </si>
  <si>
    <t>Arun, KR; Dond, AK; Kumar, R</t>
  </si>
  <si>
    <t>Arun, K. R.; Dond, Asha K.; Kumar, Rakesh</t>
  </si>
  <si>
    <t>WENO smoothness indicator based troubled-cell indicator for hyperbolic conservation laws</t>
  </si>
  <si>
    <t>INTERNATIONAL JOURNAL FOR NUMERICAL METHODS IN FLUIDS</t>
  </si>
  <si>
    <t>adaptivity; compressible flow; Euler flow; finite difference; finite volume; hyperbolic conservation laws</t>
  </si>
  <si>
    <t>ESSENTIALLY NONOSCILLATORY SCHEMES; EFFICIENT IMPLEMENTATION; ADAPTIVE ORDER; ACCURACY; SIMULATIONS</t>
  </si>
  <si>
    <t>Hybrid algorithms are an efficient and popular choice for computing the solutions of hyperbolic conservation laws. In general, hybrid algorithms involve low-cost high-order accurate schemes in smooth regions and non-oscillatory shock-capturing schemes in the vicinity of discontinuities. Troubled-cell indicators which measure the smoothness of the solution play a significant role in the efficiency of hybrid algorithms. This article proposes a new troubled-cell indicator utilising the smoothness indicators of WENO schemes for hyperbolic conservation laws. The proposed troubled-cell indicators are simple, efficient, effective, and are used to construct three new adaptive WENO algorithms of high-order accuracy. The hybrid algorithms developed are independent of the order and type of the WENO reconstruction. For demonstration, we have considered the fifth and seventh order WENO-Z reconstruction. The first two algorithms have comparable accuracy and resolution of the solution across discontinuities to that of the WENO-Z scheme but at a less computational cost. The third algorithm ensures the convergence of the proposed scheme to the correct entropy solution when applied to a hyperbolic conservation law with non-convex flux for which the WENO schemes fail. We have performed several 1D and 2D numerical experiments to demonstrate the efficiency of the proposed algorithms and their performance compared with the WENO-Z schemes. The proposed algorithms are efficient and take 30%-75% less computational time than the WENO-Z schemes while retaining the advantages of WENO-Z schemes. 1. Simple, efficient and effective troubled-cell indicators are developed. 2. Three new adaptive WENO algorithms are proposed. 3. First two algorithms maintain the WENO scheme's accuracy while being less costly. 4. Third algorithm ensures the convergence to entropy solution of the WENO scheme.image</t>
  </si>
  <si>
    <t>[Arun, K. R.; Dond, Asha K.; Kumar, Rakesh] Indian Inst Sci Educ &amp; Res, Sch Math, Thiruvananthapuram, India; [Kumar, Rakesh] Indian Inst Sci Educ &amp; Res, Sch Math, Thiruvananthapuram 695551, India</t>
  </si>
  <si>
    <t>Indian Institute of Science Education &amp; Research (IISER) - Thiruvananthapuram; Indian Institute of Science Education &amp; Research (IISER) - Thiruvananthapuram</t>
  </si>
  <si>
    <t>Kumar, R (corresponding author), Indian Inst Sci Educ &amp; Res, Sch Math, Thiruvananthapuram 695551, India.</t>
  </si>
  <si>
    <t>rakeshiitb21@gmail.com</t>
  </si>
  <si>
    <t>Science and Engineering Research Board [CRG/2021/004078, MTR/2022/000265]</t>
  </si>
  <si>
    <t>Science and Engineering Research Board</t>
  </si>
  <si>
    <t>Science and Engineering Research Board, Grant/Award Numbers: CRG/2021/004078, MTR/2022/000265</t>
  </si>
  <si>
    <t>0271-2091</t>
  </si>
  <si>
    <t>1097-0363</t>
  </si>
  <si>
    <t>INT J NUMER METH FL</t>
  </si>
  <si>
    <t>Int. J. Numer. Methods Fluids</t>
  </si>
  <si>
    <t>2023 SEP 14</t>
  </si>
  <si>
    <t>10.1002/fld.5237</t>
  </si>
  <si>
    <t>Computer Science, Interdisciplinary Applications; Mathematics, Interdisciplinary Applications; Mechanics; Physics, Fluids &amp; Plasmas</t>
  </si>
  <si>
    <t>Computer Science; Mathematics; Mechanics; Physics</t>
  </si>
  <si>
    <t>R6GJ4</t>
  </si>
  <si>
    <t>WOS:001065316000001</t>
  </si>
  <si>
    <t>Crisci, L; Coppola, F; Petrone, A; Rega, N</t>
  </si>
  <si>
    <t>Crisci, Luigi; Coppola, Federico; Petrone, Alessio; Rega, Nadia</t>
  </si>
  <si>
    <t>Tuning ultrafast time-evolution of photo-induced charge-transfer states: A real-time electronic dynamics study in substituted indenotetracene derivatives</t>
  </si>
  <si>
    <t>electronic dynamics; indenotetracene; photo-induced charge-transfer; real-time TD-DFT; substituent effects</t>
  </si>
  <si>
    <t>DENSITY-FUNCTIONAL THEORY; SENSITIZED SOLAR-CELLS; SINGLET FISSION; EXCITATION-ENERGIES; QUANTUM DYNAMICS; TD-DFT; EXCITED-STATES; HARTREE-FOCK; ABSORPTION; 1ST-PRINCIPLES</t>
  </si>
  <si>
    <t>Photo-induced charge transfer (CT) states are pivotal in many technological and biological processes. A deeper knowledge of such states is mandatory for modeling the charge migration dynamics. Real-time time-dependent density functional theory (RT-TD-DFT) electronic dynamics simulations are employed to explicitly observe the electronic density time-evolution upon photo-excitation. Asymmetrically substituted indenotetracene molecules, given their potential application as n-type semiconductors in organic photovoltaic materials, are here investigated. Effects of substituents with different electron-donating characters are analyzed in terms of the overall electronic energy spacing and resulting ultrafast CT dynamics through linear response (LR-)TD-DFT and RT-TD-DFT based approaches. The combination of the computational techniques here employed provided direct access to the electronic density reorganization in time and to its spatial and rational representation in terms of molecular orbital occupation time evolution. Such results can be exploited to design peculiar directional charge dynamics, crucial when photoactive materials are used for light-harvesting applications.</t>
  </si>
  <si>
    <t>[Crisci, Luigi; Petrone, Alessio; Rega, Nadia] Univ Napoli Federico II, Dept Chem Sci, Complesso Univ MS Angelo, Naples, Italy; [Crisci, Luigi] Scuola Normale Super Pisa, Pisa, Italy; [Coppola, Federico; Petrone, Alessio; Rega, Nadia] Scuola Super Meridionale, Naples, Italy; [Petrone, Alessio; Rega, Nadia] Ist Nazl Fis Nucl, Sez Napoli, Complesso Univ MS Angelo Ed 6, Naples, Italy; [Petrone, Alessio; Rega, Nadia] Univ Napoli Federico II, Dept Chem Sci, Complesso Univ MS Angelo,Via Cintia 21, I-80126 Naples, Italy</t>
  </si>
  <si>
    <t>University of Naples Federico II; Scuola Normale Superiore di Pisa; Istituto Nazionale di Fisica Nucleare (INFN); University of Naples Federico II</t>
  </si>
  <si>
    <t>Petrone, A; Rega, N (corresponding author), Univ Napoli Federico II, Dept Chem Sci, Complesso Univ MS Angelo,Via Cintia 21, I-80126 Naples, Italy.</t>
  </si>
  <si>
    <t>alessio.petrone@unina.it; nadia.rega@unina.it</t>
  </si>
  <si>
    <t>; REGA, Nadia/C-3671-2008</t>
  </si>
  <si>
    <t>Coppola, Federico/0000-0002-5845-4211; REGA, Nadia/0000-0002-2983-766X</t>
  </si>
  <si>
    <t>Gaussian; Ministero dell'Universita e della Ricerca [PRIN 2017YJMPZN001, PRIN 202082CE3T_002]</t>
  </si>
  <si>
    <t>Gaussian; Ministero dell'Universita e della Ricerca(Ministry of Education, Universities and Research (MIUR))</t>
  </si>
  <si>
    <t>Gaussian; Ministero dell'Universita e della Ricerca, Grant/Award Numbers: PRIN 2017YJMPZN001, PRIN 202082CE3T_002</t>
  </si>
  <si>
    <t>10.1002/jcc.27231</t>
  </si>
  <si>
    <t>R8HL3</t>
  </si>
  <si>
    <t>WOS:001066711000001</t>
  </si>
  <si>
    <t>Frizell, CA; Stewart-Clark, S; Miles, ML</t>
  </si>
  <si>
    <t>Frizell, Carl A.; Stewart-Clark, Skylar; Miles, Monica L.</t>
  </si>
  <si>
    <t>Utilising cultural competemility as an anti-racism framework in medical education</t>
  </si>
  <si>
    <t>[Frizell, Carl A.] Meharry Med Coll, Sch Grad Studies &amp; Res, Dept Phys Assistant Sci, Nashville, TN 37208 USA</t>
  </si>
  <si>
    <t>Meharry Medical College</t>
  </si>
  <si>
    <t>Frizell, CA (corresponding author), Meharry Med Coll, Sch Grad Studies &amp; Res, Dept Phys Assistant Sci, Nashville, TN 37208 USA.</t>
  </si>
  <si>
    <t>cfrizell@mmc.edu</t>
  </si>
  <si>
    <t>Miles, Monica/0000-0003-0006-1842</t>
  </si>
  <si>
    <t>10.1111/medu.15235</t>
  </si>
  <si>
    <t>R9WW6</t>
  </si>
  <si>
    <t>WOS:001067791200001</t>
  </si>
  <si>
    <t>Midgley, J</t>
  </si>
  <si>
    <t>Midgley, Jeremy</t>
  </si>
  <si>
    <t>Epi-parasitic mistletoes don &amp; apos;t parasitise their host &amp; apos;s host and this supports the immunity hypothesis for host choice</t>
  </si>
  <si>
    <t>AFRICAN JOURNAL OF ECOLOGY</t>
  </si>
  <si>
    <t>epi-parasite; host choice; hyper-parasite; mistletoes</t>
  </si>
  <si>
    <t>Mistletoes have much higher transpiration rates than their hosts. This is the basis for the ecological compatibility hypothesis for host choice. The inability of mistletoes to penetrate a host and connect to its vascular system is the competing immunity hypothesis. Epi-parasites would have to transpire faster than their host mistletoe, which must transpire faster than its host. Therefore, epi-parasites should be able to parasitise their host's host. I surveyed epi-parasite host choice at a site and found this did not happen. Globally about a quarter of all epi-parasites are obligate. This supports the immunity hypothesis. Le taux de transpiration du gui est beaucoup plus eleve que celui de ses hotes. C'est la base de l' &amp; DLANGBRAC; hypothese de compatibilite &amp; drangbrac; ecologique pour le choix de l'hote. L'incapacite du gui a penetrer dans un hote et a se connecter a son systeme vasculaire est l'&amp; DLANGBRAC; hypothese concurrente de l'immunite &amp; drangbrac;. Les epi-parasites devraient transpirer plus vite que leur hote, le gui, qui doit transpirer plus vite que son hote. Par consequent, les epi-parasites devraient etre capables de parasiter l'hote de leur hote. J'ai etudie le choix de l'hote des epi-parasites sur un site et j'ai constate que ce n'etait pas le cas. Au niveau mondial, environ un quart de tous les epi-parasites sont stricts. Cela confirme l'hypothese de l'immunite.</t>
  </si>
  <si>
    <t>[Midgley, Jeremy] Univ Cape Town, Dept Biol Sci, ZA-7701 Cape Town, South Africa</t>
  </si>
  <si>
    <t>University of Cape Town</t>
  </si>
  <si>
    <t>Midgley, J (corresponding author), Univ Cape Town, Dept Biol Sci, ZA-7701 Cape Town, South Africa.</t>
  </si>
  <si>
    <t>jeremy.midgley@uct.ac.za</t>
  </si>
  <si>
    <t>Midgley, Jeremy/0000-0001-7831-2301</t>
  </si>
  <si>
    <t>I thank the South African National Parks for permission to make observations at WCNP during student field trips.</t>
  </si>
  <si>
    <t>0141-6707</t>
  </si>
  <si>
    <t>1365-2028</t>
  </si>
  <si>
    <t>AFR J ECOL</t>
  </si>
  <si>
    <t>Afr. J. Ecol.</t>
  </si>
  <si>
    <t>10.1111/aje.13212</t>
  </si>
  <si>
    <t>Ecology</t>
  </si>
  <si>
    <t>Environmental Sciences &amp; Ecology</t>
  </si>
  <si>
    <t>R6MZ7</t>
  </si>
  <si>
    <t>WOS:001065491200001</t>
  </si>
  <si>
    <t>Ngoma, TN; Monjerezi, M; Leslie, JF; Mvumi, BM; Harvey, JJW; Matumba, L</t>
  </si>
  <si>
    <t>Ngoma, Theresa N.; Monjerezi, Maurice; Leslie, John F.; Mvumi, Brighton M.; Harvey, Jagger J. W.; Matumba, Limbikani</t>
  </si>
  <si>
    <t>Comparative utility of hermetic and conventional grain storage bags for smallholder farmers: a meta-analysis</t>
  </si>
  <si>
    <t>JOURNAL OF THE SCIENCE OF FOOD AND AGRICULTURE</t>
  </si>
  <si>
    <t>food security; grain weight; insect infestation; mycotoxin contamination; postharvest loss; stored seed germination</t>
  </si>
  <si>
    <t>ZEA-MAYS L.; PICS BAGS; AFLATOXIN PRODUCTION; POSTHARVEST PRESERVATION; FUNGAL GROWTH; INSECT PESTS; MAIZE GRAIN; COWPEA; SEED; TECHNOLOGY</t>
  </si>
  <si>
    <t>Postharvest management is critical to attaining household food, nutrition, and income security. Hermetic grain storage bags offer an effective pesticide-free way to protect stored grain against fungal and insect infestation. We evaluated articles indexed in the Web of Science that included experiments comparing the storage efficacy of conventional and hermetic storage bags based on grain germination rate, insect infestation, physical damage, mycotoxin contamination, and changes in weight and moisture content. Compared with grain stored in hermetic bags, grain stored in conventional bags lost 3.6-fold more seed viability, contained 42-fold more insects, had 11-fold more physical damage, and lost 23-fold more grain weight, while grain moisture levels were similar for both hermetic and conventional storage bags. Mycotoxin contamination levels were not as frequently assessed. Levels could be low in grain stored in both types of bags, or levels could be low in hermetic bags and significantly higher in conventional bags. The improved properties of grain stored in hermetic bags can increase food security and household income by providing safe storage options for maintaining seed germinability, and for consumption and/or sale when food supplies are high, or when prices are low. Hermetic bags are economically feasible for use by subsistence farmers in Sub-Saharan Africa for grain for household consumption and for carrying-over seed for planting in the next season. Additional studies are needed to verify the mycotoxin contamination results and to determine if there are differences in functional food characteristics, e.g. flavor and cooking properties, that have not been as comprehensively studied. &amp; COPY; 2023 The Authors. Journal of The Science of Food and Agriculture published by John Wiley &amp; Sons Ltd on behalf of Society of Chemical Industry.</t>
  </si>
  <si>
    <t>[Matumba, Limbikani] Lilongwe Univ Agr &amp; Nat Resources LUANAR, Dept Agr &amp; Food Syst, POB 143, Lilongwe, Malawi; [Ngoma, Theresa N.; Matumba, Limbikani] Lilongwe Univ Agr &amp; Nat Resources LUANAR, Dept Agr &amp; Food Syst, Lilongwe, Malawi; [Ngoma, Theresa N.; Mvumi, Brighton M.] Univ Zimbabwe, Dept Agr &amp; Biosyst Engn, Harare, Zimbabwe; [Monjerezi, Maurice] Univ Malawi, Dept Chem &amp; Chem Engn, Zomba, Malawi; [Monjerezi, Maurice] Univ Malawi, Ctr Resilient Agrifood Syst CRAFS, Zomba, Malawi; [Leslie, John F.; Harvey, Jagger J. W.] Kansas State Univ, Throckmorton Plant Sci Ctr, Dept Plant Pathol, Manhattan, KS USA; [Harvey, Jagger J. W.] Kansas State Univ, Feed Future Innovat Lab Reduct Postharvest Loss, Manhattan, KS USA</t>
  </si>
  <si>
    <t>Lilongwe University of Agriculture &amp; Natural Resources; Lilongwe University of Agriculture &amp; Natural Resources; University of Zimbabwe; University of Malawi; University of Malawi; Kansas State University; Kansas State University</t>
  </si>
  <si>
    <t>Matumba, L (corresponding author), Lilongwe Univ Agr &amp; Nat Resources LUANAR, Dept Agr &amp; Food Syst, POB 143, Lilongwe, Malawi.</t>
  </si>
  <si>
    <t>lmatumba@luanar.ac.mw</t>
  </si>
  <si>
    <t>Leslie, John/0000-0002-6486-6992; Matumba, Limbikani/0000-0001-9152-2450</t>
  </si>
  <si>
    <t>McGovern-Dole Malawi [USDA FFE-612-2019/008-00]; Kansas Agricultural Experiment Station; USAID Feed the Future Lab for the Reduction of Postharvest Losses; USDA National Institute of Food and Agriculture Hatch Multi-state project; [FFE-612-2019/008-00]</t>
  </si>
  <si>
    <t>McGovern-Dole Malawi; Kansas Agricultural Experiment Station; USAID Feed the Future Lab for the Reduction of Postharvest Losses; USDA National Institute of Food and Agriculture Hatch Multi-state project;</t>
  </si>
  <si>
    <t>This work was supported in part by McGovern-Dole Malawi grant number is USDA FFE-612-2019/008-00, the Kansas Agricultural Experiment Station, the USAID Feed the Future Lab for the Reduction of Postharvest Losses, and USDA National Institute of Food and Agriculture Hatch Multi-state project KS1183A. Manuscript no. 23-091-J from the Kansas Agricultural Experiment Station, Manhattan.</t>
  </si>
  <si>
    <t>0022-5142</t>
  </si>
  <si>
    <t>1097-0010</t>
  </si>
  <si>
    <t>J SCI FOOD AGR</t>
  </si>
  <si>
    <t>J. Sci. Food Agric.</t>
  </si>
  <si>
    <t>10.1002/jsfa.12934</t>
  </si>
  <si>
    <t>Agriculture, Multidisciplinary; Chemistry, Applied; Food Science &amp; Technology</t>
  </si>
  <si>
    <t>Agriculture; Chemistry; Food Science &amp; Technology</t>
  </si>
  <si>
    <t>R6IZ5</t>
  </si>
  <si>
    <t>WOS:001065385600001</t>
  </si>
  <si>
    <t>Alcala-Orozco, EA; Grote, V; Fiebig, T; Klamt, S; Reichl, U; Rexer, T</t>
  </si>
  <si>
    <t>Alcala-Orozco, E. Alberto; Grote, Valerian; Fiebig, Timm; Klamt, Steffen; Reichl, Udo; Rexer, Thomas</t>
  </si>
  <si>
    <t>A Cell-Free Multi-enzyme Cascade Reaction for the Synthesis of CDP-Glycerol</t>
  </si>
  <si>
    <t>CHEMBIOCHEM</t>
  </si>
  <si>
    <t>biocatalysis; CDP-glycerol; design of experiments; multi-enzyme cascades</t>
  </si>
  <si>
    <t>WALL TEICHOIC-ACID; ONE-POT SYNTHESIS; HYPERTHERMOPHILIC ARCHAEON; POLYPHOSPHATE KINASE; ESCHERICHIA-COLI; CYTIDYLYLTRANSFERASE; PURIFICATION; SEROGROUP; PHOSPHATE; CATALYZES</t>
  </si>
  <si>
    <t>CDP-glycerol is a nucleotide-diphosphate-activated version of glycerol. In nature, it is required for the biosynthesis of teichoic acid in Gram-positive bacteria, which is an appealing target epitope for the development of new vaccines. Here, a cell-free multi-enzyme cascade was developed to synthetize nucleotide-activated glycerol from the inexpensive and readily available substrates cytidine and glycerol. The cascade comprises five recombinant enzymes expressed in Escherichia coli that were purified by immobilized metal affinity chromatography. As part of the cascade, ATP is regenerated in situ from polyphosphate to reduce synthesis costs. The enzymatic cascade was characterized at the laboratory scale, and the products were analyzed by high-performance anion-exchange chromatography (HPAEC)-UV and matrix-assisted laser desorption/ionization time-of-flight mass spectrometry (MALDI-TOF-MS). After the successful synthesis had been confirmed, a design-of-experiments approach was used to screen for optimal operation conditions (temperature, pH value and MgCl2 concentration). Overall, a substrate conversion of 89 % was achieved with respect to the substrate cytidine. A multi-enzyme cascade for the cell-free, one-pot synthesis of CDP-glycerol has been developed. Through a design-of-experiments approach, the yield of the cascade was increased from 10 to 89 % with respect to cytidine as a substrate. The final product titer after a batch time of 24 h was 31.2 mM CDP-glycerol.image</t>
  </si>
  <si>
    <t>[Alcala-Orozco, E. Alberto; Grote, Valerian; Reichl, Udo; Rexer, Thomas] Max Planck Inst Dynam Complex Tech Syst, Bioproc Engn, D-39106 Magdeburg, Germany; [Fiebig, Timm] Hannover Med Sch, Inst Clin Biochem, D-30625 Hannover, Germany; [Reichl, Udo] Otto von Guericke Univ, Inst Pathol, D-39104 Magdeburg, Germany; [Klamt, Steffen] Max Planck Inst Dynam Complex Tech Syst, Anal &amp; Redesign Biol Networks, D-39106 Magdeburg, Germany</t>
  </si>
  <si>
    <t>Max Planck Society; Hannover Medical School; Otto von Guericke University; Max Planck Society</t>
  </si>
  <si>
    <t>Rexer, T (corresponding author), Max Planck Inst Dynam Complex Tech Syst, Bioproc Engn, D-39106 Magdeburg, Germany.</t>
  </si>
  <si>
    <t>rexer@mpi-magdeburg.mpg.de</t>
  </si>
  <si>
    <t>Fiebig, Timm/0000-0002-2021-7296; Alcala Orozco, Edgar Alberto/0000-0002-3864-1335</t>
  </si>
  <si>
    <t>This work was supported by the International Max Planck Research School (IMPRS) at the Max Planck Institute for Dynamics of Complex Technical Systems Magdeburg. We thank Erdmann Rapp (glyXera gmbH) for his support with the MS analysis. Open Access; International Max Planck Research School (IMPRS) at the Max Planck Institute for Dynamics of Complex Technical Systems Magdeburg</t>
  </si>
  <si>
    <t>This work was supported by the International Max Planck Research School (IMPRS) at the Max Planck Institute for Dynamics of Complex Technical Systems Magdeburg. We thank Erdmann Rapp (glyXera gmbH) for his support with the MS analysis. Open Access funding enabled and organized by Projekt DEAL.</t>
  </si>
  <si>
    <t>1439-4227</t>
  </si>
  <si>
    <t>1439-7633</t>
  </si>
  <si>
    <t>ChemBioChem</t>
  </si>
  <si>
    <t>2023 SEP 13</t>
  </si>
  <si>
    <t>10.1002/cbic.202300463</t>
  </si>
  <si>
    <t>Biochemistry &amp; Molecular Biology; Chemistry, Medicinal</t>
  </si>
  <si>
    <t>Biochemistry &amp; Molecular Biology; Pharmacology &amp; Pharmacy</t>
  </si>
  <si>
    <t>R5DY3</t>
  </si>
  <si>
    <t>WOS:001064565700001</t>
  </si>
  <si>
    <t>Banu, S; Kato, M; Takubo, K; Okimoto, Y; Koshihara, S; Iwano, K; Kosaka, W; Miyasaka, H; Ishikawa, T</t>
  </si>
  <si>
    <t>Banu, Samiran; Kato, Mone; Takubo, Kou; Okimoto, Yoichi; Koshihara, Shinya; Iwano, Kaoru; Kosaka, Wataru; Miyasaka, Hitoshi; Ishikawa, Tadahiko</t>
  </si>
  <si>
    <t>Appearance of a Photoinduced Hidden State in the Electron Donor-Acceptor Type Metal-Organic Framework (NPr4)(2)[Fe-2(Cl(2)An)(3)]</t>
  </si>
  <si>
    <t>ADVANCED OPTICAL MATERIALS</t>
  </si>
  <si>
    <t>charge transfer dynamics; metal-organic frameworks; photoinduced hidden state; photoinduced ultrafast dynamics; structural dynamics</t>
  </si>
  <si>
    <t>PHASE-TRANSITION; IONIC PHASES; CHARGE; COMPOUND; CRYSTALS; SPECTRA</t>
  </si>
  <si>
    <t>Electron donor-acceptor (DA)-type metal-organic frameworks (MOFs) with valence instability are promising molecular materials for the design of photo-responsive and electronic/magnetic functional materials. Here, ultrafast photoinduced dynamics in a DA-type layered MOF that exhibits a charge-transfer (CT)-type phase transition are reported: (NPr4)(2)[Fe-2(Cl(2)An)(3)], where NPr4+ = tetra-n-propylammonium and Cl(2)An(2-) = 2,5-dichloro-3,6-dihydroxo-1,4-benzoquinonate. At room temperature (300 K: RT), ultrafast photoinduced CT between the Fe and Cl(2)An ions induces a sensitive change in the state associated with the valence instability from a single-chain, electron-correlated state to a new photoinduced, structurally modulated state. In the photoinduced state, two absorption bands are observed, one on the higher-energy side of the CT band and the other in the mid-IR range. This strongly implies that the local inversion center on the Cl(2)An ion that exists in the initial state disappears instantly upon photoexcitation, causing an ultrafast change in the lattice structure due to the softening of rigid bonds. This has never been realized in thermal excitation. These findings demonstrate that a new electronic state with a unique lattice structure-i.e., a photoinduced hidden state-appears in this MOF system at ultra-high speed (within 110 fs) upon photoexcitation at RT.</t>
  </si>
  <si>
    <t>[Banu, Samiran; Kato, Mone; Takubo, Kou; Okimoto, Yoichi; Koshihara, Shinya; Ishikawa, Tadahiko] Tokyo Inst Technol, Sch Sci, Dept Chem, 2-12-1 Ookayama,Meguro Ku, Tokyo 1528551, Japan; [Iwano, Kaoru] High Energy Accelerator Res Org KEK, Inst Mat Struct Sci, 1-1 Oho, Tsukuba, Ibaraki 3050801, Japan; [Kosaka, Wataru; Miyasaka, Hitoshi] Tohoku Univ, Inst Mat Res, 2-1-1 Katahira,Aoba Ku, Sendai 9808577, Japan</t>
  </si>
  <si>
    <t>Tokyo Institute of Technology; High Energy Accelerator Research Organization (KEK); Tohoku University</t>
  </si>
  <si>
    <t>Koshihara, S; Ishikawa, T (corresponding author), Tokyo Inst Technol, Sch Sci, Dept Chem, 2-12-1 Ookayama,Meguro Ku, Tokyo 1528551, Japan.</t>
  </si>
  <si>
    <t>koshihara.s.aa@m.titech.ac.jp; tishi@chem.titech.ac.jp</t>
  </si>
  <si>
    <t>JSPS KAKENHI [JP18H05208, JP21K03427, JP21H01900]; JST SPRING [JPMJSP2106]</t>
  </si>
  <si>
    <t>JSPS KAKENHI(Ministry of Education, Culture, Sports, Science and Technology, Japan (MEXT)Japan Society for the Promotion of ScienceGrants-in-Aid for Scientific Research (KAKENHI)); JST SPRING</t>
  </si>
  <si>
    <t>The authors acknowledge Dr. Ootake and Prof. Maesato for fruitful discussions. This work was supported by JSPS KAKENHI Grant Numbers JP18H05208, JP21K03427, and JP21H01900. This work was also supported by JST SPRING, Grant Number JPMJSP2106. This study was carried out using the TSUBAME3.0 supercomputer at the Tokyo Institute of Technology.</t>
  </si>
  <si>
    <t>2195-1071</t>
  </si>
  <si>
    <t>ADV OPT MATER</t>
  </si>
  <si>
    <t>Adv. Opt. Mater.</t>
  </si>
  <si>
    <t>10.1002/adom.202301554</t>
  </si>
  <si>
    <t>Materials Science, Multidisciplinary; Optics</t>
  </si>
  <si>
    <t>Materials Science; Optics</t>
  </si>
  <si>
    <t>R7OK3</t>
  </si>
  <si>
    <t>WOS:001066209100001</t>
  </si>
  <si>
    <t>Basak, S; Biswas, S; Naskar, J</t>
  </si>
  <si>
    <t>Basak, Shubhanwita; Biswas, Soumi; Naskar, Jishu</t>
  </si>
  <si>
    <t>Peptides and Peptide Derivatives as G-Quadruplex Targeting Ligands: A Brief Review</t>
  </si>
  <si>
    <t>Review</t>
  </si>
  <si>
    <t>Peptides; G-quadruplex; anti-cancer drug; Telomere; Telomerase; Oncogenes</t>
  </si>
  <si>
    <t>TELOMERIC G-QUADRUPLEX; PROMOTER G-QUADRUPLEX; END-BINDING PROTEIN; C-KIT PROMOTER; SELECTIVE RECOGNITION; DISTAMYCIN-A; DNA QUADRUPLEXES; SMALL-MOLECULE; SQUARE-PLANAR; NUCLEIC-ACIDS</t>
  </si>
  <si>
    <t>Genomic DNA adopts B-form canonically. Besides, the oligonucleotides can adopt various non-canonical secondary structures. These are hairpins, cruciforms, triplexes, quadruplexes (G4), i-motifs etc. G4s are usually formed by the guanine rich oligonucleotides and are found in both DNA and RNA. G4s are more frequently distributed in telomeres, promoter oncogenes, immunoglobulin switch regions, ribosomal DNA etc. Recently, it has been established that G4s are intriguingly connected with different human diseases including cancer. Stabilization of G4s by designed molecules or drugs impedes the transcription of several oncogenes and also creates encumbrance to the telomere biogenesis which is very important in impediment of cancer. G4 is treated as an important molecular target in the discovery of anti-cancer drugs. Among the G4 targeting molecules, peptides draw sincere attention due to its small size, simple synthetic methodology, low cytotoxicity and cellular permeability. In this review, our main discussion revolves around the formation of G4, distribution of G4 in genome, structurally diverse peptides (linear, cyclic, branch, conjugated) having potential to target G4 structures and its future perspectives. In this review, our discussion mainly focused on structurally diverse peptides (linear, cyclic, branch, conjugated) reported in literature between the years 2000 to 2022 having potential to target non-canonical G-quadruplex (G4) nucleic acid structures and its biomedical applications.image</t>
  </si>
  <si>
    <t>[Basak, Shubhanwita; Biswas, Soumi; Naskar, Jishu] Univ Kalyani, Dept Biochem &amp; Biophys, Nadia 741235, West Bengal, India</t>
  </si>
  <si>
    <t>Kalyani University</t>
  </si>
  <si>
    <t>Naskar, J (corresponding author), Univ Kalyani, Dept Biochem &amp; Biophys, Nadia 741235, West Bengal, India.</t>
  </si>
  <si>
    <t>jishunaskar@gmail.com</t>
  </si>
  <si>
    <t>University of Kalyani for URS fellowship; Department of Science and Technology (DST) [EEQ/2022/000738]; UGC-DAE [CRS/2021-22/04/634]</t>
  </si>
  <si>
    <t>University of Kalyani for URS fellowship; Department of Science and Technology (DST)(Department of Science &amp; Technology (India)); UGC-DAE</t>
  </si>
  <si>
    <t>Shubhanwita Basak acknowledges University of Kalyani for URS fellowship. Dr. Jishu Naskar is indebted to the Department of Science and Technology (DST) (EEQ/2022/000738) and UGC-DAE (CRS/2021-22/04/634) for funding.</t>
  </si>
  <si>
    <t>SEP 13</t>
  </si>
  <si>
    <t>e202302177</t>
  </si>
  <si>
    <t>10.1002/slct.202302177</t>
  </si>
  <si>
    <t>Q8OY2</t>
  </si>
  <si>
    <t>WOS:001060072000001</t>
  </si>
  <si>
    <t>Bedi, PK; Dehaan, K; Ofosu, D; Olmstead, D; Maclean, JE; Castro-Codesal, M</t>
  </si>
  <si>
    <t>Bedi, Prabhjot K.; Dehaan, Kristie; Ofosu, Daniel; Olmstead, Deborah; Maclean, Joanna E.; Castro-Codesal, Maria</t>
  </si>
  <si>
    <t>Predictors of NIV-related adverse events in children using long-term noninvasive ventilation</t>
  </si>
  <si>
    <t>PEDIATRIC PULMONOLOGY</t>
  </si>
  <si>
    <t>bilevel positive airway pressure; continuous positive airway pressure; noninvasive positive pressure ventilation; pediatrics</t>
  </si>
  <si>
    <t>POSITIVE AIRWAY PRESSURE; OBSTRUCTIVE SLEEP-APNEA; DIAGNOSIS</t>
  </si>
  <si>
    <t>Background and Objectives: An increasing number of children with diverse medical conditions are using long-term noninvasive ventilation (NIV). This study examined the impact of demographic, clinical, and technology-related factors on long-term NIV adverse events in a large cohort of children using long-term NIV.Methods: This was a multicenter retrospective review of all children who initiated long-term NIV in the province of Alberta, Canada, from January 2005 to September 2014, and followed until December 2015. Inclusion criteria were children who had used NIV for 3 months or more and had at least one follow-up visit with the NIV programs.Results: We identified 507 children who initiated NIV at a median age of 7.5 (interquartile range: 8.6) years and 93% of them reported at least one NIV-related adverse event during the initial follow-up visit. Skin injury (20%) and unintentional air leaks (19%) were reported more frequently at the initial visit. Gastrointestinal symptoms, midface hypoplasia, increased drooling, aspiration and pneumothorax were rarely reported (&lt;5%). Younger age and underlying conditions such as Down syndrome, achondroplasia, and Duchenne muscular dystrophy were early predictors of unintentional air leak. Younger age also predicted child sleep disruption in the short term and ongoing parental sleep disruption. Obesity was a risk factor for persistent nasal symptoms. Mask type was not a significant predictor for NIV-related short- or long-term complications.Conclusions: This study demonstrates that NIV-related complications are frequent. Appropriate mask-fitting and headgear adaptation, and a proactive approach to early detection may help to reduce adverse events.</t>
  </si>
  <si>
    <t>[Bedi, Prabhjot K.; Maclean, Joanna E.; Castro-Codesal, Maria] Univ Alberta, Fac Med &amp; Dent, Dept Pediat, Edmonton, AB, Canada; [Bedi, Prabhjot K.; Maclean, Joanna E.; Castro-Codesal, Maria] Univ Alberta, Women &amp; Childrens Hlth Res Inst, Edmonton, AB, Canada; [Dehaan, Kristie] Univ Alberta, Fac Med &amp; Dent, Dept Med, Edmonton, AB, Canada; [Olmstead, Deborah] Univ Alberta, Fac Nursing, Edmonton, AB, Canada; [Castro-Codesal, Maria] Univ Alberta, Dept Pediat, Div Resp Med, 11405 87 Ave,4 502 Edmonton Clin Hlth Acad ECHA, Edmonton, AB T6G 1C9, Canada</t>
  </si>
  <si>
    <t>University of Alberta; University of Alberta; University of Alberta; University of Alberta; University of Alberta</t>
  </si>
  <si>
    <t>Castro-Codesal, M (corresponding author), Univ Alberta, Dept Pediat, Div Resp Med, 11405 87 Ave,4 502 Edmonton Clin Hlth Acad ECHA, Edmonton, AB T6G 1C9, Canada.</t>
  </si>
  <si>
    <t>castroco@ualberta.ca</t>
  </si>
  <si>
    <t>Ofosu, Daniel/0000-0003-2152-6426</t>
  </si>
  <si>
    <t>Salary for a research fellowship was funded by the generous support of the Stollery Childrenamp;apos;s Hospital Foundation through the Women and Childrenamp;apos;s Health research Institute at the University of Alberta. Project funding was received from; Stollery Childrenamp;apos;s Hospital Foundation through the Women and Childrenamp;apos;s Health research Institute at the University of Alberta; Respiratory Health Strategic Clinical Network of Alberta Health Services</t>
  </si>
  <si>
    <t>Salary for a research fellowship was funded by the generous support of the Stollery Children &amp; apos;s Hospital Foundation through the Women and Children &amp; apos;s Health research Institute at the University of Alberta. Project funding was received from the Respiratory Health Strategic Clinical Network of Alberta Health Services.</t>
  </si>
  <si>
    <t>8755-6863</t>
  </si>
  <si>
    <t>1099-0496</t>
  </si>
  <si>
    <t>PEDIATR PULM</t>
  </si>
  <si>
    <t>Pediatr. Pulmonol.</t>
  </si>
  <si>
    <t>10.1002/ppul.26689</t>
  </si>
  <si>
    <t>Pediatrics; Respiratory System</t>
  </si>
  <si>
    <t>R7MV7</t>
  </si>
  <si>
    <t>WOS:001066168000001</t>
  </si>
  <si>
    <t>Chang, Y; Xiong, W; Zou, CM; Zeng, P; Hou, JZ; Muhitdinov, B; Shen, YY; Huang, YZ; Guo, SR</t>
  </si>
  <si>
    <t>Chang, Ya; Xiong, Wei; Zou, Chenming; Zeng, Ping; Hou, Jiazhen; Muhitdinov, Bahtiyor; Shen, Yuanyuan; Huang, Yongzhuo; Guo, Shengrong</t>
  </si>
  <si>
    <t>Mitigation of Anti-Drug Antibody Production for Augmenting Anticancer Efficacy of Therapeutic Protein via Co-Injection of Nano-Rapamycin</t>
  </si>
  <si>
    <t>anti-drug antibody; co-injection; immunological tolerance; rapamycin nanoparticles; trichosanthin</t>
  </si>
  <si>
    <t>DENDRITIC CELLS; T-CELLS; NANOPARTICLES; SIROLIMUS; DELIVERY; SAFETY; SITE</t>
  </si>
  <si>
    <t>The induction of anti-drug antibody (ADA) is a formidable challenge for protein-based therapy. Trichosanthin (TCS) as a class of ribosome-inactivating proteins is widely studied in tumor treatment. However, the immunogenicity can induce the formation of ADA, which can cause hypersensitivity reactions and neutralize the efficacy of TCS, thus limiting its clinical application in cancer therapy. Here, a promising solution to this issue is presented by co-administration of the rapamycin nanoparticles and TCS. PEGylated rapamycin amphiphilic molecule is designed and synthesized as a prodrug and a delivery carrier, which can self-assemble into a nanoparticle system with encapsulation of free rapamycin, a hydrophobic drug. It is found that co-injection of the PEGylated rapamycin nanoparticles and TCS could mitigate the formation of anti-TCS antibody via inducing durable immunological tolerance. Importantly, the combination of TCS and the rapamycin nanoparticles has an enhanced effect on inhibit the growth of breast cancer. This work provides a promising approach for protein toxin-based anticancer therapy and for promoting the clinical translation. Co-injection of the PEGylated rapamycin nanoparticles and a protein toxin (trichosanthin) can mitigate the formation of anti-drug antibody via inducing durable antigen-specific tolerance. The combination of trichosanthin and the rapamycin nanoparticles yields an enhanced effect to inhibit the growth of breast tumor.image</t>
  </si>
  <si>
    <t>[Chang, Ya; Zou, Chenming; Zeng, Ping; Shen, Yuanyuan; Guo, Shengrong] Shanghai Jiao Tong Univ, Sch Pharm, Shanghai 200240, Peoples R China; [Chang, Ya; Xiong, Wei; Hou, Jiazhen; Muhitdinov, Bahtiyor; Huang, Yongzhuo] Chinese Acad Sci, Shanghai Inst Mat Med, State Key Lab Drug Res, Shanghai 201203, Peoples R China; [Xiong, Wei] Guangzhou Univ Chinese Med, Artemisinin Res Ctr, Guangzhou 510450, Peoples R China; [Xiong, Wei; Huang, Yongzhuo] Chinese Acad Sci, Zhongshan Inst Drug Discovery, Shanghai Inst Mat Med, Zhongshan 528437, Peoples R China; [Hou, Jiazhen] Nanjing Univ Chinese Med, Sch Chinese Mat Med, 138 Xianlin Ave, Nanjing 210023, Peoples R China; [Muhitdinov, Bahtiyor] Uzbek Acad Sci, Inst Bioorgan Chem, Tashkent 100125, Uzbekistan; [Huang, Yongzhuo] Univ Chinese Acad Sci, Beijing 100049, Peoples R China</t>
  </si>
  <si>
    <t>Shanghai Jiao Tong University; Chinese Academy of Sciences; Shanghai Institute of Materia Medica, CAS; Guangzhou University of Chinese Medicine; Chinese Academy of Sciences; Shanghai Institute of Materia Medica, CAS; Nanjing University of Chinese Medicine; Academy of Sciences of Uzbekistan; Sadykov Institute of Bioorganic Chemistry; Chinese Academy of Sciences; University of Chinese Academy of Sciences, CAS</t>
  </si>
  <si>
    <t>Guo, SR (corresponding author), Shanghai Jiao Tong Univ, Sch Pharm, Shanghai 200240, Peoples R China.;Huang, YZ (corresponding author), Chinese Acad Sci, Shanghai Inst Mat Med, State Key Lab Drug Res, Shanghai 201203, Peoples R China.</t>
  </si>
  <si>
    <t>yzhuang@simm.ac.cn; srguo@sjtu.edu.cn</t>
  </si>
  <si>
    <t>Huang, Yongzhuo/A-4688-2013</t>
  </si>
  <si>
    <t>Huang, Yongzhuo/0000-0001-7067-8915</t>
  </si>
  <si>
    <t>National Key Research and Development Program of China (China) [2021YFE0103100, 2021YFC2400600]; NFSC (China) [81925035, 82073776, 82050410361]; Department of Science and Technology of Guangdong Province (Highlevel new RD institute) [2019B090904008]; Department of Science and Technology of Guangdong Province (High-level Innovative Research Institute) [2021B0909050003]; Zhongshan Municipal Bureau of Science and Technology [LJ2021001, CXTD2022011]; Chinese Pharmaceutical Association-Yiling Pharm Joint Grants (China) [CPAYLJ201901]</t>
  </si>
  <si>
    <t>National Key Research and Development Program of China (China); NFSC (China)(National Natural Science Foundation of China (NSFC)); Department of Science and Technology of Guangdong Province (Highlevel new RD institute); Department of Science and Technology of Guangdong Province (High-level Innovative Research Institute); Zhongshan Municipal Bureau of Science and Technology; Chinese Pharmaceutical Association-Yiling Pharm Joint Grants (China)</t>
  </si>
  <si>
    <t>This work was supported by the National Key Research and Development Program of China (2021YFE0103100 and 2021YFC2400600, China), the NFSC (81925035, 82073776, and 82050410361, China), the Chinese Pharmaceutical Association-Yiling Pharm Joint Grants (CPAYLJ201901, China), the Department of Science and Technology of Guangdong Province (Highlevel new R&amp;D institute 2019B090904008, High-level Innovative Research Institute 2021B0909050003), and the Zhongshan Municipal Bureau of Science and Technology (LJ2021001 and CXTD2022011).</t>
  </si>
  <si>
    <t>10.1002/smll.202303916</t>
  </si>
  <si>
    <t>R5OO0</t>
  </si>
  <si>
    <t>WOS:001064846100001</t>
  </si>
  <si>
    <t>Dai, XY; Xie, YJ; Feng, W; Chen, Y</t>
  </si>
  <si>
    <t>Dai, Xinyue; Xie, Yujie; Feng, Wei; Chen, Yu</t>
  </si>
  <si>
    <t>Nanomedicine-Enabled Chemical Regulation of Reactive X Species for Versatile Disease Treatments</t>
  </si>
  <si>
    <t>Biochemistry; Disease Treatment; Metabolic Regulation; Nanomedicine; Reactive X Species</t>
  </si>
  <si>
    <t>OXIDATIVE STRESS; MITOCHONDRIAL DYSFUNCTION; PHOTODYNAMIC THERAPY; NITRIC-OXIDE; H2SE DONORS; OXYGEN; CHEMISTRY; CANCER; PEROXYNITRITE; FERROPTOSIS</t>
  </si>
  <si>
    <t>Reactive X species (RXS), encompassing elements such as O, N, C, S, Se, Cl, Br, I, and H, play vital roles in cell biology and physiological function, impacting cellular signal transduction, metabolic regulation, and disease processes. The redox unbalance of RXS is firmly implicated in an assortment of physiological and pathological disorders, including cancer, diabetes, cardiovascular disease, and neurodegenerative diseases. However, the intricate nature and multifactorial dependence of RXS pose challenges in comprehending and precisely modulating their biological behavior. Nanomaterials with distinct characteristics and biofunctions offer promising avenues for generating or scavenging RXS to maintain redox homeostasis and advance disease therapy. This minireview provides a tutorial summary of the relevant chemistry and specific mechanisms governing different RXS, focusing on cellular metabolic regulation, stress responses, and the role of nanomedicine in RXS generation and elimination. The challenges associated with chemically regulating RXS for diverse disease treatments are further discussed along with the future prospects, aiming to facilitate the clinical translation of RXS-based nanomedicine and open new avenues for improved therapeutic interventions. This minireview provides a summary of the chemistry and mechanisms governing reactive species (RXS) based nanomedicine, focusing on metabolic regulation, the role of nanomedicine in RXS generation and elimination. The challenges and future prospects associated with RXS for disease treatments are further discussed, aiming to facilitate the clinical translation of RXS-based nanomedicine and open new avenues for improved therapeutic interventions.image</t>
  </si>
  <si>
    <t>[Dai, Xinyue; Xie, Yujie; Feng, Wei; Chen, Yu] Shanghai Univ, Sch Life Sci, Materdicine Lab, Shanghai 200444, Peoples R China; [Xie, Yujie; Chen, Yu] Shanghai Univ, Sch Med, Shanghai 200444, Peoples R China</t>
  </si>
  <si>
    <t>Shanghai University; Shanghai University</t>
  </si>
  <si>
    <t>Xie, YJ; Feng, W; Chen, Y (corresponding author), Shanghai Univ, Sch Life Sci, Materdicine Lab, Shanghai 200444, Peoples R China.</t>
  </si>
  <si>
    <t>xieyj@shu.edu.cn; fengw@shu.edu.cn; chenyuedu@shu.edu.cn</t>
  </si>
  <si>
    <t>Chen, Yu/N-8463-2015</t>
  </si>
  <si>
    <t>Chen, Yu/0000-0002-8206-3325</t>
  </si>
  <si>
    <t>This work was supported by National Natural Science Foundation of China (No. 52272279, 52072393, and 22205133), Shuguang Program (No. 21SG39), Shanghai Science and Technology Committee Rising-Star Program (No. 21QA1403100), Shanghai Sailing Program (No. 22 [52272279, 52072393, 22205133]; National Natural Science Foundation of China [21SG39]; Shuguang Program [21QA1403100]; Shanghai Science and Technology Committee [22YF1413000]; Shanghai Sailing Program [23S11900900]; Shanghai Science and Technology Committee Biomedical Program [20223BBH80014]; Key Science and Technology Research and Development Projects of Jiangxi Province [Y20220138]; Wenzhou Basic Scientific Research Project</t>
  </si>
  <si>
    <t>This work was supported by National Natural Science Foundation of China (No. 52272279, 52072393, and 22205133), Shuguang Program (No. 21SG39), Shanghai Science and Technology Committee Rising-Star Program (No. 21QA1403100), Shanghai Sailing Program (No. 22; National Natural Science Foundation of China(National Natural Science Foundation of China (NSFC)); Shuguang Program; Shanghai Science and Technology Committee(Shanghai Science &amp; Technology Committee); Shanghai Sailing Program; Shanghai Science and Technology Committee Biomedical Program; Key Science and Technology Research and Development Projects of Jiangxi Province; Wenzhou Basic Scientific Research Project</t>
  </si>
  <si>
    <t>This work was supported by National Natural Science Foundation of China (No. 52272279, 52072393, and 22205133), Shuguang Program (No. 21SG39), Shanghai Science and Technology Committee Rising-Star Program (No. 21QA1403100), Shanghai Sailing Program (No. 22YF1413000), Shanghai Science and Technology Committee Biomedical Program (23S11900900), Key Science and Technology Research and Development Projects of Jiangxi Province (No. 20223BBH80014) and Wenzhou Basic Scientific Research Project (No. Y20220138).</t>
  </si>
  <si>
    <t>10.1002/anie.202309160</t>
  </si>
  <si>
    <t>S3KL2</t>
  </si>
  <si>
    <t>WOS:001070189800001</t>
  </si>
  <si>
    <t>Gale, JR; Hartnett-Scott, K; Ross, MM; Rosenberg, PA; Aizenman, E</t>
  </si>
  <si>
    <t>Gale, Jenna R.; Hartnett-Scott, Karen; Ross, Madeline M.; Rosenberg, Paul A.; Aizenman, Elias</t>
  </si>
  <si>
    <t>Copper induces neuron-sparing, ferredoxin 1-independent astrocyte toxicity mediated by oxidative stress</t>
  </si>
  <si>
    <t>JOURNAL OF NEUROCHEMISTRY</t>
  </si>
  <si>
    <t>cell death; elesclomol; free radicals; glia; glioma; metal</t>
  </si>
  <si>
    <t>RAT CORTICAL-NEURONS; GLUTAMATE TRANSPORTER GLT-1; ANTICANCER DRUG ELESCLOMOL; TRANSCRIPTION FACTOR MTF-1; HYDROGEN-PEROXIDE; CELL-DEATH; METALLOTHIONEIN; METAL; SUPEROXIDE; COMPLEXES</t>
  </si>
  <si>
    <t>Copper is an essential enzyme cofactor in oxidative metabolism, anti-oxidant defenses, and neurotransmitter synthesis. However, intracellular copper, when improperly buffered, can also lead to cell death. Given the growing interest in the use of copper in the presence of the ionophore elesclomol (CuES) for the treatment of gliomas, we investigated the effect of this compound on the surround parenchyma-namely neurons and astrocytes in vitro. Here, we show that astrocytes were highly sensitive to CuES toxicity while neurons were surprisingly resistant, a vulnerability profile that is opposite of what has been described for zinc and other toxins. Bolstering these findings, a human astrocytic cell line was similarly sensitive to CuES. Modifications of cellular metabolic pathways implicated in cuproptosis, a form of copper-regulated cell death, such as inhibition of mitochondrial respiration or knock-down of ferredoxin 1 (FDX1), did not block CuES toxicity to astrocytes. CuES toxicity was also unaffected by inhibitors of apoptosis, necrosis or ferroptosis. However, we did detect the presence of lipid peroxidation products in CuES-treated astrocytes, indicating that oxidative stress is a mediator of CuES-induced glial toxicity. Indeed, treatment with anti-oxidants mitigated CuES-induced cell death in astrocytes indicating that oxidative stress is a mediator of CuES-induced glial toxicity. Lastly, prior induction of metallothioneins 1 and 2 in astrocytes with zinc plus pyrithione was strikingly protective against CuES toxicity. As neurons express high levels of metallothioneins basally, these results may partially account for their resistance to CuES toxicity. These results demonstrate a unique toxic response to copper in glial cells which contrasts with the cell selectivity profile of zinc, another biologically relevant metal.</t>
  </si>
  <si>
    <t>[Gale, Jenna R.; Hartnett-Scott, Karen; Ross, Madeline M.; Aizenman, Elias] Univ Pittsburgh, Sch Med, Dept Neurobiol, Pittsburgh, PA USA; [Gale, Jenna R.; Hartnett-Scott, Karen; Ross, Madeline M.; Aizenman, Elias] Univ Pittsburgh, Pittsburgh Inst Neurodegenerat Dis, Sch Med, Pittsburgh, PA USA; [Rosenberg, Paul A.] Boston Childrens Hosp, Dept Neurol, Boston, MA USA; [Rosenberg, Paul A.] Boston Childrens Hosp, FM Kirby Neurobiol Ctr, Boston, MA USA; [Rosenberg, Paul A.] Harvard Med Sch, Boston, MA USA; [Aizenman, Elias] Univ Pittsburgh, Dept Neurobiol, Sch Med, Pittsburgh, PA 15213 USA; [Aizenman, Elias] Univ Pittsburgh, Pittsburgh Inst Neurodegenerat Dis, Sch Med, Pittsburgh, PA 15213 USA</t>
  </si>
  <si>
    <t>Pennsylvania Commonwealth System of Higher Education (PCSHE); University of Pittsburgh; Pennsylvania Commonwealth System of Higher Education (PCSHE); University of Pittsburgh; Harvard University; Boston Children's Hospital; Harvard University; Boston Children's Hospital; Harvard University; Harvard Medical School; Pennsylvania Commonwealth System of Higher Education (PCSHE); University of Pittsburgh; Pennsylvania Commonwealth System of Higher Education (PCSHE); University of Pittsburgh</t>
  </si>
  <si>
    <t>Aizenman, E (corresponding author), Univ Pittsburgh, Dept Neurobiol, Sch Med, Pittsburgh, PA 15213 USA.;Aizenman, E (corresponding author), Univ Pittsburgh, Pittsburgh Inst Neurodegenerat Dis, Sch Med, Pittsburgh, PA 15213 USA.</t>
  </si>
  <si>
    <t>redox@pitt.edu</t>
  </si>
  <si>
    <t>Rosenberg, Paul/0000-0002-5185-1118; Aizenman, Elias/0000-0001-9610-4194; Gale, Jenna/0000-0003-2727-9497</t>
  </si>
  <si>
    <t>All experiments were conducted in compliance with the ARRIVE guidelines.</t>
  </si>
  <si>
    <t>0022-3042</t>
  </si>
  <si>
    <t>1471-4159</t>
  </si>
  <si>
    <t>J NEUROCHEM</t>
  </si>
  <si>
    <t>J. Neurochem.</t>
  </si>
  <si>
    <t>10.1111/jnc.15961</t>
  </si>
  <si>
    <t>Biochemistry &amp; Molecular Biology; Neurosciences</t>
  </si>
  <si>
    <t>Biochemistry &amp; Molecular Biology; Neurosciences &amp; Neurology</t>
  </si>
  <si>
    <t>R7PF1</t>
  </si>
  <si>
    <t>WOS:001066230400001</t>
  </si>
  <si>
    <t>Hou, LH; Yu, X; Wang, GH; Huang, WL; Zhu, XY; Liu, HZ; Nie, L; Zhang, WF; Qiu, JB; Xu, XH; Wang, T</t>
  </si>
  <si>
    <t>Hou, Lihui; Yu, Xue; Wang, Guohao; Huang, Wenlong; Zhu, Xuanyu; Liu, Haozhe; Nie, Lin; Zhang, Wenfei; Qiu, Jianbei; Xu, Xuhui; Wang, Ting</t>
  </si>
  <si>
    <t>Controllable Ultralong Phosphorescence through Substituent Modulation for Dynamic Anti-Counterfeiting</t>
  </si>
  <si>
    <t>afterglow duration; controllable phosphorescence lifetime; dynamic anti-counterfeiting; room temperature phosphorescence</t>
  </si>
  <si>
    <t>ROOM-TEMPERATURE PHOSPHORESCENCE; CARBON DOTS; EMISSION</t>
  </si>
  <si>
    <t>The development of highly stable and ultra-long organic room temperature phosphorescence (RTP) materials holds great promise for applications in anti-counterfeiting and information protection. To improve the encryption level, the exploration of organic materials with tunable phosphorescence and afterglow features is in urgent need. Hereby, a series of long-lived organic systems with RTP is developed by incorporating benzocarbazole derivatives into a polyvinyl alcohol (PVA) matrix (BCz@PVA). Notably, the BCz@PVA film exhibits outstanding RTP behavior with an ultralong phosphorescence lifetime (&amp; tau;p) of 2.09 s, high phosphorescence quantum yield (&amp; phi;p) of 46.335%, and an ultra-long afterglow duration of 15 s. Moreover, the BCz@PVA film maintains excellent RTP performance even after being placed in ambient conditions for 60 days. Theoretical calculations reveal that the excellent RTP performance of BCz@PVA film is attributed to the stronger intermolecular interactions, the smaller energy gap (&amp; UDelta;Est) between the singlet and triplet states, and stable molecular stacking mode. Furthermore, color-tunable photoluminescence (PL), distinct &amp; tau;p, and afterglow duration are successfully achieved by adjusting the position of the Br substituent on the benzene ring. Based on their diverse RTP performances and excellent stability, the corresponding BCz@PVA film provides successful application for multi-level high-security anti-counterfeiting and information protection. The benzocarbazole derivative is embedded in a polyvinyl alcohol matrix, and the doped film exhibits ultra-long phosphorescence lifetime (2.03 s) and afterglow duration (15 s). Furthermore, the controllable phosphorescence characteristics are achieved by adjusting the position of the bromine substituent on the benzene ring, and the significant controllable afterglow duration characteristics pave the way for multiple dynamic anti-counterfeiting applications.image</t>
  </si>
  <si>
    <t>[Hou, Lihui; Wang, Guohao; Huang, Wenlong; Zhu, Xuanyu; Liu, Haozhe; Nie, Lin; Wang, Ting] Chengdu Univ Technol, Coll Mat &amp; Chem &amp; Chem Engn, Chengdu 610059, Peoples R China; [Yu, Xue] Chengdu Univ, Inst Adv Mat Deformat &amp; Damage Multiscale, Sch Mech Engn, Chengdu 610106, Peoples R China; [Zhang, Wenfei] Shenzhen Univ, Coll Phys &amp; Optoelect Engn, Shenzhen Key Lab Laser Engn, Shenzhen 518060, Peoples R China; [Qiu, Jianbei; Xu, Xuhui] Kunming Univ Sci &amp; Technol, Fac Mat Sci &amp; Engn, Key Lab Adv Mat Yunnan Prov, Kunming 650093, Peoples R China</t>
  </si>
  <si>
    <t>Chengdu University of Technology; Chengdu University; Shenzhen University; Kunming University of Science &amp; Technology</t>
  </si>
  <si>
    <t>Wang, T (corresponding author), Chengdu Univ Technol, Coll Mat &amp; Chem &amp; Chem Engn, Chengdu 610059, Peoples R China.;Yu, X (corresponding author), Chengdu Univ, Inst Adv Mat Deformat &amp; Damage Multiscale, Sch Mech Engn, Chengdu 610106, Peoples R China.</t>
  </si>
  <si>
    <t>yuyu6593@126.com; wangtkm@foxmail.com</t>
  </si>
  <si>
    <t>National Nature Science Foundation of China (NSFC) [U2241236, 1220041913]; Sichuan Natural Science Foundation [2022YFH0108, 2022JDJQ0030]; Young Elite Scientists Sponsorship Program by CAST [2022QNRC001]; Project of Yunnan Provincial Natural Science Foundation [202101AT070126]</t>
  </si>
  <si>
    <t>National Nature Science Foundation of China (NSFC)(National Natural Science Foundation of China (NSFC)); Sichuan Natural Science Foundation; Young Elite Scientists Sponsorship Program by CAST; Project of Yunnan Provincial Natural Science Foundation</t>
  </si>
  <si>
    <t>This work was financially supported by the National Nature Science Foundation of China (NSFC) (U2241236, 1220041913), Sichuan Natural Science Foundation (2022YFH0108, 2022JDJQ0030), Young Elite Scientists Sponsorship Program by CAST (2022QNRC001), and the Project of Yunnan Provincial Natural Science Foundation (202101AT070126).</t>
  </si>
  <si>
    <t>10.1002/adom.202301812</t>
  </si>
  <si>
    <t>R5DN3</t>
  </si>
  <si>
    <t>WOS:001064554700001</t>
  </si>
  <si>
    <t>Khodadadi, Z; Owlia, MS; Amiri, A; Fallahnezhad, MS</t>
  </si>
  <si>
    <t>Khodadadi, Zahra; Owlia, Mohammad Saleh; Amiri, Amirhossein; Fallahnezhad, Mohammad Saber</t>
  </si>
  <si>
    <t>Development of control charts to monitor image data using the contourlet transform method</t>
  </si>
  <si>
    <t>average run length; contourlet transform; feature extraction; generalized likelihood ratio; image data; Phase II; statistical process monitoring</t>
  </si>
  <si>
    <t>In recent years, researchers and practitioners have been exploring new methods for quality control, including image processing. The effective use of high-volume image data can significantly improve the monitoring of production and service systems in terms of speed, accuracy, and cost. Adopting an image-based approach is better than relying on operator-based solutions, and it offers new perspectives for process monitoring. Image processing can involve extracting features to identify, classify, detect, and cluster. Although there are several transformations to extract features from images, the Fourier method cannot consider the concurrency of frequency and time data, and the wavelet method only considers two specific directions. In multidimensional transforms, the optimal method can provide more information using fewer coefficients. The contourlet transform has advantages such as multiresolution, localization, critical sampling, directionality, and anisotropy. This research investigates the advantages of applying the contourlet transform to images and using data in a generalized likelihood ratio control chart. The results show that this method is more accurate than others because it can examine various directions in images. The proposed methodology algorithm is also presented in this study.</t>
  </si>
  <si>
    <t>[Khodadadi, Zahra; Owlia, Mohammad Saleh; Fallahnezhad, Mohammad Saber] Yazd Univ, Dept Ind Engn, Yazd, Iran; [Amiri, Amirhossein] Shahed Univ, Dept Ind Engn, Tehran, Iran</t>
  </si>
  <si>
    <t>University of Yazd; Shahed University</t>
  </si>
  <si>
    <t>Owlia, MS (corresponding author), Yazd Univ, Dept Ind Engn, Yazd, Iran.</t>
  </si>
  <si>
    <t>owliams@yazd.ac.ir</t>
  </si>
  <si>
    <t>Owlia, Mohammad S./O-4290-2019; Amiri, Amirhossein/P-8484-2014</t>
  </si>
  <si>
    <t>Owlia, Mohammad S./0000-0002-6608-2446; Amiri, Amirhossein/0000-0002-2385-8910; Fallah Nezhad, Mohammad Saber/0000-0003-3343-2769</t>
  </si>
  <si>
    <t>The authors would like to express their gratitude to Dr Megahed from the University of Miami for generously sharing the images and MATLAB codes. Additionally, the authors extend their appreciation to the anonymous reviewer for providing valuable comments t</t>
  </si>
  <si>
    <t>The authors would like to express their gratitude to Dr Megahed from the University of Miami for generously sharing the images and MATLAB codes. Additionally, the authors extend their appreciation to the anonymous reviewer for providing valuable comments that greatly contributed to the enhancements made in this paper. The authors did not receive support from any organization for the submitted work.</t>
  </si>
  <si>
    <t>10.1002/qre.3441</t>
  </si>
  <si>
    <t>R5LV2</t>
  </si>
  <si>
    <t>WOS:001064774100001</t>
  </si>
  <si>
    <t>Kwak, SJ; Oh, SS; Ahn, YH; Kim, SH</t>
  </si>
  <si>
    <t>Kwak, Soo-Jung; Oh, Sang-Sun; Ahn, Yong-Hyun; Kim, Seung-Hoi</t>
  </si>
  <si>
    <t>A Novel Heterogeneous Copper Catalyst Immobilized on Polydopamine-Coated Magnetite for Click Reaction</t>
  </si>
  <si>
    <t>magnetite; polydopamine; copper; click reaction; triazoles</t>
  </si>
  <si>
    <t>HIGHLY EFFICIENT; NANOPARTICLES; 1,2,3-TRIAZOLES; CYCLOADDITION; NANOCATALYST; CHEMISTRY; NANOCOMPOSITE; TRIAZOLES; COMPLEX; DESIGN</t>
  </si>
  <si>
    <t>A novel catalyst has been afforded by immobilizing Cu(OAc)2 salt to polydopamine-coated magnetite (Fe3O4). The catalytic platform (Fe3O4@PDA@Cu) was fully characterized by Fourier transform infrared, Energy-dispersive X-ray, Scanning Electron Microscopy, and Thermogravimetric Analysis. The catalytic activity of the Fe3O4@PDA@Cu nanocatalyst was investigated in a green and effective synthesis of click reaction by applying three-component reactions of azide, alkyne, and benzyl surrogates in water, providing the corresponding 1,2,3-triazoles in high yield. Furthermore, the present nanocatalyst could be easily separated by an external magnet and reused several times without considerable reduction of its catalytic efficiency. Operational simplicity, environmental friendliness, economical processing, and easy workup are the features of the present protocol. A highly efficient and reusable nanocatalyst for click reactions has been developed by immobilizing Cu(OAc)2 salt to polydopamine-coated magnetite. The catalyst was characterized using various techniques and found to be effective for synthesizing 1,2,3-triazoles in high yield under green conditions in water. The process is simple, environmentally friendly, and economical, and the nanocatalyst can be easily separated and reused without significant loss of efficiency.image</t>
  </si>
  <si>
    <t>[Kwak, Soo-Jung; Oh, Sang-Sun; Ahn, Yong-Hyun; Kim, Seung-Hoi] Dankook Univ, Dept Chem, 119 Dandaero, Cheonan 31116, South Korea</t>
  </si>
  <si>
    <t>Dankook University</t>
  </si>
  <si>
    <t>Ahn, YH; Kim, SH (corresponding author), Dankook Univ, Dept Chem, 119 Dandaero, Cheonan 31116, South Korea.</t>
  </si>
  <si>
    <t>yhahn@dankook.ac.kr; kimsemail@dankook.ac.kr</t>
  </si>
  <si>
    <t>Not applicable</t>
  </si>
  <si>
    <t>e202302515</t>
  </si>
  <si>
    <t>10.1002/slct.202302515</t>
  </si>
  <si>
    <t>Q9QL3</t>
  </si>
  <si>
    <t>WOS:001060789000001</t>
  </si>
  <si>
    <t>Nishiya, A; Salles, N; de Almeida-Neto, C; Ferreira, S; Nogueira, F; Rocha, V; Mendrone, A</t>
  </si>
  <si>
    <t>Nishiya, Anna; Salles, Nanci; de Almeida-Neto, Cesar; Ferreira, Suzete; Nogueira, Fatima; Rocha, Vanderson; Mendrone, Alfredo</t>
  </si>
  <si>
    <t>Detection of unreported usage of the antiretroviral drug lamivudine in two blood donors</t>
  </si>
  <si>
    <t>TRANSFUSION</t>
  </si>
  <si>
    <t>blood donors; blood transfusion; HIV infection; HIV therapy; lamivudine; transfusion safety</t>
  </si>
  <si>
    <t>PLASMA-CONCENTRATIONS; HIV; SEROREVERSION; TENOFOVIR; EVOLUTION; THERAPY; VIRUS</t>
  </si>
  <si>
    <t>Background Unreported HIV antiretroviral (ARV) drug usage by blood donors compromises the ability to detect evidence of HIV infection in blood screening tests and represents a risk for blood transfusion safety. Our objective was to determine the frequency of undeclared ARV drug use by blood donors with altered HIV markers.Study Design and Methods This was a retrospective cross-sectional analysis of donations that were tested for HIV antibody (ab), antigen (ag), and RNA by chemiluminescent immunoassay and nucleic acid screening tests. Positive samples were retested and were subjected to ARV drug testing by high-performance liquid chromatography-tandem mass spectrometry.Results Of 345,252 blood donations, 361 (0.1%) were positive on initial testing. Samples from 296 (81.9%) of these donations were available for further analysis. The presence of HIV ab/ag and/or RNA was confirmed in 83 (28.0%) of these samples. All 296 bloods were subjected to ARV testing. The ARV drug lamivudine, at 11.3 and 6.7 ng/mL, was detected in 2 of 83 (2.4%) donations that were HIV positive. Other drugs were not detected.Conclusion Unreported ARV usage was identified in two candidates for blood donation. More intensive efforts to educate donors about disclosure and to investigate the extent of this phenomenon in Brazil are needed.</t>
  </si>
  <si>
    <t>[Nishiya, Anna; Salles, Nanci; de Almeida-Neto, Cesar; Ferreira, Suzete; Nogueira, Fatima; Rocha, Vanderson; Mendrone, Alfredo] Fundacao Prosangue Hemoctr Sao Paulo, Sao Paulo, Brazil; [Nishiya, Anna; Ferreira, Suzete; Rocha, Vanderson; Mendrone, Alfredo] Univ Sao Paulo, Hosp Clin HCFMUSP, Fac Med, Dept Hematol,Lab Med Invest Pathogenesis &amp; Targete, Sao Paulo, Brazil; [de Almeida-Neto, Cesar; Rocha, Vanderson] Fac Med Univ Sao Paulo FMUSP, Disciplina Ciencias Med, Sao Paulo, Brazil; [Rocha, Vanderson] Univ Oxford, Churchill Hosp, Oxford, England</t>
  </si>
  <si>
    <t>Universidade de Sao Paulo; University of Oxford</t>
  </si>
  <si>
    <t>Nishiya, A (corresponding author), Fundacao Prosangue Hemoctr Sao Paulo, Sao Paulo, Brazil.</t>
  </si>
  <si>
    <t>a_nishiya@hotmail.com</t>
  </si>
  <si>
    <t>Ferreira Spina Lombardi, Suzete Cleusa/K-1626-2016; DE ALMEIDA-NETO, CESAR/O-9224-2014</t>
  </si>
  <si>
    <t>Ferreira Spina Lombardi, Suzete Cleusa/0000-0002-4190-0238; DE ALMEIDA-NETO, CESAR/0000-0002-8490-4634; Nishiya, Anna/0000-0002-0623-1999</t>
  </si>
  <si>
    <t>Fundacao Pro-Sangue Hemocentro de Sao Paulo</t>
  </si>
  <si>
    <t>This study was supported by Fundacao Pro-Sangue Hemocentro de Sao Paulo. We thank the CISCRE Company (Campinas, SP, Brazil) who donated the INNO-LIA TM HIV I/II Score-FUJIREBIO kit for this study.</t>
  </si>
  <si>
    <t>0041-1132</t>
  </si>
  <si>
    <t>1537-2995</t>
  </si>
  <si>
    <t>Transfusion</t>
  </si>
  <si>
    <t>10.1111/trf.17544</t>
  </si>
  <si>
    <t>R8VK6</t>
  </si>
  <si>
    <t>WOS:001067075800001</t>
  </si>
  <si>
    <t>Park, S; Shin, D</t>
  </si>
  <si>
    <t>Park, Seonyoung; Shin, Donggyun</t>
  </si>
  <si>
    <t>Recent changes in the nature of the distribution dynamics of the US county incomes</t>
  </si>
  <si>
    <t>JOURNAL OF APPLIED ECONOMETRICS</t>
  </si>
  <si>
    <t>bipolarization; county; distribution dynamics; inequality; transfers</t>
  </si>
  <si>
    <t>UNITED-STATES; CONVERGENCE; POLARIZATION; GROWTH; INEQUALITY; MODELS; SKILL</t>
  </si>
  <si>
    <t>We study the evolution of the cross-sectional distributions of county-level per capita income in the United States from 1970 to 2017. We confirm previous findings of convergence in pre-transfer income during the 1970s and 1980s but present new evidence of rising inequality since the early 1990s, which is characterized by bipolarization. Cross-county differences in education and industry composition explain much of this recent trend, which almost disappears in post-transfer incomes. Among the various government transfer programs, medical benefits play the greatest role in making the distribution less unequal.</t>
  </si>
  <si>
    <t>[Park, Seonyoung; Shin, Donggyun] Colgate Univ, Dept Econ, Hamilton, NY USA; [Shin, Donggyun] Victoria Univ Wellington, Sch Econ &amp; Finance, Wellington, New Zealand; [Park, Seonyoung] Colgate Univ, Dept Econ, 221Persson Hall, Hamilton, NY 13346 USA</t>
  </si>
  <si>
    <t>Colgate University; Victoria University Wellington; Colgate University</t>
  </si>
  <si>
    <t>Park, S (corresponding author), Colgate Univ, Dept Econ, 221Persson Hall, Hamilton, NY 13346 USA.</t>
  </si>
  <si>
    <t>spark2@colgate.edu</t>
  </si>
  <si>
    <t>The authors have no conflicts of interest to disclose.</t>
  </si>
  <si>
    <t>This paper greatly benefited from the invaluable comments and constructive suggestions of the Co-Editor, Marco Del Negro, and anonymous referees. The authors are also grateful to the seminar participants at the University of Delaware and Korea University and participants at the Western Economic Association International 94th Annual Conference. Special thanks to Chirok Han and Gary Solon for discussions on instrumental variables and Olga Gorbachev, Jongwha Lee, Kwanho Shin, and Desmond Toohey for discussions on regional income convergence. This work was supported by the National Research Foundation of Korea grant funded by the Korean government (NRF-2014S1A5A2A03065052).r The authors have no conflicts of interest to disclose.</t>
  </si>
  <si>
    <t>0883-7252</t>
  </si>
  <si>
    <t>1099-1255</t>
  </si>
  <si>
    <t>J APPL ECONOMET</t>
  </si>
  <si>
    <t>J. Appl. Econom.</t>
  </si>
  <si>
    <t>10.1002/jae.3006</t>
  </si>
  <si>
    <t>Economics; Social Sciences, Mathematical Methods</t>
  </si>
  <si>
    <t>Business &amp; Economics; Mathematical Methods In Social Sciences</t>
  </si>
  <si>
    <t>R6LE2</t>
  </si>
  <si>
    <t>WOS:001065443400001</t>
  </si>
  <si>
    <t>Phetcharee, K; Jorn-am, T; Pholauyphon, W; Kwamman, T; Sirisit, N; Manyam, J; Chanthad, C; Paoprasert, P</t>
  </si>
  <si>
    <t>Phetcharee, Kulpriya; Jorn-am, Thanapat; Pholauyphon, Wasinee; Kwamman, Tanagorn; Sirisit, Natee; Manyam, Jedsada; Chanthad, Chalathorn; Paoprasert, Peerasak</t>
  </si>
  <si>
    <t>The Fabrication of Amine-Incorporated Zinc Complex/Carbon Dot Composite Electrodes Using Gamma Irradiation for High-Performance Supercapacitors</t>
  </si>
  <si>
    <t>amine incorporation; carbon dots; gamma irradiation; supercapacitor; zinc</t>
  </si>
  <si>
    <t>ELECTROCHEMICAL ENERGY-STORAGE; ZNO ELECTRODES; CARBON DOTS; FOAM; NANOSTRUCTURES; NANOCOMPOSITES</t>
  </si>
  <si>
    <t>Novel amine-incorporated zinc complex/carbon dots composites were created and used as supercapacitor electrode materials in this study. By using a one-step gamma irradiation, the amine-incorporated zinc complex/carbon dots composites were prepared from zinc acetate dihydrate, ethylenediamine, and carbon dots. The impacts of ethylenediamine and carbon dots on the performance of the supercapacitor were examined. The highest specific capacitance obtained in this work was 179.9 F g-1 along with an excellent 91 % capacitance retention after 10,000 cycles. To clarify the mechanistic insights on the improved supercapacitor performance, an electrochemical analysis was performed, and it was found that amine incorporation improved the diffusion process of charge transfer, which led to better charge storage and higher capacitance. We have demonstrated that gamma irradiation is a simple and efficient method for creating electro-active materials based on amine-incorporated zinc complex/carbon dots composites for supercapacitors with improved performance and electrochemical properties. Novel zinc complex/carbon dots composites were prepared using gamma irradiation. Addition of ethylenediamine improved the specific capacitance by 290.6 %. A specific capacitance of 179.9 F g-1 was obtained and a capacitance retention of 91 % was obtained after 10,000 cycles. Gamma irradiation produced unique composite materials for supercapacitor electrode.+image</t>
  </si>
  <si>
    <t>[Phetcharee, Kulpriya; Jorn-am, Thanapat; Pholauyphon, Wasinee; Sirisit, Natee; Paoprasert, Peerasak] Thammasat Univ, Fac Sci &amp; Technol, Dept Chem, Pathum Thani 12120, Thailand; [Kwamman, Tanagorn] Thailand Inst Nucl Technol, Ongkharak 26120, Nakhon Nayok, Thailand; [Manyam, Jedsada; Chanthad, Chalathorn] Natl Sci &amp; Technol Dev Agcy NSTDA, Natl Nanotechnol Ctr NANOTEC, Pathum Thani 12120, Thailand; [Paoprasert, Peerasak] Chulalongkorn Univ, Ctr Excellence Petrochem &amp; Mat Technol, Bangkok 10330, Thailand</t>
  </si>
  <si>
    <t>Thammasat University; Asian Institute of Technology; National Science &amp; Technology Development Agency - Thailand; National Nanotechnology Center (NANOTEC); Chulalongkorn University</t>
  </si>
  <si>
    <t>Paoprasert, P (corresponding author), Thammasat Univ, Fac Sci &amp; Technol, Dept Chem, Pathum Thani 12120, Thailand.;Paoprasert, P (corresponding author), Chulalongkorn Univ, Ctr Excellence Petrochem &amp; Mat Technol, Bangkok 10330, Thailand.</t>
  </si>
  <si>
    <t>peerasak@tu.ac.th</t>
  </si>
  <si>
    <t>Thammasat University Research Unit in Carbon Materials; Green Chemistry Innovations; Thailand Institute of Nuclear Technology (TINT); Ministry of Higher Education, Science, Research and Innovation (MHESI), Thailand; Hub of Talent: Sustainable Materials for Circular Economy, National Research Council of Thailand (NRCT); Thailand Graduate Institute of Science and Technology (TGIST) [SCA-CO-2559-2322-TH]; National Science and Technology Development Agency (NSTDA); Science Achievement Scholarship of Thailand; Commission of Higher Education; Ministry of Higher Education, Science, Research and Innovation; TU-NSTDA Excellent Research Graduate Scholarship [T1-64-01]</t>
  </si>
  <si>
    <t>Thammasat University Research Unit in Carbon Materials; Green Chemistry Innovations; Thailand Institute of Nuclear Technology (TINT); Ministry of Higher Education, Science, Research and Innovation (MHESI), Thailand; Hub of Talent: Sustainable Materials for Circular Economy, National Research Council of Thailand (NRCT); Thailand Graduate Institute of Science and Technology (TGIST); National Science and Technology Development Agency (NSTDA); Science Achievement Scholarship of Thailand; Commission of Higher Education; Ministry of Higher Education, Science, Research and Innovation; TU-NSTDA Excellent Research Graduate Scholarship</t>
  </si>
  <si>
    <t>This work is supported by the funding under Thammasat University Research Unit in Carbon Materials and Green Chemistry Innovations and TINT to University project, the Thailand Institute of Nuclear Technology (TINT), Ministry of Higher Education, Science, Research and Innovation (MHESI), Thailand. This research and innovation activity is also funded by Hub of Talent: Sustainable Materials for Circular Economy, National Research Council of Thailand (NRCT). K. Phetcharee is funded by the Thailand Graduate Institute of Science and Technology (TGIST: SCA-CO-2559-2322-TH), National Science and Technology Development Agency (NSTDA). W. Pholauyphon is funded by the Science Achievement Scholarship of Thailand, Commission of Higher Education, Ministry of Higher Education, Science, Research and Innovation. T. Jorn-am is supported by TU-NSTDA Excellent Research Graduate Scholarship, Contract No. T1-64-01.</t>
  </si>
  <si>
    <t>e202301428</t>
  </si>
  <si>
    <t>10.1002/slct.202301428</t>
  </si>
  <si>
    <t>Q8PA1</t>
  </si>
  <si>
    <t>WOS:001060073900001</t>
  </si>
  <si>
    <t>Samahita, M; Devereux, K</t>
  </si>
  <si>
    <t>Samahita, Margaret; Devereux, Kevin</t>
  </si>
  <si>
    <t>Are Economics Conferences Gender-Neutral? Evidence from Ireland</t>
  </si>
  <si>
    <t>OXFORD BULLETIN OF ECONOMICS AND STATISTICS</t>
  </si>
  <si>
    <t>BLIND; PROFESSION; DIVERSITY; WOMEN</t>
  </si>
  <si>
    <t>We study gender inequality in conference acceptance using data from the Irish Economic Association annual conference from 2016 to 2022, exploiting the introduction of anonymized submission in 2021 to study the effect of blinding. While no gender gap is observed in organizers' acceptance decisions, there is an indication of gender difference favouring the in-group at the reviewer stage. In particular, male reviewers persistently give higher scores to papers with an increasing share of male authors. Evidence suggests that the difference stems from unconscious stereotyping against lesser known female authors. Anonymization eliminates the gender gap of male reviewers, but introduces a gender gap in favour of male authors for female reviewers. We explore differential selection as an alternative explanation, finding that reviewer experience postblinding could potentially account for our results.</t>
  </si>
  <si>
    <t>[Samahita, Margaret] Univ Coll Dublin, Sch Econ, Dublin, Ireland; [Samahita, Margaret] Univ Coll Dublin, Geary Inst Publ Policy, Dublin, Ireland; [Devereux, Kevin] Peking Univ, Sch Econ, Beijing, Peoples R China</t>
  </si>
  <si>
    <t>University College Dublin; University College Dublin; Peking University</t>
  </si>
  <si>
    <t>Samahita, M (corresponding author), Univ Coll Dublin, Sch Econ, Dublin, Ireland.;Samahita, M (corresponding author), Univ Coll Dublin, Geary Inst Publ Policy, Dublin, Ireland.</t>
  </si>
  <si>
    <t>margaret.samahita@ucd.ie; kevin.devereux@pku.edu.cn</t>
  </si>
  <si>
    <t>Samahita, Margaret/AAT-8510-2020</t>
  </si>
  <si>
    <t>Samahita, Margaret/0000-0002-8693-1185</t>
  </si>
  <si>
    <t>Irish Economic Association; Irish Society for Women in Economics; IReL</t>
  </si>
  <si>
    <t>We thank Mide Griffin and Jingran Wang for excellent research assistance and the Irish Economic Association conference organizers 2016-22 for generously sharing their submissions data. We also thank Darragh Clancy, Orla Doyle, Anna Dreber-Almenberg, Helena Fornwagner, Brendan Kennelly, Tara McIndoe-Calder, Noemi Peter and seminar participants at University College Dublin, NUI Galway, the Central Bank of Ireland, the Irish Economic Association annual conference and the EEA Congress for helpful comments. This work was supported by the Irish Economic Association and the Irish Society for Women in Economics. Open access funding provided by IReL.</t>
  </si>
  <si>
    <t>0305-9049</t>
  </si>
  <si>
    <t>1468-0084</t>
  </si>
  <si>
    <t>OXFORD B ECON STAT</t>
  </si>
  <si>
    <t>Oxf. Bull. Econ. Stat.</t>
  </si>
  <si>
    <t>10.1111/obes.12575</t>
  </si>
  <si>
    <t>Economics; Social Sciences, Mathematical Methods; Statistics &amp; Probability</t>
  </si>
  <si>
    <t>Business &amp; Economics; Mathematical Methods In Social Sciences; Mathematics</t>
  </si>
  <si>
    <t>R5MH1</t>
  </si>
  <si>
    <t>WOS:001064786400001</t>
  </si>
  <si>
    <t>Sankhwar, S; Ahuja, R; Choubey, T; Jain, P; Jain, T; Verma, M</t>
  </si>
  <si>
    <t>Sankhwar, Shweta; Ahuja, Rupali; Choubey, Tanya; Jain, Priyanshi; Jain, Tanusha; Verma, Muskan</t>
  </si>
  <si>
    <t>Cybercrime in India: An analysis of crime against women in ever expanding digital space</t>
  </si>
  <si>
    <t>SECURITY AND PRIVACY</t>
  </si>
  <si>
    <t>communication security; information security; privacy</t>
  </si>
  <si>
    <t>The ever expanding digital space and government initiatives like Digital India have increased connectivity, digitization, remote employment which empowered us with technology and made our lifestyle easy and fast but as digitization is enhancing, cyberattacks are proportionally growing. In the initial stage of this study, it was observed from the data analysis and it was evident that women are particularly a soft target of many cybercriminals and cyber fraudsters. Women feel insecure in cyberspace, hence there is a need to dive deeper into our understanding and statistics of cybercrimes against women in India. It becomes necessary to determine the factors that have led to the clear surge of such crimes in recent years. In recent studies no such analysis is done focusing on geographical factors and top most cybercrime types committed against women. Therefore, in this article, prediction for cybercrime trends against women was performed using statistical tools and techniques to provide a better insight into the current scenario revolving around cybercrimes and women. A regressive statistical analysis of cybercrime data of all states of India to understand the current trend of cybercrimes, identification of the most vulnerable states of India and specific cybercrime with their percentage in whole, also where cybercrime afflicted women stand in those numbers. Further, for preventive measures a robust guidelines is proposed to combat cybercrimes for a better future.</t>
  </si>
  <si>
    <t>[Sankhwar, Shweta; Ahuja, Rupali; Choubey, Tanya; Jain, Priyanshi; Jain, Tanusha; Verma, Muskan] Univ Delhi, Dept Comp Sci, Maitreyi Coll, New Delhi, India</t>
  </si>
  <si>
    <t>University of Delhi</t>
  </si>
  <si>
    <t>Sankhwar, S; Ahuja, R (corresponding author), Univ Delhi, Dept Comp Sci, Maitreyi Coll, New Delhi, India.</t>
  </si>
  <si>
    <t>shweta.sank@gmail.com; rahuja@maitreyi.du.ac.in</t>
  </si>
  <si>
    <t>We express our sincere thanks to the Center for Research (CFR), Maitreyi College, University of Delhi, for giving us the opportunity to work on this research project and providing the required resources for conducting the same.; Center for Research (CFR)</t>
  </si>
  <si>
    <t>We express our sincere thanks to the Center for Research (CFR), Maitreyi College, University of Delhi, for giving us the opportunity to work on this research project and providing the required resources for conducting the same.</t>
  </si>
  <si>
    <t>2475-6725</t>
  </si>
  <si>
    <t>SECUR PRIVACY</t>
  </si>
  <si>
    <t>Secur. Priv.</t>
  </si>
  <si>
    <t>e340</t>
  </si>
  <si>
    <t>10.1002/spy2.340</t>
  </si>
  <si>
    <t>Computer Science, Information Systems; Telecommunications</t>
  </si>
  <si>
    <t>Computer Science; Telecommunications</t>
  </si>
  <si>
    <t>R7TX7</t>
  </si>
  <si>
    <t>WOS:001066354500001</t>
  </si>
  <si>
    <t>Santori, P</t>
  </si>
  <si>
    <t>Santori, Paolo</t>
  </si>
  <si>
    <t>Augustinian Roots of Rawls &amp; apos;s Second Principle of Justice: Grace and Fair Equality of Opportunity</t>
  </si>
  <si>
    <t>MODERN THEOLOGY</t>
  </si>
  <si>
    <t>RAWLS</t>
  </si>
  <si>
    <t>The debate over John Rawls's two principles of justice is ongoing. Among the many controversies, there is a hierarchal relationship within the second principle of justice. Scholars have long discussed the meaning and desirability of the lexical priority of the principle of fair equality of opportunity over the difference principle. The present article explores this topic from an unusual and underdeveloped angle. The controversy will be analyzed through the theological categories developed by the young Rawls in his work A Brief Inquiry into the Meaning of Sin and Faith. There, Rawls rejected the Pelagian heresy, according to which human beings can merit their salvation in a contractual relationship with God. Conversely, they can perform actions and deeds with implications for their eternal life by virtue of the gratuitous and undeserved intervention of God. I will show how this theological understanding became a political idea expressed precisely in the content and structure of the second principle of justice. As final remarks, I will argue that the appeal to the young Rawls's idea can be a suitable, yet unexpected, way in which the comprehensive doctrine of Christianity can support the political conception of justice expressed in Rawls's second major work, Political Liberalism.</t>
  </si>
  <si>
    <t>[Santori, Paolo] Tilburg Univ, Dept Philosophy, POB 90153, NL-5000 LE Tilburg, Netherlands</t>
  </si>
  <si>
    <t>Tilburg University</t>
  </si>
  <si>
    <t>Santori, P (corresponding author), Tilburg Univ, Dept Philosophy, POB 90153, NL-5000 LE Tilburg, Netherlands.</t>
  </si>
  <si>
    <t>p.santori@tilburguniversity.edu</t>
  </si>
  <si>
    <t>0266-7177</t>
  </si>
  <si>
    <t>1468-0025</t>
  </si>
  <si>
    <t>MOD THEOL</t>
  </si>
  <si>
    <t>Mod. Theol.</t>
  </si>
  <si>
    <t>10.1111/moth.12891</t>
  </si>
  <si>
    <t>Religion</t>
  </si>
  <si>
    <t>R8VC9</t>
  </si>
  <si>
    <t>WOS:001067068100001</t>
  </si>
  <si>
    <t>Song, Y; Zhang, Q; Li, YX; Lin, JX; Lin, JM</t>
  </si>
  <si>
    <t>Song, Yang; Zhang, Qiang; Li, Yuxuan; Lin, Jiaxu; Lin, Jin-Ming</t>
  </si>
  <si>
    <t>In Situ Time-Controllable Chemical Plasma Membrane Injury by Microfluidic Probe Reveals Self-Repair Ability of Single Cells</t>
  </si>
  <si>
    <t>ADVANCED MATERIALS TECHNOLOGIES</t>
  </si>
  <si>
    <t>cell heterogeneity; microfluidic probes; plasma membrane repair; single cells</t>
  </si>
  <si>
    <t>MECHANISMS; DAMAGE</t>
  </si>
  <si>
    <t>The loss of plasma membrane integrity poses a serious threat to cells, and the plasma membrane repair mechanism is vital to cell survival. To investigate the plasma membrane repair mechanism, a method for causing controllable plasma membrane injury on single cells and the visualization of the plasma membrane repair process are proposed. A microregion with harmful chemicals is created by open microfluidic probe, which is applied to target single cells for injury. The injury time is precisely controlled by simply moving the target cells in and out of the microregion. Wound-repair process caused by injury is analyzed by fluorescence imaging in real time, revealing the repair kinetics at the single cell level. Using this method, the effect of external conditions (Ca2+, Mg2+, glucose) on plasma membrane repair in single cells is studied and the dynamics of intracellular species (Ca2+) is monitored. Meanwhile, cellular heterogeneity of plasma membrane repair is revealed. This method provides a precise way to induce chemical plasma membrane injury at the single-cell level, which is a promising tool to study the mechanism of plasma membrane repair. A method for plasma membrane repair studies by using microfluidic probes is constructed. The repair process of single cells in different conditions is investigated by this method. This method can cause time-controlled chemical injury to single cells, which is a promising tool for studying plasma membrane repair mechanisms and self-repair capacity of single cells.image</t>
  </si>
  <si>
    <t>[Song, Yang; Zhang, Qiang; Li, Yuxuan; Lin, Jiaxu; Lin, Jin-Ming] Tsinghua Univ, Beijing Key Lab Microanalyt Methods &amp; Instrumentat, Key Lab Bioorgan Phosphorus Chem &amp; Chem Biol, Dept Chem,Minist Educ, Beijing 100084, Peoples R China</t>
  </si>
  <si>
    <t>Tsinghua University</t>
  </si>
  <si>
    <t>Zhang, Q; Lin, JM (corresponding author), Tsinghua Univ, Beijing Key Lab Microanalyt Methods &amp; Instrumentat, Key Lab Bioorgan Phosphorus Chem &amp; Chem Biol, Dept Chem,Minist Educ, Beijing 100084, Peoples R China.</t>
  </si>
  <si>
    <t>zhangq2022@mail.tsinghua.edu.cn; jmlin@mail.tsinghua.edu.cn</t>
  </si>
  <si>
    <t>National Key Research and Development Program of China [2022YFC3400700]; National Natural Science Foundation of China [22034005, 81973569]; China Postdoctoral Science Foundation [2022M721805]</t>
  </si>
  <si>
    <t>National Key Research and Development Program of China; National Natural Science Foundation of China(National Natural Science Foundation of China (NSFC)); China Postdoctoral Science Foundation(China Postdoctoral Science Foundation)</t>
  </si>
  <si>
    <t>This work was supported by the National Key Research and Development Program of China (no. 2022YFC3400700), the National Natural Science Foundation of China (nos. 22034005 and 81973569) and the China Postdoctoral Science Foundation (2022M721805).</t>
  </si>
  <si>
    <t>2365-709X</t>
  </si>
  <si>
    <t>ADV MATER TECHNOL-US</t>
  </si>
  <si>
    <t>Adv. Mater. Technol.</t>
  </si>
  <si>
    <t>10.1002/admt.202301147</t>
  </si>
  <si>
    <t>R5DN6</t>
  </si>
  <si>
    <t>WOS:001064555000001</t>
  </si>
  <si>
    <t>Tavasli, A; Kocaaga, B; Guner, FS</t>
  </si>
  <si>
    <t>Tavasli, Aybuke; Kocaaga, Banu; Guner, F. Seniha</t>
  </si>
  <si>
    <t>Development of Procaine Loaded Transdermal Patches Based on Biopolymer Pectin, Castor Oil, and Polyethylene Glycol for Controllable Drug Release Studies and Their Characterizations</t>
  </si>
  <si>
    <t>Biopolymer; castor oil; drug delivery; pectin; transdermal patch</t>
  </si>
  <si>
    <t>HYDROGEN-BONDING INTERACTION; SKIN-PENETRATION ENHANCERS; POLY(ETHYLENE GLYCOL); METHOXYL PECTIN; DELIVERY; ALCOHOL; PERMEATION; FTIR</t>
  </si>
  <si>
    <t>Transdermal drug delivery systems have considerable attention in clinical and point-of-care applications due to their superior advantages such as non-invasive properties and keeping drug efficiency. To overcome the skin barrier, penetration enhancers are employed in the patch design. Chemical penetration enhancers are the most frequently applied way to improve drug diffusion through the barrier. Transdermal patches are designed as a drug-loaded thin-film hydrogel. Since the patch material must be biocompatible and eco-friendly, in this study, pectin-based transdermal patches are designed, and procaine, a painkiller drug is chosen as a model drug. Benzyl alcohol, polyethylene glycol, and castor oil are selected as chemical penetration enhancers. Drug diffusion experiments are carried out by using Franz diffusion cells at 37 &amp; DEG;C. Fourier transform infrared spectroscopy (FTIR) and differential scanning calorimetry (DSC) are used to characterize the chemical structure and thermal properties of the patches. The patches are evaluated by the contact angle measurement and the swelling test in terms of their hydrophilicity and water uptake. Regarding in vitro drug release experiments by Franz diffusion cells, drug-loaded patches were examined (CxPy-PC; C-castor oil, P-PEG, x-y amounts (mg)). It is found that the most promising results come from C10-P5-PC (12.7 mg drug/g film) and C30-P5-PC (11.4 mg drug/ g film) which can be attributed to the synergetic and optimum amount of polyethylene glycol and castor oil. Transdermal drug delivery is a new-generation drug delivery method. In this study, drug molecules are released through a biocompatible hydrogel patch with the help of pectin-based hydrogel structure, chemical penetration enhancers castor oil (CO), and polyethylene glycol (PEG). The hydrophilic structure of PEG and pectin hydrogel and the hydrogel's porosity structure are crucial elements for transdermal drug delivery. Franz diffusion cell experiments are carried out at 37 &amp; DEG;C to examine drug delivery through a synthetic membrane which is aimed to mimic the skin. Fourier transform infrared spectroscopy (FTIR) and differential scanning calorimetry (DSC) are used to characterize the patches &amp; PRIME; chemical structure and thermal properties. The patches are evaluated by the contact angle measurement and the swelling test. Results from the Franz diffusion cells show that the most promising results come from C10-P5-PC (12.7 mg drug/g film) and C30-P5-PC (11.4 mg drug/g film) which can be attributed to the synergetic and optimum amount of PEG and CO.image</t>
  </si>
  <si>
    <t>[Tavasli, Aybuke] Istanbul Tech Univ, Dept Mat Sci &amp; Engn, TR-34469 Istanbul, Turkiye; [Kocaaga, Banu; Guner, F. Seniha] Istanbul Tech Univ, Dept Chem Engn, TR-34469 Istanbul, Turkiye</t>
  </si>
  <si>
    <t>Istanbul Technical University; Istanbul Technical University</t>
  </si>
  <si>
    <t>Tavasli, A (corresponding author), Istanbul Tech Univ, Dept Mat Sci &amp; Engn, TR-34469 Istanbul, Turkiye.</t>
  </si>
  <si>
    <t>tavasli17@itu.edu.tr</t>
  </si>
  <si>
    <t>Scientific Research Projects (BAP) - ITU [MYL-2018-41820]</t>
  </si>
  <si>
    <t>Scientific Research Projects (BAP) - ITU</t>
  </si>
  <si>
    <t>This research was supported by Scientific Research Projects (BAP) - ITU with project number MYL-2018-41820.</t>
  </si>
  <si>
    <t>e202301115</t>
  </si>
  <si>
    <t>10.1002/slct.202301115</t>
  </si>
  <si>
    <t>Q8OW2</t>
  </si>
  <si>
    <t>WOS:001060070000001</t>
  </si>
  <si>
    <t>Wackym, PA; Toh, EHY; Moody-Antonio, SA; Woodard, TD</t>
  </si>
  <si>
    <t>Wackym, Phillip Ashley; Toh, Elizabeth Hui Yee; Moody-Antonio, Stephanie Ann; Woodard, Troy D.</t>
  </si>
  <si>
    <t>The Intersection Between Meritocracy and Diversity, Equity, and Inclusion</t>
  </si>
  <si>
    <t>OTOLARYNGOLOGY-HEAD AND NECK SURGERY</t>
  </si>
  <si>
    <t>diversity; equity; inclusion; meritocracy</t>
  </si>
  <si>
    <t>Embracing meritocracy and diversity, equity, and inclusion is critical to the future of otolaryngology-head and neck surgery. Understanding the intersection of these two concepts is particularly important. Meritocracy, a key principle utilized in academic medicine and surgery, rewards individual achievement. However, it can inadvertently result in a widening disparity between individuals who have access to environments promoting and facilitating meritocracy and those facing systemic structural barriers. Navigating the intersection of meritocracy and diversity, equity, and inclusion is a complex endeavor. However, it is crucial to understand that these concepts can coexist. With a balanced approach, we can appreciate individual merit while fostering diversity, equity, and inclusion. It requires a commitment to systemic change, ongoing evaluation, and collaboration to create environments where everyone has an equal opportunity to succeed and contribute unique talents and perspectives. Through these efforts, our specialty of otolaryngology-head and neck surgery will be stronger.</t>
  </si>
  <si>
    <t>[Wackym, Phillip Ashley] Rutgers Robert Wood Johnson Med Sch, Dept Otolaryngol Head &amp; Neck Surg, New Brunswick, NJ USA; [Toh, Elizabeth Hui Yee] Lahey Hosp &amp; Med Ctr, Dept Otolaryngol Head &amp; Neck Surg, Burlington, MA USA; [Moody-Antonio, Stephanie Ann] Eastern Virginia Sch Med, Dept Otolaryngol, Norfolk, VA USA; [Woodard, Troy D.] Cleveland Clin, Head &amp; Neck Inst, Cleveland, OH USA; [Wackym, Phillip Ashley] Rutgers Robert Wood Johnson Med Sch, Dept Otolaryngol Head &amp; Neck Surg, 210 Somerset St,11th Floor, New Brunswick, NJ 08901 USA</t>
  </si>
  <si>
    <t>Rutgers State University New Brunswick; Rutgers State University Medical Center; Lahey Hospital &amp; Medical Center; Cleveland Clinic Foundation; Rutgers State University New Brunswick; Rutgers State University Medical Center</t>
  </si>
  <si>
    <t>Wackym, PA (corresponding author), Rutgers Robert Wood Johnson Med Sch, Dept Otolaryngol Head &amp; Neck Surg, 210 Somerset St,11th Floor, New Brunswick, NJ 08901 USA.</t>
  </si>
  <si>
    <t>ashley.wackym@rutgers.edu</t>
  </si>
  <si>
    <t>Wackym, P. Ashley/0000-0002-2904-5072; Woodard, Troy/0000-0002-4723-6681</t>
  </si>
  <si>
    <t>0194-5998</t>
  </si>
  <si>
    <t>1097-6817</t>
  </si>
  <si>
    <t>OTOLARYNG HEAD NECK</t>
  </si>
  <si>
    <t>Otolaryngol. Head Neck Surg.</t>
  </si>
  <si>
    <t>10.1002/ohn.524</t>
  </si>
  <si>
    <t>Otorhinolaryngology; Surgery</t>
  </si>
  <si>
    <t>R8UP6</t>
  </si>
  <si>
    <t>WOS:001067054800001</t>
  </si>
  <si>
    <t>Wang, X; Zhang, JJ; Chai, MF; Han, L; Cao, XH; Zhang, J; Kong, YM; Fu, CX; Wang, ZY; Mysore, KS; Wen, JQ; Zhou, CE</t>
  </si>
  <si>
    <t>Wang, Xiao; Zhang, Juanjuan; Chai, Maofeng; Han, Lu; Cao, Xiaohua; Zhang, Jing; Kong, Yiming; Fu, Chunxiang; Wang, Zeng-Yu; Mysore, Kirankumar S.; Wen, Jiangqi; Zhou, Chuanen</t>
  </si>
  <si>
    <t>The role of Class ? KNOX family in controlling compound leaf patterning in Medicago truncatula</t>
  </si>
  <si>
    <t>KNOTTED-like homeobox; KNOXM; NAM; cytokinin; compound leaf</t>
  </si>
  <si>
    <t>CELL-WALL FORMATION; TRANSCRIPTION FACTORS; GENE-EXPRESSION; ARABIDOPSIS-THALIANA; CYTOKININ; TOMATO; BIOSYNTHESIS; ARCHITECTURE; GIBBERELLIN; REGULATORS</t>
  </si>
  <si>
    <t>Compound leaf development requires the coordination of genetic factors, hormones, and other signals. In this study, we explored the functions of Class II KNOTTED-like homeobox (KNOXII) genes in the model leguminous plant Medicago truncatula. Phenotypic and genetic analyses suggest that MtKNOX4, 5 are able to repress leaflet formation, while MtKNOX3, 9, 10 are not involved in this developmental process. Further investigations have shown that MtKNOX4 represses the CK signal transduction, which is downstream of MtKNOXI-mediated CK biosynthesis. Additionally, two boundary genes, FUSED COMPOUND LEAF1 (orthologue of Arabidopsis Class M KNOX) and NO APICAL MERISTEM (orthologue of Arabidopsis CUP-SHAPED COTYLEDON), are necessary for MtKNOX4-mediated compound leaf formation. These findings suggest, that among the members of MtKNOXII, MtKNOX4 plays a crucial role in integrating the CK pathway and boundary regulators, providing new insights into the roles of MtKNOXII in regulating the elaboration of compound leaves in M. truncatula.</t>
  </si>
  <si>
    <t>[Wang, Xiao; Zhang, Juanjuan; Han, Lu; Cao, Xiaohua; Zhang, Jing; Zhou, Chuanen] Shandong Univ, Minist Educ, Sch Life Sci, Key Lab Plant Dev &amp; Environm Adaptat Biol, Qingdao 266237, Peoples R China; [Chai, Maofeng; Wang, Zeng-Yu] Qingdao Agr Univ, Coll Grassland Sci, Grassland Agrihusb Res Ctr, Qingdao 266109, Peoples R China; [Kong, Yiming] Shandong Normal Univ, Coll Life Sci, Jinan 250014, Peoples R China; [Fu, Chunxiang] Chinese Acad Sci, Qingdao Inst Bioenergy &amp; Bioproc Technol, Key Lab Biofuels, Qingdao 266101, Peoples R China; [Mysore, Kirankumar S.; Wen, Jiangqi] Oklahoma State Univ, Inst Agr Biosci, Ardmore, OK 73401 USA</t>
  </si>
  <si>
    <t>Shandong University; Qingdao Agricultural University; Shandong Normal University; Chinese Academy of Sciences; Qingdao Institute of Bioenergy &amp; Bioprocess Technology, CAS; Oklahoma State University System; Oklahoma State University - Stillwater</t>
  </si>
  <si>
    <t>Zhou, CE (corresponding author), Shandong Univ, Minist Educ, Sch Life Sci, Key Lab Plant Dev &amp; Environm Adaptat Biol, Qingdao 266237, Peoples R China.</t>
  </si>
  <si>
    <t>czhou@sdu.edu.cn</t>
  </si>
  <si>
    <t>Wen, Jiangqi/0000-0001-5113-7750</t>
  </si>
  <si>
    <t>National Natural Science Foundation of China [32170833, 31972958, 32100284]; Shandong Province [ZR2020KC018, ZR202103010073]</t>
  </si>
  <si>
    <t>National Natural Science Foundation of China(National Natural Science Foundation of China (NSFC)); Shandong Province</t>
  </si>
  <si>
    <t>We would like to thank Haiyan Yu from the State Key Laboratory of Microbial Technology of Shandong University for help and guidance in using the microscope. This work was supported by grants from the National Natural Science Foundation of China (32170833, 31972958 and 32100284) and Shandong Province (ZR2020KC018 and ZR202103010073).</t>
  </si>
  <si>
    <t>10.1111/jipb.13549</t>
  </si>
  <si>
    <t>R7OY6</t>
  </si>
  <si>
    <t>WOS:001066223800001</t>
  </si>
  <si>
    <t>Yan, Y; Ding, JY; Wang, J; Zhang, SR; Zhou, A; Han, Y; Gao, X; Zhao, WW</t>
  </si>
  <si>
    <t>Yan, Yue; Ding, Jingyi; Wang, Jing; Zhang, Shurong; Zhou, Ao; Han, Yi; Gao, Xuan; Zhao, Wenwu</t>
  </si>
  <si>
    <t>Grazing mediates the biodiversity effects on multifunctionality in grasslands</t>
  </si>
  <si>
    <t>LAND DEGRADATION &amp; DEVELOPMENT</t>
  </si>
  <si>
    <t>drylands; functional diversity; grazing intensity; multifunctionality; multiple threshold approach</t>
  </si>
  <si>
    <t>ECOSYSTEM MULTIFUNCTIONALITY; LONG-TERM; PLANT-COMMUNITIES; SEMIARID STEPPE; DIVERSITY; IMPACTS; PRODUCTIVITY; MECHANISMS; CHALLENGES; INTENSITY</t>
  </si>
  <si>
    <t>Biodiversity loss by grazing pressure has threatened multiple ecosystem functions simultaneously (ecosystem multifunctionality, EMF) in grasslands. Therefore, detecting the relation between EMF and biodiversity under human intervention would provide guidance on the optimization of sustainable grassland management. However, little is known about how grazing effects grassland EMF by mediating biodiversity under different grazing intensities. Here, species and functional diversity were investigated along a longitudinal gradient in Inner Mongolia grassland, and its EMF was quantified comprehensively on six ecosystem functions by an averaging approach, threshold approach and multiple threshold approach to assess the impact of grazing intensity on EMF. There was a significantly lower average EMF index and above-ground biomass under heavy grazing (HG) than under light grazing (LG). The threshold approach-based EMF and average EMF index were positively related to species diversity and functional diversity, and species diversity was a stronger driver of EMF than functional diversity. Compared with LG, the slope of the positive relation between EMF and species diversity significantly weakened by 40%-86% under moderate grazing (MG) and decreased by 30%-100% under HG, and reversed to a negative relation between functional diversity and EMF under HG. Additionally, species diversity was more negatively influenced by soil pH and sand content, while functional diversity was more negatively influenced by grazing intensity, indicating that functional diversity was more sensitive to intensive grazing. This study highlights the role of grazing intensity for driving multiple ecosystem functions, and reinforces the significance of managing both species diversity and functional diversity for sustaining productive functional grasslands.</t>
  </si>
  <si>
    <t>[Yan, Yue; Ding, Jingyi; Wang, Jing; Zhang, Shurong; Zhou, Ao; Han, Yi; Gao, Xuan; Zhao, Wenwu] Beijing Normal Univ, Fac Geog Sci, State Key Lab Earth Surface Proc &amp; Resource Ecol, Beijing, Peoples R China; [Yan, Yue; Ding, Jingyi; Wang, Jing; Zhang, Shurong; Zhou, Ao; Han, Yi; Gao, Xuan; Zhao, Wenwu] Beijing Normal Univ, Inst Land Surface Syst &amp; Sustainable Dev, Fac Geog Sci, Beijing, Peoples R China; [Yan, Yue] Beijing Normal Univ Zhuhai, Adv Inst Nat Sci, State Key Lab Earth Surface Proc &amp; Resource Ecol, Zhuhai Branch, Zhuhai, Peoples R China; [Wang, Jing] Beijing Normal Univ, Coll Water Sci, Beijing, Peoples R China; [Ding, Jingyi] Beijing Normal Univ, Fac Geog Sci, State Key Lab Earth Surface Proc &amp; Resource Ecol, Beijing 100875, Peoples R China</t>
  </si>
  <si>
    <t>Beijing Normal University; Beijing Normal University; Beijing Normal University; Beijing Normal University Zhuhai; Beijing Normal University; Beijing Normal University</t>
  </si>
  <si>
    <t>Ding, JY (corresponding author), Beijing Normal Univ, Fac Geog Sci, State Key Lab Earth Surface Proc &amp; Resource Ecol, Beijing 100875, Peoples R China.</t>
  </si>
  <si>
    <t>jingyiding@bnu.edu.cn</t>
  </si>
  <si>
    <t>National Natural Science Foundation of China</t>
  </si>
  <si>
    <t>National Natural Science Foundation of China(National Natural Science Foundation of China (NSFC))</t>
  </si>
  <si>
    <t>1085-3278</t>
  </si>
  <si>
    <t>1099-145X</t>
  </si>
  <si>
    <t>LAND DEGRAD DEV</t>
  </si>
  <si>
    <t>Land Degrad. Dev.</t>
  </si>
  <si>
    <t>10.1002/ldr.4910</t>
  </si>
  <si>
    <t>Environmental Sciences; Soil Science</t>
  </si>
  <si>
    <t>Environmental Sciences &amp; Ecology; Agriculture</t>
  </si>
  <si>
    <t>R5NU2</t>
  </si>
  <si>
    <t>WOS:001064825900001</t>
  </si>
  <si>
    <t>Zhu, ZF; Lin, ZM; Gu, Y; Song, JT; Kang, XY; Jiang, HY; Peng, HS</t>
  </si>
  <si>
    <t>Zhu, Zhengfeng; Lin, Zhengmeng; Gu, Yu; Song, Jiatian; Kang, Xinyue; Jiang, Hongyu; Peng, Huisheng</t>
  </si>
  <si>
    <t>Designing Reflective Hybrid Counter Electrode for Fiber Dye-Sensitized Solar Cell with Record Efficiency</t>
  </si>
  <si>
    <t>carbon nanotubes; dye-sensitized solar cells; fibers; porous structures; reflective layer</t>
  </si>
  <si>
    <t>NANOPARTICLES; VISCOSITY; TEXTILES</t>
  </si>
  <si>
    <t>Fiber solar cells can be woven into textiles to effectively supply electricity for wearables and have attracted increasing interests in the past decade. However, achieving high power conversion efficiencies in real-world applications remains a significant challenge for power supply textiles. Here a unique hybrid counter electrode made from metal current collector fiber with high electrical conductivity, aligned carbon nanotube sheet with high electrocatalytic property, and porous titanium dioxide/poly(vinylidene fluoride-co-hexafluoropropylene) film with high light reflectance is designed. For the resulting fiber dye-sensitized solar cell, a rapid charge collection and transport are achieved, and the unique advantage of absorbing light from all directions is effectively realized, producing a record power conversion efficiency of 12.52%. The power conversion efficiency varies below 10% after bending, twisting, or pressing for 1000 cycles. These fiber dye-sensitized solar cells are further integrated with fiber batteries as power systems for a smart bracelet, demonstrating the effective power solution for wearables. With the design of hybrid counter electrode composed of reflective layer to absorb light from 360 &amp; DEG; directions for more light harvesting, the resulting fiber dye-sensitized solar cell produces a record power conversion efficiency of 12.52%. The fiber dye-sensitized solar cell is further integrated with fiber batteries into self-powering textiles, demonstrating an effective power solution for wearables.image</t>
  </si>
  <si>
    <t>[Zhu, Zhengfeng; Lin, Zhengmeng; Song, Jiatian; Kang, Xinyue; Jiang, Hongyu; Peng, Huisheng] Fudan Univ, Dept Macromol Sci, State Key Lab Mol Engn Polymers, Inst Fiber Mat &amp; Devices, Shanghai 200438, Peoples R China; [Zhu, Zhengfeng; Lin, Zhengmeng; Song, Jiatian; Kang, Xinyue; Jiang, Hongyu; Peng, Huisheng] Fudan Univ, Lab Adv Mat, Shanghai 200438, Peoples R China; [Gu, Yu] Nanjing Univ Sci &amp; Technol, Key Lab Adv Display Mat &amp; Devices, Inst Optoelect &amp; Nanomat, Coll Mat Sci &amp; Engn,Minist Ind &amp; Informat Technol, Nanjing 210094, Peoples R China</t>
  </si>
  <si>
    <t>Fudan University; Fudan University; Nanjing University of Science &amp; Technology</t>
  </si>
  <si>
    <t>Peng, HS (corresponding author), Fudan Univ, Dept Macromol Sci, State Key Lab Mol Engn Polymers, Inst Fiber Mat &amp; Devices, Shanghai 200438, Peoples R China.;Peng, HS (corresponding author), Fudan Univ, Lab Adv Mat, Shanghai 200438, Peoples R China.</t>
  </si>
  <si>
    <t>penghs@fudan.edu.cn</t>
  </si>
  <si>
    <t>MOST [2022YFA1203001, 2022YFA1203002]; NSFC [T2321003, 22335003]; STCSM [21511104900, 20JC1414902]; Natural Science Foundation of Jiangsu Province [BK20200071]; China Postdoctoral Science Foundation [2021M690659]</t>
  </si>
  <si>
    <t>MOST; NSFC(National Natural Science Foundation of China (NSFC)); STCSM(Science &amp; Technology Commission of Shanghai Municipality (STCSM)); Natural Science Foundation of Jiangsu Province(Natural Science Foundation of Jiangsu Province); China Postdoctoral Science Foundation(China Postdoctoral Science Foundation)</t>
  </si>
  <si>
    <t>Z.Z., Z.L., and Y.G. contributed equally to this work. This work was supported by MOST (2022YFA1203001, 2022YFA1203002), NSFC (T2321003, 22335003), STCSM (21511104900 and 20JC1414902), Natural Science Foundation of Jiangsu Province (BK20200071), and China Postdoctoral Science Foundation (2021M690659).</t>
  </si>
  <si>
    <t>10.1002/adfm.202306742</t>
  </si>
  <si>
    <t>R5DT8</t>
  </si>
  <si>
    <t>WOS:001064561200001</t>
  </si>
  <si>
    <t>Abbas, G; Rehman, H</t>
  </si>
  <si>
    <t>Abbas, Ghulam; Rehman, Hamza</t>
  </si>
  <si>
    <t>Analysis of Accretion Disk Around the Euler-Heisenberg Anti-de Sitter Black Hole</t>
  </si>
  <si>
    <t>FORTSCHRITTE DER PHYSIK-PROGRESS OF PHYSICS</t>
  </si>
  <si>
    <t>accretion disk; black hole; general relativity; non linear electrodynamics</t>
  </si>
  <si>
    <t>DARK-MATTER; FIELD; LUMINOSITY; EVOLUTION; IMAGE</t>
  </si>
  <si>
    <t>The investigation of thin accretion disc surrounding the Einstein- Euler- Heisenberg- Anti- de Sitter black hole is demonstrated. Additionally, the black hole event horizons and compute their effective potential and equations of motion is analyzed. The specific energy, specific angular momentum, and specific angular velocity of the particles that move in circular orbits above the thin accretion disk are obtained. Also, the effects of parameters of the Einstein- Euler- Heisenberg- Anti De sitter black hole on specific angular velocity, specific heat energy, and specific angular momentum, have been discussed in detail. The positions of the innermost stable circular orbits and illustrate the effective potential are displayed. Furthermore, the circular orbits of black hole are obtained numerically and locates the position of the innermost stable circular orbit and event horizon. Also, the Gamma ray burst emitted from the Einstein Euler Heisenberg Anti de sitter black hole is studied.</t>
  </si>
  <si>
    <t>[Abbas, Ghulam; Rehman, Hamza] Chinese Acad Sci, Natl Astron Observ, Beijing 100101, Peoples R China; [Abbas, Ghulam] Islamia Univ Bahawalpur, Dept Math, Bahawalpur 63100, Pakistan</t>
  </si>
  <si>
    <t>Chinese Academy of Sciences; National Astronomical Observatory, CAS; Islamia University of Bahawalpur</t>
  </si>
  <si>
    <t>Abbas, G (corresponding author), Chinese Acad Sci, Natl Astron Observ, Beijing 100101, Peoples R China.;Abbas, G (corresponding author), Islamia Univ Bahawalpur, Dept Math, Bahawalpur 63100, Pakistan.</t>
  </si>
  <si>
    <t>ghulamabbas@iub.edu.pk; hamzarehman244@gmail.com</t>
  </si>
  <si>
    <t>National Natural Science Foundation of China [11988101]</t>
  </si>
  <si>
    <t>The work of G.Abbas has been partially supported by the National Natural Science Foundation of China under project No. 11988101. The author is grateful to compact object and diffusedmedium Research Group atNAOC led by Prof. JinLin Han for excellent hospitality and friendly environment. G. Abbas is also thankful to The Islamia University of Bahawalpur, Pakistan for the grant of 06 months the study leave.</t>
  </si>
  <si>
    <t>0015-8208</t>
  </si>
  <si>
    <t>1521-3978</t>
  </si>
  <si>
    <t>FORTSCHR PHYS</t>
  </si>
  <si>
    <t>Fortschritte Phys.-Prog. Phys.</t>
  </si>
  <si>
    <t>2023 SEP 12</t>
  </si>
  <si>
    <t>10.1002/prop.202200205</t>
  </si>
  <si>
    <t>Physics, Multidisciplinary</t>
  </si>
  <si>
    <t>Physics</t>
  </si>
  <si>
    <t>R4QW0</t>
  </si>
  <si>
    <t>WOS:001064217000001</t>
  </si>
  <si>
    <t>Chaboteaux, E; Toro, AL; Vega, CM; Forsyth, A</t>
  </si>
  <si>
    <t>Chaboteaux, Elena; Toro, Alejandro Lopera; Vega, Claudia Maribel; Forsyth, Adrian</t>
  </si>
  <si>
    <t>High levels of mercury contamination in a necrophage dung beetle of the Amazon rainforest (Scarabaeidae: Scarabaeinae)</t>
  </si>
  <si>
    <t>BIOTROPICA</t>
  </si>
  <si>
    <t>body parts; Coprophanaeus lancifer; diet; mercury concentration; terrestrial food web</t>
  </si>
  <si>
    <t>SEED DISPERSAL; COLEOPTERA; BIOACCUMULATION; INSECTS</t>
  </si>
  <si>
    <t>This study represents the first evidence of mercury contamination in the family Scarabaeidae, with a close focus on Coprophanaeus lancifer, the largest copro-necrophagous beetle in South America. This work shows the repartition of total mercury (THg) in the insect body and lays the groundwork for additional future studies.Abstract in Spanish is available with online material.</t>
  </si>
  <si>
    <t>[Chaboteaux, Elena; Toro, Alejandro Lopera; Forsyth, Adrian] Andes Amazon Fund, 1759 1-2,R St NW 200, Washington, DC 20009 USA; [Vega, Claudia Maribel] Ctr Innovac Cient Amazon CINCIA, Puerto Maldonado, Peru</t>
  </si>
  <si>
    <t>Chaboteaux, E (corresponding author), Andes Amazon Fund, 1759 1-2,R St NW 200, Washington, DC 20009 USA.</t>
  </si>
  <si>
    <t>elena.chaboteaux@gmail.com; alejandro.lopera@gmail.com; vegacm@wfu.edu; adrianforsyth@gmail.com</t>
  </si>
  <si>
    <t>Andes Amazon Fund</t>
  </si>
  <si>
    <t>0006-3606</t>
  </si>
  <si>
    <t>1744-7429</t>
  </si>
  <si>
    <t>Biotropica</t>
  </si>
  <si>
    <t>10.1111/btp.13259</t>
  </si>
  <si>
    <t>R9XC0</t>
  </si>
  <si>
    <t>WOS:001067796600001</t>
  </si>
  <si>
    <t>Coquen, AD; Bondzior, B; Petit, L; Kellomaki, M; Pauthe, E; Boissiere, M; Massera, J</t>
  </si>
  <si>
    <t>Coquen, Audrey Deraine; Bondzior, Bartosz; Petit, Laeticia; Kellomaki, Minna; Pauthe, Emmanuel; Boissiere, Michel; Massera, Jonathan</t>
  </si>
  <si>
    <t>Evaluation of the sterilization effect on biphasic scaffold based on bioactive glass and polymer honeycomb membrane</t>
  </si>
  <si>
    <t>JOURNAL OF THE AMERICAN CERAMIC SOCIETY</t>
  </si>
  <si>
    <t>bioactive glass; gamma irradiation; honeycomb membrane; PLDLA</t>
  </si>
  <si>
    <t>DEFECT CENTERS; SILICA GLASSES; BOROSILICATE; BIOMATERIALS; SUBSTITUTION; REACTIVITY; BORATE; CAO</t>
  </si>
  <si>
    <t>The sterilization is a core preoccupation when it comes to implantable biomaterials. The most common in industry is the gamma sterilization; however, the radiation used in this method can induce modifications in the material properties. This study investigates the impact of such radiations on the physicochemical properties and biological toxicity of a new biomaterial based on a poly-l-co-d,l-lactide polymer honeycomb membrane and bioactive glass (BG), combined, to form an assembly (membrane/BG assembly). The investigated BGs are the S53P4, which is FDA approved and clinically used, and 13-93B20, a BG containing boron promising for bone regeneration. Infrared and photoluminescence measurements revealed that, upon irradiation, defects are created in the BGs molecular matrix. Defects were identified to be mainly non-bridging oxygen hole center and occur in higher proportion in the 13-93B20 making it more sensitive to irradiation compared to the S53P4. However, the irradiation does not significantly impact the structure of the BGs. On the membrane side, the molecular weight is divided by two resulting in a lower shear stress resistance. However, the membrane honeycomb topography does not seem to be impacted by the irradiation. In contact with cells, no toxicity effect was observed, and BGs keep their bioactive properties by releasing ions beneficial to the cell fate and with no influence on apatite precipitation speed. Overall, this study showed that, despite some impact on the physicochemical properties, the irradiation does not induce deleterious effect on the membrane/BG assemblies and is therefore a suitable method for the sterilization of this novel biomaterial. Non-bridging oxygen hole centers (NBOHC) and oxygen-deficient centers (ODC) appear in the membrane/BaG assemblies after irradiation. The honeycomb membrane keeps its structure but the polymer undergoes chain scission. Overall, the properties' modifications of the membrane/BaG assemblies do not have a toxicity effect on the cells. image</t>
  </si>
  <si>
    <t>[Coquen, Audrey Deraine; Pauthe, Emmanuel; Boissiere, Michel] Univ Cergy Pontoise, Equipe Rech Relat Matrice Extracellulaire Cellules, ERRMECe, Maison Internatl Rech MIR, Rue Descartes, Neuville Sur Oise, France; [Coquen, Audrey Deraine; Petit, Laeticia; Kellomaki, Minna; Massera, Jonathan] Tampere Univ, Fac Med &amp; Hlth Technol, Lab Biomat &amp; Tissue Engn, Tampere, Finland; [Bondzior, Bartosz] Tampere Univ, Photon Lab, Tampere, Finland; [Bondzior, Bartosz] Inst Low Temp &amp; Struct Res PAS, Wroclaw, Poland; [Coquen, Audrey Deraine; Massera, Jonathan] Tampere Univ, Fac Med &amp; Hlth Technol, Bioceram Bioglasses &amp; Biocomposites Grp, Korkeakoulunkatu 3, Tampere SM424, Tampere 33720, Finland</t>
  </si>
  <si>
    <t>CY Cergy Paris Universite; Tampere University; Tampere University; Polish Academy of Sciences; Institute of Low Temperature &amp; Structure Research; Tampere University</t>
  </si>
  <si>
    <t>Coquen, AD; Massera, J (corresponding author), Tampere Univ, Fac Med &amp; Hlth Technol, Bioceram Bioglasses &amp; Biocomposites Grp, Korkeakoulunkatu 3, Tampere SM424, Tampere 33720, Finland.</t>
  </si>
  <si>
    <t>audrey.deraine@tuni.fi; jonathan.massera@tuni.fi</t>
  </si>
  <si>
    <t>The authors would like to acknowledge the Jane and Aatos Erkko Foundation and the ReTis Chair for financial support, the Institute for Advanced Studies (IAE) for enabling researcher mobility, and the i-Mat platform for technical support. The authors would; Jane and Aatos Erkko Foundation; ReTis Chair; Institute for Advanced Studies (IAE)</t>
  </si>
  <si>
    <t>The authors would like to acknowledge the Jane and Aatos Erkko Foundation and the ReTis Chair for financial support, the Institute for Advanced Studies (IAE) for enabling researcher mobility, and the i-Mat platform for technical support. The authors would like to thank Mrs. Isabelle Laurent from the analytical chemistry platform of the chemical department at CY Cergy Paris University for technical support with the SEC.</t>
  </si>
  <si>
    <t>0002-7820</t>
  </si>
  <si>
    <t>1551-2916</t>
  </si>
  <si>
    <t>J AM CERAM SOC</t>
  </si>
  <si>
    <t>J. Am. Ceram. Soc.</t>
  </si>
  <si>
    <t>10.1111/jace.19406</t>
  </si>
  <si>
    <t>Materials Science, Ceramics</t>
  </si>
  <si>
    <t>R3FO3</t>
  </si>
  <si>
    <t>WOS:001063244200001</t>
  </si>
  <si>
    <t>Dominguez, J; Prociuk, D; Marovic, B; Cyras, K; Cocarascu, O; Ruiz, F; Mi, EL; Mi, EM; Ramtale, C; Rago, A; Darzi, A; Toni, F; Curcin, V; Delaney, B</t>
  </si>
  <si>
    <t>Dominguez, Jesus; Prociuk, Denys; Marovic, Branko; Cyras, Kristijonas; Cocarascu, Oana; Ruiz, Francis; Mi, Ella; Mi, Emma; Ramtale, Christian; Rago, Antonio; Darzi, Ara; Toni, Francesca; Curcin, Vasa; Delaney, Brendan</t>
  </si>
  <si>
    <t>ROAD2H: Development and evaluation of an open-source explainable artificial intelligence approach for managing co-morbidity and clinical guidelines</t>
  </si>
  <si>
    <t>LEARNING HEALTH SYSTEMS</t>
  </si>
  <si>
    <t>argumentation; CDS hooks; clinical decision support systems; co-morbidity; FHIR; Transition-based Medical Recommendation model</t>
  </si>
  <si>
    <t>SUPPORT; ARGUMENTATION; EXPLANATIONS</t>
  </si>
  <si>
    <t>Introduction: Clinical decision support (CDS) systems (CDSSs) that integrate clinical guidelines need to reflect real-world co-morbidity. In patient-specific clinical contexts, transparent recommendations that allow for contraindications and other conflicts arising from co-morbidity are a requirement. In this work, we develop and evaluate a non-proprietary, standards-based approach to the deployment of computable guidelines with explainable argumentation, integrated with a commercial electronic health record (EHR) system in Serbia, a middle-income country in West Balkans.Methods: We used an ontological framework, the Transition-based Medical Recommendation (TMR) model, to represent, and reason about, guideline concepts, and chose the 2017 International global initiative for chronic obstructive lung disease (GOLD) guideline and a Serbian hospital as the deployment and evaluation site, respectively. To mitigate potential guideline conflicts, we used a TMR-based implementation of the Assumptions-Based Argumentation framework extended with preferences and Goals (ABA+G). Remote EHR integration of computable guidelines was via a microservice architecture based on HL7 FHIR and CDS Hooks. A prototype integration was developed to manage chronic obstructive pulmonary disease (COPD) with comorbid cardiovascular or chronic kidney diseases, and a mixed-methods evaluation was conducted with 20 simulated cases and five pulmonologists.Results: Pulmonologists agreed 97% of the time with the GOLD-based COPD symptom severity assessment assigned to each patient by the CDSS, and 98% of the time with one of the proposed COPD care plans. Comments were favourable on the principles of explainable argumentation; inclusion of additional co-morbidities was suggested in the future along with customisation of the level of explanation with expertise.Conclusion: An ontological model provided a flexible means of providing argumentation and explainable artificial intelligence for a long-term condition. Extension to other guidelines and multiple co-morbidities is needed to test the approach further.</t>
  </si>
  <si>
    <t>[Dominguez, Jesus; Curcin, Vasa] Kings Coll London, Dept Populat Hlth Sci, London, England; [Prociuk, Denys; Cyras, Kristijonas; Ramtale, Christian; Rago, Antonio; Darzi, Ara; Toni, Francesca; Delaney, Brendan] Imperial Coll London, London, England; [Marovic, Branko] Univ Belgrade, Belgrade, Serbia; [Cocarascu, Oana] Kings Coll London, Dept Informat, London, England; [Ruiz, Francis] London Sch Hyg &amp; Trop Med, London, England; [Mi, Ella; Mi, Emma] Univ Oxford, Oxford, England</t>
  </si>
  <si>
    <t>University of London; King's College London; Imperial College London; University of Belgrade; University of London; King's College London; University of London; London School of Hygiene &amp; Tropical Medicine; University of Oxford</t>
  </si>
  <si>
    <t>Curcin, V (corresponding author), Kings Coll London, Dept Populat Hlth Sci, London, England.</t>
  </si>
  <si>
    <t>vasa.curcin@kcl.ac.uk</t>
  </si>
  <si>
    <t>Toni, Francesca/JGD-7893-2023</t>
  </si>
  <si>
    <t>Toni, Francesca/0000-0001-8194-1459</t>
  </si>
  <si>
    <t>Engineering and Physical Sciences Research Council [EP/P029558/1]; Engineering and Physical Sciences Research Council Global Challenges Research Fund grant ROAD2H [EP/P029558/1]; UK Research and Innovation; Health Data Research UK; National Institute for Health and Care Research (NIHR) Imperial Patient Safety Translational Research Centre; NIHR Imperial Biomedical Research Centre; Engineering and Physical Sciences Research Council [EP/P029558/1]; Engineering and Physical Sciences Research Council Global Challenges Research Fund grant ROAD2H [EP/P029558/1]; UK Research and Innovation; Health Data Research UK; National Institute for Health and Care Research (NIHR) Imperial Patient Safety Translational Research Centre; NIHR Imperial Biomedical Research Centre</t>
  </si>
  <si>
    <t>Engineering and Physical Sciences Research Council(UK Research &amp; Innovation (UKRI)Engineering &amp; Physical Sciences Research Council (EPSRC)); Engineering and Physical Sciences Research Council Global Challenges Research Fund grant ROAD2H(UK Research &amp; Innovation (UKRI)Engineering &amp; Physical Sciences Research Council (EPSRC)); UK Research and Innovation(UK Research &amp; Innovation (UKRI)); Health Data Research UK; National Institute for Health and Care Research (NIHR) Imperial Patient Safety Translational Research Centre; NIHR Imperial Biomedical Research Centre; Engineering and Physical Sciences Research Council(UK Research &amp; Innovation (UKRI)Engineering &amp; Physical Sciences Research Council (EPSRC)); Engineering and Physical Sciences Research Council Global Challenges Research Fund grant ROAD2H(UK Research &amp; Innovation (UKRI)Engineering &amp; Physical Sciences Research Council (EPSRC)); UK Research and Innovation(UK Research &amp; Innovation (UKRI)); Health Data Research UK; National Institute for Health and Care Research (NIHR) Imperial Patient Safety Translational Research Centre; NIHR Imperial Biomedical Research Centre</t>
  </si>
  <si>
    <t>Engineering and Physical Sciences Research Council, Grant/Award Number: EP/P029558/1The study was funded by the Engineering and Physical Sciences Research Council Global Challenges Research Fund grant ROAD2H: Resource Optimisation, Argumentation, Decision Support, and Knowledge Transfer to Create Value via Learning Health Systems (EP/P029558/1), the UK Research and Innovation, and Health Data Research UK. The authors gratefully acknowledge infrastructure support from the National Institute for Health and Care Research (NIHR) Imperial Patient Safety Translational Research Centre, the NIHR Imperial Biomedical Research Centre.</t>
  </si>
  <si>
    <t>2379-6146</t>
  </si>
  <si>
    <t>LEARN HEALTH SYST</t>
  </si>
  <si>
    <t>Learn. Health Syst.</t>
  </si>
  <si>
    <t>10.1002/lrh2.10391</t>
  </si>
  <si>
    <t>Health Policy &amp; Services</t>
  </si>
  <si>
    <t>Health Care Sciences &amp; Services</t>
  </si>
  <si>
    <t>R7UQ2</t>
  </si>
  <si>
    <t>WOS:001066373300001</t>
  </si>
  <si>
    <t>Dragojlovic, A</t>
  </si>
  <si>
    <t>Dragojlovic, Ana</t>
  </si>
  <si>
    <t>Affective silences: Violence, heteropatriarchy, intergenerationality</t>
  </si>
  <si>
    <t>AMERICAN ANTHROPOLOGIST</t>
  </si>
  <si>
    <t>[Dragojlovic, Ana] Univ Melbourne, Melbourne, Australia</t>
  </si>
  <si>
    <t>University of Melbourne</t>
  </si>
  <si>
    <t>Dragojlovic, A (corresponding author), Univ Melbourne, Melbourne, Australia.</t>
  </si>
  <si>
    <t>ana.dragojlovic@unimelb.edu.au</t>
  </si>
  <si>
    <t>Open access publishing facilitated by The University of Melbourne, as part of the Wiley - The University of Melbourne agreement via the Council of Australian University Librarians.; University of Melbourne, as part of the Wiley - The University of Melbourne agreement via the Council of Australian University Librarians</t>
  </si>
  <si>
    <t>I am grateful to Annemarie Samuels, Julia Cassaniti, Merav Shohet, anonymous reviewers and AA editors for their feedback on the earlier version of this piece. Research for this essay was supported by the Australian Research Council Centre of Excellence for the History of Emotions.r Open access publishing facilitated by The University of Melbourne, as part of the Wiley - The University of Melbourne agreement via the Council of Australian University Librarians.</t>
  </si>
  <si>
    <t>0002-7294</t>
  </si>
  <si>
    <t>1548-1433</t>
  </si>
  <si>
    <t>AM ANTHROPOL</t>
  </si>
  <si>
    <t>Am. Anthropol.</t>
  </si>
  <si>
    <t>10.1111/aman.13920</t>
  </si>
  <si>
    <t>R7ER1</t>
  </si>
  <si>
    <t>WOS:001065952600001</t>
  </si>
  <si>
    <t>Fan, F; Zheng, W; Zhang, F; Hua, CZ; Guo, ZC; Li, Y; Wang, SY</t>
  </si>
  <si>
    <t>Fan, Fei; Zheng, Wen; Zhang, Feng; Hua, Changzhou; Guo, Zai-Cheng; Li, Yin; Wang, Shiyan</t>
  </si>
  <si>
    <t>All-dielectric circularly polarised loop antenna made of high-permittivity ceramic/water</t>
  </si>
  <si>
    <t>IET MICROWAVES ANTENNAS &amp; PROPAGATION</t>
  </si>
  <si>
    <t>dielectric waveguides; loop antennas</t>
  </si>
  <si>
    <t>WATER PATCH ANTENNA; RESONATOR ANTENNA; WAVE ANTENNA; LOW-PROFILE; DESIGN</t>
  </si>
  <si>
    <t>A kind of all-dielectric circularly polarised (CP) loop antenna made of high-permittivity material is proposed. The leaky-wave radiation from a high-permittivity dielectric waveguide is utilised here to support the operation of the proposed antenna. A non-closed dielectric loop covering a three-quarter circle is adopted to generate CP radiation and it is connected with the dielectric ground via one of bending ends to form an all-in-one structure of the antenna. The other end is also bent and vertical to the ground, but hanging in the air for probe feed. As two kinds of typical high-permittivity dielectric materials, zirconia ceramic and pure water are used to implement the proposed design respectively. On one hand, an all-ceramic CP loop antenna made of zirconia is proposed. And benefiting from the low loss and high melting point of zirconia, the proposed ceramic antenna has superiority in radiation efficiency and could adapt to a harsh environment. On the other hand, by using pure water and transparent container, a fully-transparent CP water loop antenna can be obtained. Finally, a 3-D printing technology is adopted in the manufacturing of ceramic structure and resin container. Measured results of both antennas demonstrate the validity of the proposed design. A class of all-dielectric CP loop antenna made of high-permittivity ceramic/water is proposed to take full advantages of dielectric characteristics. 3-D printing technology is here utilised to form the all-in-one structure of the proposed antenna. This work provides a methodology for the implementation of all-dielectric CP antennas with all-in-one structures.image</t>
  </si>
  <si>
    <t>[Fan, Fei; Zheng, Wen; Zhang, Feng; Guo, Zai-Cheng; Wang, Shiyan] Nanjing Normal Univ, Jiangsu Key Lab 3D Printing Equipment &amp; Mfg, Nanjing, Peoples R China; [Hua, Changzhou] Ningbo Univ, Fac Elect Engn &amp; Comp Sci, Ningbo, Peoples R China; [Li, Yin] Peng Cheng Lab, Dept Broadband Commun, Shenzhen 518055, Peoples R China</t>
  </si>
  <si>
    <t>Nanjing Normal University; Ningbo University; Peng Cheng Laboratory</t>
  </si>
  <si>
    <t>Wang, SY (corresponding author), Nanjing Normal Univ, Jiangsu Key Lab 3D Printing Equipment &amp; Mfg, Nanjing, Peoples R China.;Hua, CZ (corresponding author), Ningbo Univ, Fac Elect Engn &amp; Comp Sci, Ningbo, Peoples R China.</t>
  </si>
  <si>
    <t>huachangzhou@126.com; nustwang@163.com</t>
  </si>
  <si>
    <t>National Natural Science Foundation of China [62101271, 62271273]; Natural Science Foundation of Ningbo [2022J097]; Postgraduate Research Innovation Project of Jiangsu Province [SJCX22_0555]; Natural Science Foundation of Jiangsu Province [BK20200726, BK20210557]</t>
  </si>
  <si>
    <t>National Natural Science Foundation of China(National Natural Science Foundation of China (NSFC)); Natural Science Foundation of Ningbo; Postgraduate Research Innovation Project of Jiangsu Province; Natural Science Foundation of Jiangsu Province(Natural Science Foundation of Jiangsu Province)</t>
  </si>
  <si>
    <t>National Natural Science Foundation of China, Grant/Award Numbers: 62101271, 62271273; Natural Science Foundation of Ningbo, Grant/ Award Number: 2022J097; Postgraduate Research Innovation Project of Jiangsu Province, Grant/ Award Number: SJCX22_0555; Natural Science Foundation of Jiangsu Province, Grant/Award Numbers: BK20200726, BK20210557</t>
  </si>
  <si>
    <t>1751-8725</t>
  </si>
  <si>
    <t>1751-8733</t>
  </si>
  <si>
    <t>IET MICROW ANTENNA P</t>
  </si>
  <si>
    <t>IET Microw. Antennas Propag.</t>
  </si>
  <si>
    <t>10.1049/mia2.12416</t>
  </si>
  <si>
    <t>Engineering, Electrical &amp; Electronic; Telecommunications</t>
  </si>
  <si>
    <t>Engineering; Telecommunications</t>
  </si>
  <si>
    <t>R3FK6</t>
  </si>
  <si>
    <t>WOS:001063240500001</t>
  </si>
  <si>
    <t>Foeldvari, I; Torok, KS; Anton, J; Blakley, M; Constantin, T; Curran, M; Cutolo, M; Denton, C; Fligelstone, K; Ingegnoli, F; Li, SC; Nemcova, D; Orteu, C; Pilkington, C; Smith, V; Stevens, A; Klotsche, J; Khanna, D; Costa-Reis, P; Del Galdo, F; Hinrichs, B; Kasapcopur, O; Pain, C; Ruperto, N; Zheng, A; Furst, DE</t>
  </si>
  <si>
    <t>Foeldvari, Ivan; Torok, Kathryn S.; Anton, Jordi; Blakley, Michael; Constantin, Tamas; Curran, Megan; Cutolo, Maurizio; Denton, Christopher; Fligelstone, Kim; Ingegnoli, Francesca; Li, Suzanne C.; Nemcova, Dana; Orteu, Catherine; Pilkington, Clarissa; Smith, Vanessa; Stevens, Anne; Klotsche, Jens; Khanna, Dinesh; Costa-Reis, Patricia; Del Galdo, Francesco; Hinrichs, Bernd; Kasapcopur, Ozgur; Pain, Clare; Ruperto, Nicolino; Zheng, Alison; Furst, Daniel E.</t>
  </si>
  <si>
    <t>Proposed Response Parameters for Twelve-Month Drug Trial in Juvenile Systemic Sclerosis: Results of the Hamburg International Consensus Meetings</t>
  </si>
  <si>
    <t>ARTHRITIS CARE &amp; RESEARCH</t>
  </si>
  <si>
    <t>HEALTH-ASSESSMENT QUESTIONNAIRE; QUALITY-OF-LIFE; SCLERODERMA TRIALS; ACTIVITY CRITERIA; DISABILITY INDEX; CLINICAL-TRIALS; DISEASE; CHILDHOOD; CHILDREN; VALIDITY</t>
  </si>
  <si>
    <t>Objective. Juvenile systemic sclerosis (SSc) is an orphan disease, associated with high morbidity and mortality. New treatment strategies are much needed, but clearly defining appropriate outcomes is necessary if successful therapies are to be developed. Our objective here was to propose such outcomes.Methods. This proposal is the result of 4 face-to-face consensus meetings with a 27-member multidisciplinary team of pediatric rheumatologists, adult rheumatologists, dermatologists, pediatric cardiologists, pulmonologists, gastroenterologists, a statistician, and patients. Throughout the process, we reviewed the existing adult data in this field, the more limited pediatric literature for juvenile SSc outcomes, and data from 2 juvenile SSc patient cohorts to assist in making informed, data-driven decisions. The use of items for each domain as an outcome measure in an open label 12-month clinical trial of juvenile SSc was voted and agreed upon using a nominal group technique.Results. After voting, the domains agreed on were global disease activity, skin, Raynaud's phenomenon, digital ulcers, musculoskeletal, cardiac, pulmonary, renal, and gastrointestinal involvement, and quality of life. Fourteen outcome measures had 100% agreement, 1 item had 91% agreement, and 1 item had 86% agreement. The domains of biomarkers and growth/development were moved to the research agenda.Conclusion. We reached consensus on multiple domains and items that should be assessed in an open label, 12-month clinical juvenile SSc trial as well as a research agenda for future development.</t>
  </si>
  <si>
    <t>[Foeldvari, Ivan] Schon Klin Hamburg Eilbek, Hamburg, Germany; [Torok, Kathryn S.] Univ Pittsburgh, Pittsburgh, PA 15213 USA; [Torok, Kathryn S.] Childrens Hosp Pittsburgh, Pittsburgh, PA 15224 USA; [Anton, Jordi] Hosp St Joan de Deu, Barcelona, Spain; [Anton, Jordi] Univ Barcelona, Barcelona, Spain; [Blakley, Michael] Indiana Univ Sch Med, Indianapolis, IN USA; [Blakley, Michael] IUHealth, Riley Hosp Children, Indianapolis, IN USA; [Constantin, Tamas] Semmelweis Univ, H-1094 Budapest, Hungary; [Curran, Megan] Univ Colorado, Sch Med, Aurora, CO USA; [Curran, Megan] Childrens Hosp Colorado, Aurora, CO USA; [Cutolo, Maurizio] Univ Genoa, Genoa, Italy; [Cutolo, Maurizio] IRCCS San Martino Polyclin Hosp, Genoa, Italy; [Denton, Christopher] Royal Free London NHS Fdn Trust, London, England; [Fligelstone, Kim] Scleroderma &amp; Raynauds United Kingdom, London, England; [Ingegnoli, Francesca] Univ Milan, ASST G Pini, Milan, Italy; [Li, Suzanne C.] Hackensack Univ, Med Ctr, Hackensack, NJ USA; [Nemcova, Dana] Charles Univ Prague, Prague, Czech Republic; [Orteu, Catherine] Royal Free London, London, England; [Pilkington, Clarissa] Great Ormond St Hosp Sick Children, London, England; [Smith, Vanessa] Ghent Univ VIB, Ghent Univ Hosp, VIB Inflammat Res Ctr, Ghent, Belgium; [Smith, Vanessa] ERN ReCONNET, Ghent, Belgium; [Stevens, Anne] Childrens Hosp Res Inst, Seattle, WA USA; [Stevens, Anne] Univ Washington, Seattle, WA USA; [Stevens, Anne] Johnson &amp; Johnson, Janssen Pharmaceut Co, Spring House, PA USA; [Klotsche, Jens] German Rheumatism Res Ctr, Berlin, Germany; [Khanna, Dinesh] Univ Michigan, Ann Arbor, MI USA; [Costa-Reis, Patricia] Hosp Santa Maria, Fac Med, Lisbon, Portugal; [Costa-Reis, Patricia] Univ Lisbon, Lisbon, Portugal; [Del Galdo, Francesco] Univ Leeds, Leeds, England; [Del Galdo, Francesco] Leeds Teaching Hosp Trust, Leeds, England; [Hinrichs, Bernd] Asklepios Klin Nord Heidberg, Hamburg, Germany; [Kasapcopur, Ozgur] Cerrahpasa Med Sch, Istanbul, Turkiye; [Pain, Clare] Alder Hey Childrens NHS Fdn Trust, Liverpool, England; [Ruperto, Nicolino] IRCCSG Ist G Gaslini, Genoa, Italy; [Zheng, Alison] Chinese Org Scleroderma, Chengdu City, Sichuan, Peoples R China; [Kasapcopur, Ozgur] Istanbul Univ Cerrahpasa, Istanbul, Turkiye; [Furst, Daniel E.] Univ Calif Los Angeles, Los Angeles, CA USA; [Furst, Daniel E.] Univ Washington, Seattle, WA USA; [Furst, Daniel E.] Univ Florence, Florence, Italy</t>
  </si>
  <si>
    <t>Pennsylvania Commonwealth System of Higher Education (PCSHE); University of Pittsburgh; Pennsylvania Commonwealth System of Higher Education (PCSHE); University of Pittsburgh; University of Barcelona; University of Barcelona; Indiana University System; Indiana University Bloomington; James Whitcomb Riley Hospital Children; Semmelweis University; University of Colorado System; University of Colorado Anschutz Medical Campus; Children's Hospital Colorado; University of Genoa; University of London; University College London; Royal Free London NHS Foundation Trust; University of Milan; Hackensack University Medical Center; Charles University Prague; University of London; University College London; Royal Free London NHS Foundation Trust; University of London; University College London; Great Ormond Street Hospital for Children NHS Foundation Trust; Ghent University; Ghent University Hospital; Flanders Institute for Biotechnology (VIB); Seattle Children's Hospital; University of Washington; University of Washington Seattle; Johnson &amp; Johnson; Janssen Pharmaceuticals; Johnson &amp; Johnson USA; Deutsches Rheuma-Forschungszentrum (DRFZ); University of Michigan System; University of Michigan; Universidade de Lisboa; Hospital Santa Maria; Universidade de Lisboa; University of Leeds; University of Leeds; Istanbul University - Cerrahpasa; Alder Hey Children's NHS Foundation Trust; Istanbul University - Cerrahpasa; University of California System; University of California Los Angeles; University of Washington; University of Washington Seattle; University of Florence</t>
  </si>
  <si>
    <t>Foeldvari, I (corresponding author), Schon Klin Hamburg Eilbek, Hamburg, Germany.;Torok, KS (corresponding author), Univ Pittsburgh, Pittsburgh, PA 15213 USA.;Torok, KS (corresponding author), Childrens Hosp Pittsburgh, Pittsburgh, PA 15224 USA.</t>
  </si>
  <si>
    <t>sprechstunde@kinderrheumatologie.de; kathryn.torok@chp.edu</t>
  </si>
  <si>
    <t>Kasapcopur, Ozgur/A-8888-2018; Anton, Jordi/A-9848-2017</t>
  </si>
  <si>
    <t>Kasapcopur, Ozgur/0000-0002-1125-7720; Torok, Kathryn/0000-0002-1662-143X; Anton, Jordi/0000-0002-8792-4219; Denton, Christopher/0000-0003-3975-8938; Cutolo, Maurizio/0000-0002-5396-0932; Foeldvari, Ivan/0000-0003-0659-5298</t>
  </si>
  <si>
    <t>2151-464X</t>
  </si>
  <si>
    <t>2151-4658</t>
  </si>
  <si>
    <t>ARTHRIT CARE RES</t>
  </si>
  <si>
    <t>Arthritis Care Res.</t>
  </si>
  <si>
    <t>10.1002/acr.25171</t>
  </si>
  <si>
    <t>S0QU8</t>
  </si>
  <si>
    <t>WOS:001068309800001</t>
  </si>
  <si>
    <t>Giorgino, F; Guerci, B; Fuchtenbusch, M; Lebrec, J; Boye, K; Federici, MO; Heitmann, E; Dib, A; Yu, MR; Sapin, H; Garcia-Perez , LE</t>
  </si>
  <si>
    <t>Giorgino, Francesco; Guerci, Bruno; Fuechtenbusch, Martin; Lebrec, Jeremie; Boye, Kristina; Federici, Marco Orsini; Heitmann, Elke; Dib, Anne; Yu, Maria; Sapin, Helene; Garcia-Perez, Luis-Emilio</t>
  </si>
  <si>
    <t>The real-world observational prospective study of health outcomes with dulaglutide and liraglutide in patients with type 2 diabetes (TROPHIES): Final, 24-month analysis of time to first significant treatment change, treatment persistence and clinical outcomes</t>
  </si>
  <si>
    <t>DIABETES OBESITY &amp; METABOLISM</t>
  </si>
  <si>
    <t>discontinuation; dulaglutide; glucagon-like peptide-1 receptor agonist; liraglutide; persistence; treatment change; treatment patterns; TROPHIES; type 2 diabetes</t>
  </si>
  <si>
    <t>GLP-1 RA TREATMENT; TREATMENT PATTERNS; ADHERENCE</t>
  </si>
  <si>
    <t>Aims: To present the final results of the TROPHIES study (The real-world observational prospective study of health outcomes with dulaglutide and liraglutide in patients with type 2 diabetes).Materials and Methods: The prospective, real-world TROPHIES study included patients with type 2 diabetes initiating their first injectable glucose-lowering medication (GLM), dulaglutide or liraglutide, in France, Germany and Italy. The primary endpoint was the time spent on dulaglutide or liraglutide until a significant treatment change over 24 months. Other endpoints measured persistence with treatment, clinical outcomes (glycated haemoglobin [HbA1c] and weight) and treatment patterns. Kaplan-Meier estimates of time to first significant treatment change and persistence with treatment were generated. Propensity-score-based inverse probability of treatment weighting (IPTW) was used to adjust for baseline imbalances in the comparison between cohorts.Results: The 286 of 1014 patients (28.2%) in the dulaglutide cohort and 448 of 991 patients (45.2%) in the liraglutide cohort had a significant treatment change over 24 months. By IPTW analysis, dulaglutide-initiating patients were less likely to have a significant treatment change (hazard ratio [HR] 0.54, 95% confidence interval [CI] 0.46-0.63) and more likely to be persistent with treatment (HR 0.69, 95% CI 0.56-0.86) over 24 months than liraglutide-initiating patients. Dulaglutide and liraglutide yielded similar HbA1c (-11.80 mmol/mol [1.08%] and -11.91 mmol/mol [1.09%]) and weight (-3.5 kg and -3.3 kg) reductions from baseline to 24 months. Few changes in patterns of treatment with other GLMs were observed in the two cohorts.Conclusions: Dulaglutide-initiating patients had a longer time spent without any significant treatment change and higher persistence than those initiating liraglutide. Treatment with either glucagon-like peptide-1 receptor agonist yielded similar and clinically meaningful reductions in HbA1c and body weight.</t>
  </si>
  <si>
    <t>[Giorgino, Francesco] Univ Bari Aldo Moro, Bari, Italy; [Guerci, Bruno] Univ Hosp Nancy, Vandoeuvre Les Nancy, France; [Fuechtenbusch, Martin] Marienplatz Diabet Ctr, Munich, Germany; [Lebrec, Jeremie] HaaPACS GmbH, Schriesheim, Germany; [Boye, Kristina; Federici, Marco Orsini; Heitmann, Elke; Dib, Anne; Yu, Maria; Sapin, Helene; Garcia-Perez, Luis-Emilio] Eli Lilly &amp; Co, Lilly Corp Ctr, Indianapolis, IN USA; [Garcia-Perez, Luis-Emilio] Lilly SA, Ave Ind 30, Alcobendas 28108, Madrid, Spain</t>
  </si>
  <si>
    <t>Universita degli Studi di Bari Aldo Moro; CHU de Nancy; Universite de Lorraine; Eli Lilly; Lilly SA</t>
  </si>
  <si>
    <t>Garcia-Perez , LE (corresponding author), Lilly SA, Ave Ind 30, Alcobendas 28108, Madrid, Spain.</t>
  </si>
  <si>
    <t>garcia_luis-emilio@lilly.com</t>
  </si>
  <si>
    <t>Giorgino, Francesco/K-7262-2016</t>
  </si>
  <si>
    <t>Giorgino, Francesco/0000-0001-7372-2678</t>
  </si>
  <si>
    <t>Statistical programming support was provided by Fangyu Wang and Hanbo Qiu (Eli Lilly and Company, Indianapolis, Indiana). Medical writing support was provided by Ioannis Nikas and Sue Williamson (Rx Communications, Mold, UK).</t>
  </si>
  <si>
    <t>1462-8902</t>
  </si>
  <si>
    <t>1463-1326</t>
  </si>
  <si>
    <t>DIABETES OBES METAB</t>
  </si>
  <si>
    <t>Diabetes Obes. Metab.</t>
  </si>
  <si>
    <t>10.1111/dom.15244</t>
  </si>
  <si>
    <t>R8LJ7</t>
  </si>
  <si>
    <t>WOS:001066814100001</t>
  </si>
  <si>
    <t>Hussain, HS; Jamir, MRM; Majid, MSA; Sapuan, SM; Yudhanto, F; Nugroho, AW; Rani, MFH</t>
  </si>
  <si>
    <t>Hussain, Haja Syed; Jamir, Mohd Ridzuan Mohd; Majid, Mohd Shukry Abdul; Sapuan, S. M.; Yudhanto, Ferriawan; Nugroho, Aris Widyo; Rani, Muhammad Faiz Hilmi</t>
  </si>
  <si>
    <t>Friction and wear characteristics of Furcraea foetida fiber-reinforced epoxy composites</t>
  </si>
  <si>
    <t>POLYMER COMPOSITES</t>
  </si>
  <si>
    <t>coefficient of friction; epoxy composites; frictional force; Furcraea foetida fiber; pin-on-disk; scanning electron microscopy; wear</t>
  </si>
  <si>
    <t>TRIBOLOGICAL BEHAVIOR; PERFORMANCE; DESIGN</t>
  </si>
  <si>
    <t>In the current study, the friction and wear properties of Furcraea foetida fiber-reinforced epoxy composites were investigated. This study evaluated the effect of Furcraea foetida fiber content on the tribological behavior of composites. A water-retting method was employed to extract the fibers, and resin transfer molding was used to fabricate the composites. The frictional force, coefficient of friction (COF), and wear rate were measured under dry test conditions and various applied loads (80, 100, 120, and 140 N). Microstructural analysis was conducted using scanning electron microscopy to investigate the surface morphology and wear mechanisms of the composites. The results revealed that the composite with 50 vol% of fibers exhibits the lowest frictional force and COF in both normal and parallel orientations with overall average COF of 0.43 in normal orientation and 0.42 in parallel orientation. Moreover, the composite with 60 vol% demonstrates the best wear resistance with an overall average specific wear rate of 2.1982 x (10(-5)) mm(3)/Nm in normal orientation and 4.3478 x (10(-5)) mm(3)/Nm in parallel orientation. Overall, this study provides valuable insights into the tribological behavior of Furcraea foetida fiber-reinforced epoxy composites and identifies the optimal volume fractions for improved friction and wear performance.</t>
  </si>
  <si>
    <t>[Hussain, Haja Syed; Jamir, Mohd Ridzuan Mohd; Majid, Mohd Shukry Abdul] Univ Malaysia Perlis, Fac Mech Engn &amp; Technol, Perlis, Malaysia; [Sapuan, S. M.] Univ Putra Malaysia, Fac Engn, Dept Mech &amp; Mfg Engn, Serdang, Selangor, Malaysia; [Yudhanto, Ferriawan] Univ Muhammadiyah Yogyakarta, Dept Automot Engn Technol, Yogyakarta, Indonesia; [Nugroho, Aris Widyo] Univ Muhammadiyah Yogyakarta, Fac Engn, Dept Mech Engn, Yogyakarta, Indonesia; [Rani, Muhammad Faiz Hilmi] Univ Teknol Malaysia UTM, Inst Vehicle Syst &amp; Engn IVeSE, Automat Dev Ctr ADC, Johor Baharu, Malaysia</t>
  </si>
  <si>
    <t>Universiti Malaysia Perlis; Universiti Putra Malaysia; Universitas Muhammadiyah Yogyakarta; Universitas Muhammadiyah Yogyakarta; Universiti Teknologi Malaysia</t>
  </si>
  <si>
    <t>Jamir, MRM (corresponding author), Univ Malaysia Perlis, Fac Mech Engn &amp; Technol, Perlis, Malaysia.</t>
  </si>
  <si>
    <t>ridzuanjamir@unimap.edu.my</t>
  </si>
  <si>
    <t>Sapuan, S.M./0000-0002-4598-6358</t>
  </si>
  <si>
    <t>The authors thank the Faculty of Engineering, Universiti Putra Malaysia, Faculty of Engineering, Universitas Muhammadiyah Yogyakarta, Faculty of Mechanical Engineering Technology, and Faculty of Electronic Engineering Technology of the Universiti Malaysia; Faculty of Engineering, Universiti Putra Malaysia, Faculty of Engineering, Universitas Muhammadiyah Yogyakarta</t>
  </si>
  <si>
    <t>The authors thank the Faculty of Engineering, Universiti Putra Malaysia, Faculty of Engineering, Universitas Muhammadiyah Yogyakarta, Faculty of Mechanical Engineering Technology, and Faculty of Electronic Engineering Technology of the Universiti Malaysia Perlis (UniMAP) for their assistance and for making their facilities available at every stage of this research.</t>
  </si>
  <si>
    <t>0272-8397</t>
  </si>
  <si>
    <t>1548-0569</t>
  </si>
  <si>
    <t>POLYM COMPOSITE</t>
  </si>
  <si>
    <t>Polym. Compos.</t>
  </si>
  <si>
    <t>10.1002/pc.27719</t>
  </si>
  <si>
    <t>Materials Science, Composites; Polymer Science</t>
  </si>
  <si>
    <t>Materials Science; Polymer Science</t>
  </si>
  <si>
    <t>R6ZT7</t>
  </si>
  <si>
    <t>WOS:001065824800001</t>
  </si>
  <si>
    <t>Kandhavelu, J; Subramanian, K; Naidoo, V; Sebastianelli, G; Doan, P; Mani, SK; Yapislar, H; Haciosmanoglu, E; Arslan, L; Ozer, S; Thiyagarajan, R; Candeias, NR; Penny, C; Kandhavelu, M; Murugesan, A</t>
  </si>
  <si>
    <t>Kandhavelu, Jeyalakshmi; Subramanian, Kumar; Naidoo, Vivash; Sebastianelli, Giulia; Doan, Phuong; Mani, Saravanan Konda; Yapislar, Hande; Haciosmanoglu, Ebru; Arslan, Leman; Ozer, Samed; Thiyagarajan, Ramesh; Candeias, Nuno R.; Penny, Clement; Kandhavelu, Meenakshisundaram; Murugesan, Akshaya</t>
  </si>
  <si>
    <t>A novel EGFR inhibitor, HNPMI, regulates apoptosis and oncogenesis by modulating BCL-2/BAX and p53 in colon cancer</t>
  </si>
  <si>
    <t>BRITISH JOURNAL OF PHARMACOLOGY</t>
  </si>
  <si>
    <t>alkylaminophenols; apoptosis; colon cancer; EGFR inhibitor; oncogenesis</t>
  </si>
  <si>
    <t>CELL-CYCLE ARREST; COLORECTAL-CANCER; CONCISE GUIDE; ANTICANCER ACTIVITY; INDOLE-DERIVATIVES; PHENOLIC-COMPOUNDS; COMMUNICATION; OSTEOPONTIN; MECHANISMS; EXPRESSION</t>
  </si>
  <si>
    <t>Background and PurposeColorectal cancer (CRC) is the second most lethal disease, with high mortality due to its heterogeneity and chemo-resistance. Here, we have focused on the epidermal growth factor receptor (EGFR) as an effective therapeutic target in CRC and studied the effects of polyphenols known to modulate several key signalling mechanisms including EGFR signalling, associated with anti-proliferative and anti-metastatic properties.Experimental ApproachUsing ligand- and structure-based cheminformatics, we developed three potent, selective alkylaminophenols, 2-[(3,4-dihydroquinolin-1(2H)-yl)(p-tolyl)methyl]phenol (THTMP), 2-[(1,2,3,4-tetrahydroquinolin-1-yl)(4-methoxyphenyl)methyl]phenol (THMPP) and N-[2-hydroxy-5-nitrophenyl(4 &amp; PRIME;-methylphenyl)methyl]indoline (HNPMI). These alkylaminophenols were assessed for EGFR interaction, EGFR-pathway modulation, cytotoxic and apoptosis induction, caspase activation and transcriptional and translational regulation. The lead compound HNPMI was evaluated in mice bearing xenografts of CRC cells.Key ResultsOf the three alkylaminophenols tested, HNPMI exhibited the lowest IC50 in CRC cells and potential cytotoxic effects on other tumour cells. Modulation of EGFR pathway down-regulated protein levels of osteopontin, survivin and cathepsin S, leading to apoptosis. Cell cycle analysis revealed that HNPMI induced G0/G1 phase arrest in CRC cells. HNPMI altered the mRNA for and protein levels of several apoptosis-related proteins including caspase 3, BCL-2 and p53. HNPMI down-regulated the proteins crucial to oncogenesis in CRC cells. Assays in mice bearing CRC xenografts showed that HNPMI reduced the relative tumour volume.Conclusions and ImplicationsHNPMI is a promising EGFR inhibitor for clinical translation. HNPMI regulated apoptosis and oncogenesis by modulating BCL-2/BAX and p53 in CRC cell lines, showing potential as a therapeutic agent in the treatment of CRC.</t>
  </si>
  <si>
    <t>[Kandhavelu, Jeyalakshmi; Subramanian, Kumar; Naidoo, Vivash; Penny, Clement] Univ Witwatersrand, Fac Hlth Sci, Div Oncol, Johannesburg, South Africa; [Sebastianelli, Giulia; Doan, Phuong; Kandhavelu, Meenakshisundaram; Murugesan, Akshaya] Tampere Univ, Fac Med &amp; Hlth Technol, BioMediTech, Mol Signalling Lab, Tampere, Finland; [Sebastianelli, Giulia; Doan, Phuong; Kandhavelu, Meenakshisundaram; Murugesan, Akshaya] Tays Canc Ctr, Tampere, Finland; [Doan, Phuong; Kandhavelu, Meenakshisundaram] Tampere Univ, BioMediTech Inst, Tampere, Finland; [Doan, Phuong; Kandhavelu, Meenakshisundaram] Tampere Univ, Fac Med &amp; Hlth Technol, Tampere, Finland; [Doan, Phuong; Kandhavelu, Meenakshisundaram] Tampere Univ Hosp, Sci Ctr, Tampere, Finland; [Mani, Saravanan Konda] Bharath Inst Higher Educ &amp; Res, Res &amp; Publicat Wing, Chennai, Tamil Nadu, India; [Yapislar, Hande] Acibadem Univ, Sch Med, Dept Physiol, Istanbul, Turkiye; [Haciosmanoglu, Ebru] Bezmialem Vakif Univ, Dept Biophys, Sch Med, Istanbul, Turkiye; [Arslan, Leman] Bezmialem Vakif Univ, Sch Med, Dept Physiol, Istanbul, Turkiye; [Thiyagarajan, Ramesh] Prince Sattam Bin Abdulaziz Univ, Coll Med, Dept Basic Med Sci, Al Kharj, Saudi Arabia; [Candeias, Nuno R.] Univ Aveiro, Dept Chem, LAQV REQUIMTE, Aveiro, Portugal; [Candeias, Nuno R.] Tampere Univ, Fac Engn &amp; Nat Sci, Tampere, Finland; [Murugesan, Akshaya] Lady Doak Coll, Dept Biotechnol, Madurai, India; [Kandhavelu, Meenakshisundaram] Tampere Univ, Fac Med &amp; Hlth Technol, Mol Signalling Lab, BioMediTech, POB 553, Tampere 33101, Finland; [Kandhavelu, Meenakshisundaram] Tays Canc Ctr, POB 553, Tampere 33101, Finland; [Penny, Clement] Univ Witwatersrand, Fac Hlth Sci, Div Oncol, ZA-2050 Johannesburg, South Africa; [Murugesan, Akshaya] Lady Doak Coll, Dept Biotechnol, Madurai 625002, India</t>
  </si>
  <si>
    <t>University of Witwatersrand; Tampere University; Tampere University; Tampere University; Tampere University; Tampere University Hospital; Bharath Institute of Higher Education &amp; Research; Acibadem University; Bezmialem Vakif University; Bezmialem Vakif University; Prince Sattam Bin Abdulaziz University; Universidade de Aveiro; Tampere University; Tampere University; University of Witwatersrand</t>
  </si>
  <si>
    <t>Kandhavelu, M (corresponding author), Tampere Univ, Fac Med &amp; Hlth Technol, Mol Signalling Lab, BioMediTech, POB 553, Tampere 33101, Finland.;Kandhavelu, M (corresponding author), Tays Canc Ctr, POB 553, Tampere 33101, Finland.;Penny, C (corresponding author), Univ Witwatersrand, Fac Hlth Sci, Div Oncol, ZA-2050 Johannesburg, South Africa.;Murugesan, A (corresponding author), Lady Doak Coll, Dept Biotechnol, Madurai 625002, India.</t>
  </si>
  <si>
    <t>clement.penny@wits.ac.za; meenakshisundaram.kandhavelu@tuni.fi; akshaya.murugesan@tuni.fi</t>
  </si>
  <si>
    <t>Saravanan, Konda Mani/AAH-3960-2019</t>
  </si>
  <si>
    <t>Saravanan, Konda Mani/0000-0002-5541-234X; Ramesh, Dr. Thiyagarajan/0000-0001-6478-0833; Arslan Ariturk, Leman/0000-0001-7910-9567</t>
  </si>
  <si>
    <t>Fundacao para a Ciencia e a Tecnologia [CEECINST/00026/2018]; National Funds [UIDP/50006/2020, UIDB/50006/2020]; South African Medical Research Council</t>
  </si>
  <si>
    <t>Fundacao para a Ciencia e a Tecnologia(Fundacao para a Ciencia e a Tecnologia (FCT)); National Funds; South African Medical Research Council(South African Medical Research CouncilUK Research &amp; Innovation (UKRI)Medical Research Council UK (MRC)South Africa Medical Research Council (SAMRC))</t>
  </si>
  <si>
    <t>Fundacao para a Ciencia e a Tecnologia, Grant/Award Number: CEECINST/00026/2018; PT National Funds, Grant/Award Numbers: UIDP/50006/2020, UIDB/50006/2020; South African Medical Research Council</t>
  </si>
  <si>
    <t>0007-1188</t>
  </si>
  <si>
    <t>1476-5381</t>
  </si>
  <si>
    <t>BRIT J PHARMACOL</t>
  </si>
  <si>
    <t>Br. J. Pharmacol.</t>
  </si>
  <si>
    <t>10.1111/bph.16141</t>
  </si>
  <si>
    <t>R3LG8</t>
  </si>
  <si>
    <t>WOS:001063394800001</t>
  </si>
  <si>
    <t>Khan, A</t>
  </si>
  <si>
    <t>Khan, Asad</t>
  </si>
  <si>
    <t>Bresco v Lonsdale [2020] UKSC 25 [case comment]</t>
  </si>
  <si>
    <t>INTERNATIONAL INSOLVENCY REVIEW</t>
  </si>
  <si>
    <t>[Khan, Asad] Univ Nottingham, Nottingham, England</t>
  </si>
  <si>
    <t>University of Nottingham</t>
  </si>
  <si>
    <t>Khan, A (corresponding author), Univ Nottingham, Nottingham, England.</t>
  </si>
  <si>
    <t>mohammed.khan1@nottingham.ac.uk</t>
  </si>
  <si>
    <t>1180-0518</t>
  </si>
  <si>
    <t>1099-1107</t>
  </si>
  <si>
    <t>INT INSOLV REV</t>
  </si>
  <si>
    <t>Int. Insolv. Rev.</t>
  </si>
  <si>
    <t>10.1002/iir.1508</t>
  </si>
  <si>
    <t>Business, Finance; Law</t>
  </si>
  <si>
    <t>Business &amp; Economics; Government &amp; Law</t>
  </si>
  <si>
    <t>R8OU8</t>
  </si>
  <si>
    <t>WOS:001066903700001</t>
  </si>
  <si>
    <t>Li, LY; Pasco, G; Ali, JB; Johnson, MH; Jones, EJH; Charman, T</t>
  </si>
  <si>
    <t>Li, Leyan; Pasco, Greg; Ali, Jannath Begum; Johnson, Mark H.; Jones, Emily J. H.; Charman, Tony</t>
  </si>
  <si>
    <t>Associations between early language, motor abilities, and later autism traits in infants with typical and elevated likelihood of autism</t>
  </si>
  <si>
    <t>AUTISM RESEARCH</t>
  </si>
  <si>
    <t>autism; language; motor ability; social responsive scale; standardized measures</t>
  </si>
  <si>
    <t>SPECTRUM DISORDERS; EXPRESSIVE LANGUAGE; RISK; CHILDREN; SIBLINGS; SKILLS; COMMUNICATION; PLASTICITY; TODDLERS; SYSTEM</t>
  </si>
  <si>
    <t>Slower acquisition of language and motor milestones are common in infants with later autism and studies have indicated that motor skills predict the rate of language development, suggesting these domains of development may be interlinked. However, the inter-relationships between the two domains over development and emerging autistic traits are not fully established. We studied language and motor development using standardized observational and parent-report measures in infants with (n = 271) and without (n = 137) a family history of autism across four waves of data collection from 10 to 36 months. We used Random Intercept Cross-Lagged Panel Models to examine contemporaneous and longitudinal associations between language and motor developments in both elevated and typical likelihood groups. We estimated paths between language and motor abilities at 10, 14, 24, and 36 months and autism trait scores at 36 months, to test whether the domains were interrelated and how they related to emerging autism traits. Results revealed consistent bidirectional Expressive Language (EL) and Fine Motor (FM) cross-lagged effects from 10 to 24 and a unidirectional EL to FM effect from 24 to 36 months as well as significantly correlated random intercepts between Gross motor (GM) and Receptive language (RL), indicating stable concurrent associations over time. However, only the associations between GM and RL were associated with later autism traits. Early motor and language are linked, but only gross motor and receptive language are jointly associated with autistic traits in infants with an autism family history.</t>
  </si>
  <si>
    <t>[Li, Leyan; Pasco, Greg; Charman, Tony] Kings Coll London, Inst Psychiat Psychol &amp; Neurosci, Dept Psychol, London, England; [Ali, Jannath Begum; Johnson, Mark H.; Jones, Emily J. H.] Birkbeck Univ London, Ctr Brain &amp; Cognit Dev, Dept Psychol Sci, London, England; [Johnson, Mark H.] Univ Cambridge, Dept Psychol, Cambridge, England; [Charman, Tony] Kings Coll London, Inst Psychiat Psychol &amp; Neurosci, Dept Psychol, PO77,Crespigny Pk,Denmark Hill, London SE5 8AF, England</t>
  </si>
  <si>
    <t>University of London; King's College London; University of London; Birkbeck University London; University of Cambridge; University of London; King's College London</t>
  </si>
  <si>
    <t>Charman, T (corresponding author), Kings Coll London, Inst Psychiat Psychol &amp; Neurosci, Dept Psychol, PO77,Crespigny Pk,Denmark Hill, London SE5 8AF, England.</t>
  </si>
  <si>
    <t>tony.charman@kcl.ac.uk</t>
  </si>
  <si>
    <t>; Charman, Tony/A-2085-2014</t>
  </si>
  <si>
    <t>Li, Leyan/0000-0001-9904-4297; Charman, Tony/0000-0003-1993-6549; Jones, Emily/0000-0001-5747-9540</t>
  </si>
  <si>
    <t>Autism Speaks; Autistica; Innovative Medicines Initiative (EU-AIMS/AIMS-2-TRIALS) [115300/777394]; Guy's and St Thomas' Charity [STR130505]; Henry Lester Trust; HORIZON EUROPE Framework Programme [R2D2-MH, 101057385]; King's-China Scholarship Council; Maudsley Charity; Medical Research Council [MR/R011427/1, G0701484, MR/K021389/1, MR/T003057/1]; UK Research and Innovation [10039383]</t>
  </si>
  <si>
    <t>Autism Speaks; Autistica(Autistica); Innovative Medicines Initiative (EU-AIMS/AIMS-2-TRIALS); Guy's and St Thomas' Charity; Henry Lester Trust; HORIZON EUROPE Framework Programme; King's-China Scholarship Council; Maudsley Charity; Medical Research Council(UK Research &amp; Innovation (UKRI)Medical Research Council UK (MRC)); UK Research and Innovation(UK Research &amp; Innovation (UKRI))</t>
  </si>
  <si>
    <t>Autism Speaks; Autistica; Innovative Medicines Initiative (EU-AIMS/AIMS-2-TRIALS), Grant/Award Number: 115300/777394; Guy's and St Thomas' Charity, Grant/Award Number: STR130505; Henry Lester Trust; HORIZON EUROPE Framework Programme, Grant/Award Number: R2D2-MH(101057385); King's-China Scholarship Council; Maudsley Charity; Medical Research Council, Grant/Award Numbers: MR/R011427/1, G0701484, MR/K021389/1, MR/T003057/1; UK Research and Innovation, Grant/Award Number: 10039383</t>
  </si>
  <si>
    <t>1939-3792</t>
  </si>
  <si>
    <t>1939-3806</t>
  </si>
  <si>
    <t>AUTISM RES</t>
  </si>
  <si>
    <t>Autism Res.</t>
  </si>
  <si>
    <t>10.1002/aur.3023</t>
  </si>
  <si>
    <t>Behavioral Sciences; Psychology, Developmental</t>
  </si>
  <si>
    <t>Behavioral Sciences; Psychology</t>
  </si>
  <si>
    <t>R7ZK1</t>
  </si>
  <si>
    <t>WOS:001066499100001</t>
  </si>
  <si>
    <t>Li, XL; Wang, YL; Lu, JF; Li, SM; Li, P; Huang, ZD; Liang, GJ; He, HY; Zhi, CY</t>
  </si>
  <si>
    <t>Li, Xinliang; Wang, Yanlei; Lu, Junfeng; Li, Shimei; Li, Pei; Huang, Zhaodong; Liang, Guojin; He, Hongyan; Zhi, Chunyi</t>
  </si>
  <si>
    <t>Three-Electron Transfer-Based High-Capacity Organic Lithium-Iodine (Chlorine) Batteries</t>
  </si>
  <si>
    <t>Chloride Redox; Electrochemistry; Halogen Battery; Interhalogens; Multi-Electron Conversion</t>
  </si>
  <si>
    <t>ENERGY-DENSITY; INTERCALATION; CONVERSION; ENABLES</t>
  </si>
  <si>
    <t>Conversion-type batteries apply the principle that more charge transfer is preferable. The underutilized electron transfer mode within two undermines the electrochemical performance of halogen batteries. Here, we realised a three-electron transfer lithium-halogen battery based on I-/I+ and Cl-/Cl0 couples by using a common commercial electrolyte saturated with Cl- anions. The resulting Li||tetrabutylammonium triiodide (TBAI3) cell exhibits three distinct discharging plateaus at 2.97, 3.40, and 3.85 V. Moreover, it has a high capacity of 631 mAh g-1I (265 mAh g-1electrode, based on entire mass loading) and record-high energy density of up to 2013 Wh kg-1I (845 Wh kg-1electrode). To support these findings, experimental characterisations and density functional theory calculations were conducted to elucidate the redox chemistry involved in this novel interhalogen strategy. We believe our paradigm presented here has a foreseeable inspiring effect on other halogen batteries for high-energy-density pursuit. The static organic lithium-iodine (chlorine) batteries fueled by brand-new three-electron redox chemistry (redox couples: I-/I+ and Cl-/Cl0) with electrochemically active tetrabutylammonium triiodide cathode exhibit the excellent specific energy density, representing a significant advancement in the field of halogen battery.+image</t>
  </si>
  <si>
    <t>[Li, Xinliang] Zhengzhou Univ, Sch Phys &amp; Microelect, Key Lab Mat Phys, Minist Educ, Zhengzhou 450052, Peoples R China; [Li, Xinliang; Li, Shimei; Li, Pei; Huang, Zhaodong; Liang, Guojin; Zhi, Chunyi] City Univ Hong Kong, Dept Mat Sci &amp; Engn, Kowloon, 83 Tat Chee Ave, Hong Kong 999077, Peoples R China; [Wang, Yanlei; Lu, Junfeng; He, Hongyan] Chinese Acad Sci, Inst Proc Engn, Beijing 100190, Peoples R China; [Li, Shimei; Huang, Zhaodong; Zhi, Chunyi] Hong Kong Ctr Cerebro Cardiovasc Hlth Engn COCHE, Shatin, Hong Kong 999077, Peoples R China</t>
  </si>
  <si>
    <t>Zhengzhou University; City University of Hong Kong; Chinese Academy of Sciences; Institute of Process Engineering, CAS</t>
  </si>
  <si>
    <t>Zhi, CY (corresponding author), City Univ Hong Kong, Dept Mat Sci &amp; Engn, Kowloon, 83 Tat Chee Ave, Hong Kong 999077, Peoples R China.;He, HY (corresponding author), Chinese Acad Sci, Inst Proc Engn, Beijing 100190, Peoples R China.;Zhi, CY (corresponding author), Hong Kong Ctr Cerebro Cardiovasc Hlth Engn COCHE, Shatin, Hong Kong 999077, Peoples R China.</t>
  </si>
  <si>
    <t>hyhe@ipe.ac.cn; cy.zhi@cityu.edu.hk</t>
  </si>
  <si>
    <t>He, Hongyan/V-5942-2017</t>
  </si>
  <si>
    <t>He, Hongyan/0000-0003-1291-2771; ZHI, Chunyi/0000-0001-6766-5953</t>
  </si>
  <si>
    <t>National Key R&amp;D Program of China [2019YFA0705104]; Overseas Excellent Young Scholars of the National, Natural Science Foundation of China; GRF [CityU 11304921]</t>
  </si>
  <si>
    <t>National Key R&amp;D Program of China; Overseas Excellent Young Scholars of the National, Natural Science Foundation of China(National Natural Science Foundation of China (NSFC)); GRF</t>
  </si>
  <si>
    <t>This research was supported by the National Key R&amp;D Program of China under Project 2019YFA0705104, Overseas Excellent Young Scholars of the National, Natural Science Foundation of China, and GRF under Project CityU 11304921.</t>
  </si>
  <si>
    <t>10.1002/anie.202310168</t>
  </si>
  <si>
    <t>R3CT6</t>
  </si>
  <si>
    <t>WOS:001063169400001</t>
  </si>
  <si>
    <t>Mahajan, A; Gonzalez, DA; Stebbins, GT; Comella, C</t>
  </si>
  <si>
    <t>Mahajan, Abhimanyu; Gonzalez, David A.; Stebbins, Glenn T.; Comella, Cynthia</t>
  </si>
  <si>
    <t>Therapeutic Benefit of Sensory Trick in Cervical Dystonia</t>
  </si>
  <si>
    <t>sensory trick; geste antagoniste; alleviating maneuver; botulinum toxin; cervical dystonia</t>
  </si>
  <si>
    <t>BackgroundSensory tricks (STs) are voluntary maneuvers that dampen the abnormal movement in cervical dystonia (CD).ObjectivesTo investigate the effect of ST on CD severity and treatment.MethodsData on 1039 individuals with a modified Toronto Western Spasmodic Torticollis Rating Scale (TWSTRS) score were extracted from the CD Patient Registry for Observation of OnabotulinumtoxinA (onabotA) Efficacy study. Univariate and multivariate models evaluated the direct and indirect impact of ST on CD severity and treatment, while controlling for confounds.ResultsComplete ST was associated with a 10% lower mean onabotA dose. Absence of complete ST was associated with a higher onabotA dose after controlling for dystonia severity (OR = 1.37, P = 0.04). ST moderated the relationship between dystonia severity and toxin dose (&amp; beta; = -0.16, P = 0.02).ConclusionsST is related to lower CD severity and toxin dose. It may have a direct effect on lowering toxin dose, independent of CD severity.</t>
  </si>
  <si>
    <t>[Mahajan, Abhimanyu; Gonzalez, David A.; Stebbins, Glenn T.; Comella, Cynthia] Rush Univ, Rush Parkinsons Dis &amp; Movement Disorders Program, Med Ctr, Chicago, IL USA; [Mahajan, Abhimanyu] Rush Univ, Rush Parkinsons Dis &amp; Movement Disorders Program, Med Ctr, 1725 Harrison St,Suite 755, Chicago, IL 60612 USA</t>
  </si>
  <si>
    <t>Rush University; Rush University</t>
  </si>
  <si>
    <t>Mahajan, A (corresponding author), Rush Univ, Rush Parkinsons Dis &amp; Movement Disorders Program, Med Ctr, 1725 Harrison St,Suite 755, Chicago, IL 60612 USA.</t>
  </si>
  <si>
    <t>abhimanyumahajan@outlook.com</t>
  </si>
  <si>
    <t>Mahajan, Abhimanyu/0000-0001-8807-6672</t>
  </si>
  <si>
    <t>This manuscript is based on research using data from data contributors AbbVie that has been made available through Vivli, Inc. Vivli has not contributed to or approved, and is not in any way responsible for, the contents of this publication.</t>
  </si>
  <si>
    <t>10.1002/mdc3.13874</t>
  </si>
  <si>
    <t>R3DW6</t>
  </si>
  <si>
    <t>WOS:001063199200001</t>
  </si>
  <si>
    <t>Noma, T; Chen, HY; Dhara, B; Sotome, M; Nomoto, T; Arita, R; Nakamura, M; Miyajima, D</t>
  </si>
  <si>
    <t>Noma, Taishi; Chen, Hsiao-Yi; Dhara, Barun; Sotome, Masato; Nomoto, Takuya; Arita, Ryotaro; Nakamura, Masao; Miyajima, Daigo</t>
  </si>
  <si>
    <t>Bulk Photovoltaic Effect Along the Nonpolar Axis in Organic-Inorganic Hybrid Perovskites</t>
  </si>
  <si>
    <t>Bulk Photovoltaic Effect; Circular Photogalvanic Effect; Organic-Inorganic Hybrid Perovskite; Polarization; Shift Current</t>
  </si>
  <si>
    <t>POLARIZED LIGHT DETECTION; PHOTOGALVANIC SPECTROSCOPY; HALIDE; RASHBA; INTERFACE; CRYSTALS</t>
  </si>
  <si>
    <t>The origin of the bulk photovoltaic effect (BPVE) was considered as a built-in electric field formed by the macroscopic polarization of materials. Alternatively, the shift current mechanism has been gradually accepted as the more appropriate description of the BPVE. This mechanism implies that the photocurrent generated by the BPVE is a topological current featuring an ultrafast response and dissipation-less nature, which is very attractive for photodetector applications. Meanwhile, the origin of the BPVE in organic-inorganic hybrid perovskites (OIHPs) has not been discussed and is still widely accepted as the classical mechanism without any experimental evidence. Herein, we observed the BPVE along the nonpolar axis in OIHPs, which is inconsistent with the classical explanation. Furthermore, based on the nonlinear optical tensor correlation, we substantiated that the BPVE in OIHPs is originated in the shift current mechanism. So far, the bulk photovoltaic effect (BPVE) in organic-inorganic hybrid perovskites (OIHPs) has been discussed based on the classical explanation that photocurrent originates from macroscopic polarization. Herein, we report the BPVE along the nonpolar axis in OIHPs. The light polarization dependence is consistent with the shift current mechanism, which possesses effective features, such as ultrafast response and dissipation-less nature.image</t>
  </si>
  <si>
    <t>[Noma, Taishi; Chen, Hsiao-Yi; Dhara, Barun; Arita, Ryotaro] RIKEN, Ctr Emergent Matter Sci CEMS, 2-1 Hirosawa, Wako, Saitama 3510198, Japan; [Sotome, Masato] Univ Tokyo, Sch Engn, Dept Mat Engn, 7-3-1 Hongo,Bunkyo ku, Tokyo 1138656, Japan; [Sotome, Masato; Nomoto, Takuya; Arita, Ryotaro] Univ Tokyo, Res Ctr Adv Sci &amp; Technol, Meguro Ku, 4-6-1 Komaba,Meguro ku, Tokyo 1538904, Japan; [Miyajima, Daigo] Univ Tokyo, Inst Solid State Phys, 5-1-5 Kashiwanoha, Kashiwa, Chiba 2778581, Japan; [Miyajima, Daigo] Japan Sci &amp; Technol Agcy JST, PRESTO, 4-1-8 Honcho, Kawaguchi, Saitama 3320012, Japan; [Miyajima, Daigo] Chinese Univ Hong Kong, Sch Sci &amp; Engn, 2001 Longxiang Blvd, Shenzhen 518172, Guangdong, Peoples R China</t>
  </si>
  <si>
    <t>RIKEN; University of Tokyo; University of Tokyo; University of Tokyo; Japan Science &amp; Technology Agency (JST); Chinese University of Hong Kong, Shenzhen</t>
  </si>
  <si>
    <t>Noma, T (corresponding author), RIKEN, Ctr Emergent Matter Sci CEMS, 2-1 Hirosawa, Wako, Saitama 3510198, Japan.;Miyajima, D (corresponding author), Univ Tokyo, Inst Solid State Phys, 5-1-5 Kashiwanoha, Kashiwa, Chiba 2778581, Japan.;Miyajima, D (corresponding author), Japan Sci &amp; Technol Agcy JST, PRESTO, 4-1-8 Honcho, Kawaguchi, Saitama 3320012, Japan.;Miyajima, D (corresponding author), Chinese Univ Hong Kong, Sch Sci &amp; Engn, 2001 Longxiang Blvd, Shenzhen 518172, Guangdong, Peoples R China.</t>
  </si>
  <si>
    <t>taishi.noma@riken.jp; dmiyajima@cuhk.edu.cn</t>
  </si>
  <si>
    <t>Arita, Ryotaro/D-5965-2012; Nakamura, Masao/IXE-0113-2023; Miyajima, Daigo/B-5623-2013</t>
  </si>
  <si>
    <t>Arita, Ryotaro/0000-0001-5725-072X; Nakamura, Masao/0000-0002-6812-6334; Dhara, Barun/0000-0003-1648-8824; Nomoto, Takuya/0000-0002-4333-6773; Noma, Taishi/0009-0007-7260-6449; Sotome, Masato/0000-0003-1929-8161; Miyajima, Daigo/0000-0002-9578-7349</t>
  </si>
  <si>
    <t>JSPS KAKENHI [JP21K14531, JP23H04863, JP20K15198, JP21H04679, JP22H01969]; Mitsubishi Foundation [202011014]; Incentive Research Projects in RIKEN; JST, PRESTO (Japan) [JP1159382]; RIKEN Special Postdoctoral Researchers Program</t>
  </si>
  <si>
    <t>JSPS KAKENHI(Ministry of Education, Culture, Sports, Science and Technology, Japan (MEXT)Japan Society for the Promotion of ScienceGrants-in-Aid for Scientific Research (KAKENHI)); Mitsubishi Foundation; Incentive Research Projects in RIKEN; JST, PRESTO (Japan); RIKEN Special Postdoctoral Researchers Program</t>
  </si>
  <si>
    <t>We thank Dr. F. Araoka (RIKEN, CEMS) for valuable comments and advice. This study was supported by the JSPS KAKENHI under Grant Nos. JP21K14531, JP23H04863, JP20K15198, JP21H04679, JP22H01969, Mitsubishi Foundation (ID: 202011014), Incentive Research Projects in RIKEN, and JST, PRESTO under Grant No. JP1159382 (Japan). H.-Y. Chen is supported by the RIKEN Special Postdoctoral Researchers Program.</t>
  </si>
  <si>
    <t>10.1002/anie.202309055</t>
  </si>
  <si>
    <t>R5WA1</t>
  </si>
  <si>
    <t>WOS:001065042500001</t>
  </si>
  <si>
    <t>Okamoto, T; Okajima, H; Ogawa, E; Kadohisa, M; Yamamoto, M; Uebayashi, EY; Yurugi, K; Ito, T; Hatano, E</t>
  </si>
  <si>
    <t>Okamoto, Tatsuya; Okajima, Hideaki; Ogawa, Eri; Kadohisa, Masashi; Yamamoto, Miki; Uebayashi, Elena Yukie; Yurugi, Kimiko; Ito, Takashi; Hatano, Etsuro</t>
  </si>
  <si>
    <t>The protective association of HLA-C*12:02 and HLA-DQB1*06:01 with severe acute hepatitis of unknown origin in the Japanese population</t>
  </si>
  <si>
    <t>HLA</t>
  </si>
  <si>
    <t>acute hepatitis; HLA; liver transplantation</t>
  </si>
  <si>
    <t>Global surveillance has been conducted to elucidate the pathogenesis of acute hepatitis of unknown origin (AHUO), However, the factors associated with the aggravation of this serious disease are unclear. Therefore, we conducted a HLA association study to identify HLA alleles or haplotypes predisposing or protective against Japanese AHUO. The HLA 5 locus (HLA-A, HLA-B, C, DRB1, and DQB1) 4-digit genotyping results of 72 AHUO patients who underwent liver transplantation at our institution between 2000 and 2021 were compared to those of 873 healthy Japanese controls. Protective associations of HLA-B*52:01 (p-corrected (pc) = 3.15 x 10(-3)), HLA-C*12:02 (pc = 1.66 x10(-3)), HLA-DQB1*06:01 (pc = 1.42 x 10(-2)), and HLA-DRB1*15:02 (pc = 1.36 x 10(-2)) with severe AHUO in Japanese patients were observed. The amino acid residues of tryptophan at position 156, which are located in the antigen-binding grooves of the HLA-C protein, showed a protective association with AHUO, showing a significant difference from other amino acid variations (pc = 9.0 x 10(-4)). Furthermore, 5 amino acid residues of the HLA-DQB1 protein were also protectively associated with AHUO with a significant difference from other amino acid variations (pc = 1.42 x 10(-2) to 2.89 x 10(-2)). These alleles have a protective association with the aggravation of AHUO in the Japanese population.</t>
  </si>
  <si>
    <t>[Okamoto, Tatsuya; Okajima, Hideaki; Ogawa, Eri; Kadohisa, Masashi; Yamamoto, Miki; Uebayashi, Elena Yukie; Ito, Takashi; Hatano, Etsuro] Kyoto Univ, Grad Sch Med, Dept Surg, Kyoto, Japan; [Okamoto, Tatsuya; Okajima, Hideaki; Ogawa, Eri; Kadohisa, Masashi; Yamamoto, Miki; Uebayashi, Elena Yukie; Hatano, Etsuro] Kyoto Univ Hosp, Dept Pediat Surg, Kyoto, Japan; [Okajima, Hideaki] Kanazawa Med Univ, Dept Pediat Surg, Kanazawa, Japan; [Yurugi, Kimiko] Kyoto Univ Hosp, Dept Clin Lab Med, Kyoto, Japan; [Ito, Takashi; Hatano, Etsuro] Kyoto Univ Hosp, Dept Hepatobiliary Pancreat Surg &amp; Transplantat, Kyoto, Japan; [Okamoto, Tatsuya] Kyoto Univ, Grad Sch Med, Dept Surg, Kyoto 6068507, Japan</t>
  </si>
  <si>
    <t>Kyoto University; Kyoto University; Kanazawa Medical University; Kyoto University; Kyoto University; Kyoto University</t>
  </si>
  <si>
    <t>Okamoto, T (corresponding author), Kyoto Univ, Grad Sch Med, Dept Surg, Kyoto 6068507, Japan.</t>
  </si>
  <si>
    <t>okamotot@kuhp.kyoto-u.ac.jp</t>
  </si>
  <si>
    <t>We thank Hidenori Tanaka, Pharm.D., and Ryosuke Kino, M.S. (The HLA laboratory, Japan) for providing useful information on HLA. We would like to thank Kyoko Hamano, M.S., Rie Hishida, M.S., and Miki Iwamoto, M.S., for their excellent work on HLA typing ass</t>
  </si>
  <si>
    <t>We thank Hidenori Tanaka, Pharm.D., and Ryosuke Kino, M.S. (The HLA laboratory, Japan) for providing useful information on HLA. We would like to thank Kyoko Hamano, M.S., Rie Hishida, M.S., and Miki Iwamoto, M.S., for their excellent work on HLA typing assays in LT patients (Department of Clinical Laboratory Medicine, Kyoto University Hospital).</t>
  </si>
  <si>
    <t>2059-2302</t>
  </si>
  <si>
    <t>2059-2310</t>
  </si>
  <si>
    <t>10.1111/tan.15215</t>
  </si>
  <si>
    <t>Cell Biology; Immunology; Pathology</t>
  </si>
  <si>
    <t>R6YU8</t>
  </si>
  <si>
    <t>WOS:001065799900001</t>
  </si>
  <si>
    <t>Santos, M; Simoes, M; Sousa, S</t>
  </si>
  <si>
    <t>Santos, Marcelo; Simoes, Marta; Sousa, Silvia</t>
  </si>
  <si>
    <t>Health human capital formation in the OECD: Exploring the role of welfare state composition</t>
  </si>
  <si>
    <t>ECONOMICS &amp; POLITICS</t>
  </si>
  <si>
    <t>fiscal policy; Health; human capital; OECD; social expenditure; welfare state</t>
  </si>
  <si>
    <t>LIFE EXPECTANCY; ECONOMIC-GROWTH; PANEL; INCOME; EXPENDITURES; INVESTMENT; INEQUALITY; DISEASE; IMPACT; POLICY</t>
  </si>
  <si>
    <t>This study examines the relationship between welfare state or social expenditure composition and health human capital in 37 OECD countries spanning 1980-2018. Our findings confirm that public health spending has a positive effect on health capital formation. Dissecting social expenditure according to other nine social spending categories reveals a positive influence for old age pensions and unemployment benefits. The results for the remaining social programs vary with the health capital proxy and estimation method used. It thus appears that more comprehensive and universal social programs, possibly by guaranteeing the necessary income, do a better job in improving health human capital.</t>
  </si>
  <si>
    <t>[Santos, Marcelo; Simoes, Marta] Univ Coimbra, Fac Econ, CeBER, Coimbra, Portugal; [Sousa, Silvia] Univ Minho, Sch Econ &amp; Management, NIPE, Braga, Portugal; [Simoes, Marta] Univ Coimbra, Fac Econ, CeBER, Av Dias Silva 165, P-3004512 Coimbra, Portugal</t>
  </si>
  <si>
    <t>Universidade de Coimbra; Universidade do Minho; Universidade de Coimbra</t>
  </si>
  <si>
    <t>Simoes, M (corresponding author), Univ Coimbra, Fac Econ, CeBER, Av Dias Silva 165, P-3004512 Coimbra, Portugal.</t>
  </si>
  <si>
    <t>mcsimoes@fe.uc.pt</t>
  </si>
  <si>
    <t>Simões, Marta/I-7226-2017</t>
  </si>
  <si>
    <t>Simões, Marta/0000-0003-1046-2551</t>
  </si>
  <si>
    <t>COMPETE 2020, Portugal 2020; European Union [POCI-01-0145-FEDER-029365]; Fundacao para a Ciencia e Tecnologia I.P./MCTES [PTDC/EGE-ECO/29365/2017, UIDB/05037/2020]</t>
  </si>
  <si>
    <t>COMPETE 2020, Portugal 2020; European Union(European Union (EU)); Fundacao para a Ciencia e Tecnologia I.P./MCTES</t>
  </si>
  <si>
    <t>COMPETE 2020, Portugal 2020 and the European Union, Grant/Award Number: POCI-01-0145-FEDER-029365; Fundacao para a Ciencia e Tecnologia I.P./MCTES, Grant/Award Numbers: PTDC/EGE-ECO/29365/2017, UIDB/05037/2020</t>
  </si>
  <si>
    <t>0954-1985</t>
  </si>
  <si>
    <t>1468-0343</t>
  </si>
  <si>
    <t>ECON POLIT-OXFORD</t>
  </si>
  <si>
    <t>Econ. Polit.</t>
  </si>
  <si>
    <t>10.1111/ecpo.12263</t>
  </si>
  <si>
    <t>Economics; Political Science</t>
  </si>
  <si>
    <t>R3LS6</t>
  </si>
  <si>
    <t>WOS:001063406800001</t>
  </si>
  <si>
    <t>Su, WH; Wang, CL; Su, ZQ</t>
  </si>
  <si>
    <t>Su, Wunhong; Wang, Chunlin; Su, Zhong-qin</t>
  </si>
  <si>
    <t>Association between foreign background of executives and firm goodwill impairment risk</t>
  </si>
  <si>
    <t>BULLETIN OF ECONOMIC RESEARCH</t>
  </si>
  <si>
    <t>foreign background of executives; goodwill impairment risk; institutional investors; internal control; nature of ownership</t>
  </si>
  <si>
    <t>CEO OVERCONFIDENCE; AGENCY COSTS; ACCOUNTING DISCRETION; INTERNAL CONTROL; CASH FLOW; EXPERIENCE; MANAGEMENT; ACQUISITIONS; ENFORCEMENT; REFLECTION</t>
  </si>
  <si>
    <t>In recent years, the wave of mergers and acquisitions in the capital market has risen. As a result, the goodwill impairment (GI) of listed firms has been frequent. This study empirically examines the association between the foreign-background characteristics of executives and firm GI risk using data from 2008 to 2020 for A-share listed firms in Shanghai and Shenzhen, China. The results show that there is a positive relationship between the foreign background of executives and the risk of GI of firms. Further results show that executives with foreign working backgrounds have a more significant positive impact on GI risk than executives with foreign study backgrounds. In addition, the positive effect of the foreign background of executives of non-state-owned enterprises (SOEs) on GI risk is more profound than that of SOEs. However, internal controls and institutional investors' shareholdings weaken the positive association between executives' foreign backgrounds and GI risk. This study provides evidence of the determinants of GI in firms and the economic consequences of the foreign-background characteristics of executives.</t>
  </si>
  <si>
    <t>[Su, Wunhong; Wang, Chunlin; Su, Zhong-qin] Hangzhou Dianzi Univ, Sch Accounting, Hangzhou, Zhejiang, Peoples R China; [Su, Zhong-qin] 1158,2 St, Hangzhou 310018, Zhejiang, Peoples R China</t>
  </si>
  <si>
    <t>Hangzhou Dianzi University</t>
  </si>
  <si>
    <t>Su, ZQ (corresponding author), 1158,2 St, Hangzhou 310018, Zhejiang, Peoples R China.</t>
  </si>
  <si>
    <t>suzq@hdu.edu.cn</t>
  </si>
  <si>
    <t>Zhejiang Office of Philosophy and Social Science [23NDJC154YB]; Zhejiang Provincial Academic Degree Committee Office (2023) [1]</t>
  </si>
  <si>
    <t>Zhejiang Office of Philosophy and Social Science; Zhejiang Provincial Academic Degree Committee Office (2023)</t>
  </si>
  <si>
    <t>Zhejiang Office of Philosophy and Social Science, Grant/Award Number: 23NDJC154YB; Zhejiang Provincial Academic Degree Committee Office (2023)No.1</t>
  </si>
  <si>
    <t>0307-3378</t>
  </si>
  <si>
    <t>1467-8586</t>
  </si>
  <si>
    <t>B ECON RES</t>
  </si>
  <si>
    <t>Bull Econ. Res.</t>
  </si>
  <si>
    <t>10.1111/boer.12420</t>
  </si>
  <si>
    <t>Economics</t>
  </si>
  <si>
    <t>R3LO1</t>
  </si>
  <si>
    <t>WOS:001063402100001</t>
  </si>
  <si>
    <t>Watt, L</t>
  </si>
  <si>
    <t>Watt, Lucas</t>
  </si>
  <si>
    <t>Relational resource geographies of beche-de-mer under moratorium</t>
  </si>
  <si>
    <t>ASIA PACIFIC VIEWPOINT</t>
  </si>
  <si>
    <t>beche-de-mer; Fiji; moratoria; Pacific; relational approach; sea cucumber</t>
  </si>
  <si>
    <t>FISHERIES; PERSPECTIVES; TRADE</t>
  </si>
  <si>
    <t>Moratorium is a common marine resource management strategy used by nation-states that abruptly reclassifies the harvesting and trade of designated resources as 'illegal' for a defined period. Nation-states use moratoria to help ecological stocks of overharvested marine species to recover. The Fijian state instituted a moratorium on the harvest and trade of beche-de-mer between 2017 and 2022 due to evidence of overfishing. Through ethnographic fieldwork with Fijian beche-de-mer fishers, traders and exporters, I examine how the moratorium affected relational trade flows of beche-de-mer. In precolonial Fiji, marine resources flowed through historically established regional socio-cultural pathways. During the colonial period, Chinese migrants in Fiji occupied a unique relational positionality to indigenous (itaukei) communities, which allowed them bridge domestic and international resource markets. Through my ethnographic fieldwork, I detail how beche-de-mer continued to be traded during and post moratorium within such a relational resource geography. I argue that the relational ties between itaukei communities and Chinese-Fijian buyers that subsequently connect to international markets undermined the moratorium restrictions, as well as the new conditionalities of trade after the moratorium was lifted. Such relationality in the marine resource trade renders moratoria an ineffective marine resource management strategy as it is inattentive to Pacific context.</t>
  </si>
  <si>
    <t>[Watt, Lucas] Chr Michelsen Inst, Dept Climate &amp; Nat Resources, Jekteviksbakken 31, N-5006 Bergen, Norway</t>
  </si>
  <si>
    <t>Watt, L (corresponding author), Chr Michelsen Inst, Dept Climate &amp; Nat Resources, Jekteviksbakken 31, N-5006 Bergen, Norway.</t>
  </si>
  <si>
    <t>lucas.m.watt@gmail.com</t>
  </si>
  <si>
    <t>European Research Council (ERC) under the European Union's Horizon 2020 Research and Innovation Programme [802223]</t>
  </si>
  <si>
    <t>European Research Council (ERC) under the European Union's Horizon 2020 Research and Innovation Programme(European Research Council (ERC))</t>
  </si>
  <si>
    <t>This article was supported with funding from the European Research Council (ERC) under the European Union's Horizon 2020 Research and Innovation Programme (Grant agreement No. 802223). I would like to thank Edyta Roszko, Hang Zhou, Xuefei Shi, Saumya Pandey and Robert Forster for reading drafts of this paper and giving their academic advice. I would also like to thank the reviewers of this paper for the helpful advice.</t>
  </si>
  <si>
    <t>1360-7456</t>
  </si>
  <si>
    <t>1467-8373</t>
  </si>
  <si>
    <t>ASIA PAC VIEWP</t>
  </si>
  <si>
    <t>Asia Pac. Viewp.</t>
  </si>
  <si>
    <t>10.1111/apv.12389</t>
  </si>
  <si>
    <t>Area Studies; Geography</t>
  </si>
  <si>
    <t>R7II4</t>
  </si>
  <si>
    <t>WOS:001066049400001</t>
  </si>
  <si>
    <t>Acharya, D; Gaussen, A; Poder, TG; Lambert, G; Renaud, C; Nawej, K; Lewin, A</t>
  </si>
  <si>
    <t>Acharya, Dilaram; Gaussen, Amaury; Poder, Thomas G.; Lambert, Gilles; Renaud, Christian; Nawej, Karlitaj; Lewin, Antoine</t>
  </si>
  <si>
    <t>Associated criteria used in investigating suspected septic transfusion reactions: A scoping review</t>
  </si>
  <si>
    <t>VOX SANGUINIS</t>
  </si>
  <si>
    <t>blood safety; criteria; risk factors; septic transfusion reactions; transfusion medicine</t>
  </si>
  <si>
    <t>TRANSMITTED BACTERIAL-INFECTION; ADVERSE EVENTS; PLATELETS; CONTAMINATION; DEFINITIONS; SEPSIS; DIVERSION; FAILURE; RISK</t>
  </si>
  <si>
    <t>Background and ObjectivesSeptic transfusion reactions (STRs) occur as a result of bacterial contamination of blood or blood products, resulting in sepsis. This scoping review aimed to identify, explore and map the available literature on the STR criteria triggering the investigation of STR.Materials and MethodsFour electronic databases (MEDLINE, Web of Science, Science Direct, Embase) were searched to retrieve scientific literature reporting such criteria, published from 1 January 2000 to 5 May 2022. Grey literature was also searched from open web sources.ResultsOf 1052 references identified, 43 (21 peer-reviewed and 22 grey literature) met the eligibility criteria for inclusion and data extraction after full article screening. Of them, most (27/43, 62.79%) were found to report a single set of criteria, and only two reported four or more sets of criteria. The analysis of 66 sets of criteria collected from the selected references revealed 57 different sets. A few sets of criteria used only one sign and symptom (s/s) (12.12%, n = 8), whereas 16 sets used 7-15 s/s (n = 16/66; 24.24%). Of the total 319 occurrences of s/s associated with the 66 sets of criteria, post-transfusion hyperthermia, body temperature increase and hypotension were the most common s/s categories. Of all the literature available, only one study tested the diagnostic accuracy of the STR criteria.ConclusionThis scoping review revealed a substantial variation in criteria used to identify suspected STR. Consequently, conducting further studies to enhance the diagnostic accuracy of these criteria, which trigger STR investigations, is imperative for advancing clinical practice.</t>
  </si>
  <si>
    <t>[Acharya, Dilaram; Poder, Thomas G.] Univ Montreal, Sch Publ Hlth, Dept Management Evaluat &amp; Hlth Policy, Montreal, PQ, Canada; [Acharya, Dilaram; Gaussen, Amaury; Renaud, Christian; Lewin, Antoine] Hema Quebec, Med Affairs &amp; Innovat, Montreal, PQ, Canada; [Poder, Thomas G.] CIUSSS De lest De Lile De Montreal, Inst Univ Sante Mentale Montreal, Ctr Rech, Montreal, PQ, Canada; [Lambert, Gilles] Ctr Sud De lile De Montreal Quebec, Ctr Integre Univ Sante &amp; Serv Sociaux, Direct Regionale Sante Publ, Montreal, PQ, Canada; [Lambert, Gilles; Nawej, Karlitaj] Inst Natl Sante Publ Quebec, Direct Risques Biol &amp; Sante Travail, Montreal, PQ, Canada; [Lewin, Antoine] Univ Sherbrooke, Fac Med &amp; Hlth Sci, Sherbrooke, PQ, Canada; [Lewin, Antoine] Hema Quebec, Med Affairs &amp; Innovat, 4045,Blvd Cote Vertu,St Laurent, Montreal, PQ H4R 2W7, Canada</t>
  </si>
  <si>
    <t>Universite de Montreal; Hema-Quebec; Universite de Montreal; Institut national de sante publique du Quebec (INSPQ); University of Sherbrooke; Hema-Quebec</t>
  </si>
  <si>
    <t>Lewin, A (corresponding author), Hema Quebec, Med Affairs &amp; Innovat, 4045,Blvd Cote Vertu,St Laurent, Montreal, PQ H4R 2W7, Canada.</t>
  </si>
  <si>
    <t>antoine.lewin@hema-quebec.qc.ca</t>
  </si>
  <si>
    <t>D.A., T.G.P. and A.L. designed the study. D.A., A.G. and A.L. participated in the literature review process and wrote and edited the manuscript. All authors significantly contributed to the conception, writing and revision of the manuscript and approved th</t>
  </si>
  <si>
    <t>Medical Affairs and Innovation, Hema-Quebec, Montreal, Quebec, Canada; Mitacs Accelerate Program, Quebec, Canada, Grant/Award Number: IT17135r D.A., T.G.P. and A.L. designed the study. D.A., A.G. and A.L. participated in the literature review process and wrote and edited the manuscript. All authors significantly contributed to the conception, writing and revision of the manuscript and approved the final version of the manuscript.</t>
  </si>
  <si>
    <t>0042-9007</t>
  </si>
  <si>
    <t>1423-0410</t>
  </si>
  <si>
    <t>VOX SANG</t>
  </si>
  <si>
    <t>Vox Sang.</t>
  </si>
  <si>
    <t>2023 SEP 11</t>
  </si>
  <si>
    <t>10.1111/vox.13521</t>
  </si>
  <si>
    <t>R2IT3</t>
  </si>
  <si>
    <t>WOS:001062639900001</t>
  </si>
  <si>
    <t>Biesman, BS; Capelli, CC</t>
  </si>
  <si>
    <t>Biesman, Brian S.; Capelli, Christopher C.</t>
  </si>
  <si>
    <t>Comparing safety and efficacy of acoustic subcision at two different rapid acoustic pulse rates to improve the appearance of cellulite</t>
  </si>
  <si>
    <t>LASERS IN SURGERY AND MEDICINE</t>
  </si>
  <si>
    <t>100 Hz pulse rate; acoustic subcision; cellulite; noninvasive; rapid acoustic pulse</t>
  </si>
  <si>
    <t>BackgroundA recent study showed the safety and efficacy of a noninvasive acoustic subcision device to improve the appearance of cellulite via delivery of rapid acoustic pulses in a single treatment visit.ObjectiveTo evaluate and compare the safety and efficacy of a single rapid acoustic pulse treatment visit using an equivalent number of rapid acoustic pulses at a pulse rate of 100 or 50 Hz.MethodsThis single-center, prospective study enrolled 15 adult women with moderate to severe cellulite according to the Cellulite Dimple-At Rest Scale. Each participant would receive nominally 72,000 rapid acoustic pulses at a pulse rate of 50 Hz on the left buttock and thigh, and nominally 72,000 rapid acoustic pulses at a pulse rate of 100 Hz on the right buttock and thigh within one treatment visit. Efficacy was assessed by the ability of blinded, independent reviewers to correctly distinguish the pre- and post-treatment photos, participant satisfaction, and the change in Cellulite Dimple-At Rest scores for each treatment side. Safety was monitored throughout the conduct of the study.ResultsFor both 100 and 50 Hz pulse rate treated areas, the majority (two out of three) of blinded reviewers correctly identified 100% of the pre/post-treatment photos. For both the 100 and 50 Hz treated areas, 80% of participants agreed/strongly agreed that their cellulite appeared improved at the 12-week follow-up visit. Significant improvements in Cellulite Dimple-At Rest scores were seen for both the 100 and 50 Hz treated areas. All participants thought both the 100 and 50 Hz pulse rate treatments were tolerable, and the pain (mean score &amp; PLUSMN; SD; 2.2 &amp; PLUSMN; 1.2) associated with each was identical. No unexpected or serious adverse events occurred.ConclusionAcoustic subcision delivered via rapid acoustic pulses at 100 Hz, compared to 50 Hz, provides equivalent improvement in the appearance of cellulite while maintaining a similar safety and efficacy profile. For both pulse rates, treatment pain was minimal, and participant satisfaction was high.</t>
  </si>
  <si>
    <t>[Biesman, Brian S.] Vanderbilt Univ, Sch Med, Dept Ophthalmol Dermatol &amp; Otolaryngol, Nashville, TN USA; [Capelli, Christopher C.] Allergan Aesthet, Irvine, CA USA; [Capelli, Christopher C.] AbbVie Co, Irvine, CA USA; [Capelli, Christopher C.] Allergan Aesthet, 2525 Dupont Dr, Irvine, CA 92612 USA; [Capelli, Christopher C.] AbbVie Co, 2525 Dupont Dr, Irvine, CA 92612 USA</t>
  </si>
  <si>
    <t>Vanderbilt University; AbbVie; AbbVie</t>
  </si>
  <si>
    <t>Capelli, CC (corresponding author), Allergan Aesthet, 2525 Dupont Dr, Irvine, CA 92612 USA.;Capelli, CC (corresponding author), AbbVie Co, 2525 Dupont Dr, Irvine, CA 92612 USA.</t>
  </si>
  <si>
    <t>chris.capelli@abbvie.com</t>
  </si>
  <si>
    <t>Funding for the study was provided by Soliton (Houston, TX, USA) before its acquisition by AbbVie Inc. AbbVie participated in the interpretation of data, review, and approval of the publication. All authors met the ICMJE authorship criteria. No honoraria o; AbbVie Inc. - AbbVie Inc.</t>
  </si>
  <si>
    <t>Funding for the study was provided by Soliton (Houston, TX, USA) before its acquisition by AbbVie Inc. AbbVie participated in the interpretation of data, review, and approval of the publication. All authors met the ICMJE authorship criteria. No honoraria o; AbbVie Inc. - AbbVie Inc.(AbbVie)</t>
  </si>
  <si>
    <t>Funding for the study was provided by Soliton (Houston, TX, USA) before its acquisition by AbbVie Inc. AbbVie participated in the interpretation of data, review, and approval of the publication. All authors met the ICMJE authorship criteria. No honoraria or payments were made for authorship. Medical writing support was provided by Elizabeth Selwan-Lewis, PhD of AbbVie Inc. and was funded by AbbVie Inc. Editorial support was provided by Angela T. Hadsell, of AbbVie Inc. and was funded by AbbVie Inc.</t>
  </si>
  <si>
    <t>0196-8092</t>
  </si>
  <si>
    <t>1096-9101</t>
  </si>
  <si>
    <t>LASER SURG MED</t>
  </si>
  <si>
    <t>Lasers Surg. Med.</t>
  </si>
  <si>
    <t>10.1002/lsm.23718</t>
  </si>
  <si>
    <t>R5ON1</t>
  </si>
  <si>
    <t>WOS:001064845200001</t>
  </si>
  <si>
    <t>Catford, JA; Shepherd, HER; Tennant, P; Tilman, D</t>
  </si>
  <si>
    <t>Catford, Jane A.; Shepherd, Harry E. R.; Tennant, Phillip; Tilman, David</t>
  </si>
  <si>
    <t>Higher plant colonisation and lower resident diversity in grasslands more recently abandoned from agriculture</t>
  </si>
  <si>
    <t>JOURNAL OF ECOLOGY</t>
  </si>
  <si>
    <t>Cedar Creek Ecosystem Science Reserve; community assembly and restoration; community biodiversity change; disturbance and agricultural land use change; grassland secondary succession; invasibility and species invasion; plant colonisation and local extinctions; seed addition experiment</t>
  </si>
  <si>
    <t>BIODIVERSITY CHANGE; RESOURCE LIMITATION; BIOTIC RESISTANCE; SPECIES RICHNESS; INVASION; COMPETITION; PRODUCTIVITY; TRADEOFFS; DOMINANCE; SUCCESS</t>
  </si>
  <si>
    <t>Rates of species colonisation and extirpation are increasing in plant communities world-wide. Colonisation could potentially help compensate for, or compound, resident diversity loss that results from global environmental change.We use a multifactorial seed addition grassland experiment to examine relationships between plant colonisation, resident species diversity and key community assembly factors over 3 years. By manipulating colonist seed rate, imposing disturbance and examining abundance and diversity impacts of 14 formerly absent sown colonists in communities that varied in successional stage and time since agricultural abandonment, we were able to disentangle effects of global change factors (species introduction, novel disturbance and land use change) that are usually confounded.Evidence suggested that cover abundance of sown colonists was most strongly influenced by successional stage of recipient communities, though number of growing seasons was also important for the group of seven colonists with resource conservative 'slow' life history traits. Colonist type, seed rate and disturbance had weaker relationships with colonist cover.Factors affecting sown colonist cover were highly conditional. A negative relationship between plot-level disturbance and colonist cover in early successional communities meant that, despite a positive relationship in late succession, colonisation was negatively related to disturbance overall, defying theoretical expectations.Non-sown resident diversity was negatively related to colonist cover and positively related to successional stage. Resource acquisitive colonists with 'fast' life history traits appeared to limit cover of 'slow colonists' when the two groups were sown together, likely reflecting niche pre-emption.Communities at earlier stages of succession had lower resident diversity and experienced higher levels of colonisation than communities at later stages of succession. Elevated colonisation and lower resident diversity both appeared to be symptoms of human-induced land use change. However, results suggested that resource competition from plant colonists may also limit resident diversity in grasslands abandoned from agriculture more recently.Synthesis. Our findings point to the importance of resource availability and competition on plant colonisation and colonist impacts on residents. Although colonisation is potentially a source of biodiversity in the short term, our results suggest that plant colonists that reach high abundance may be a further threat to resident plant diversity in secondary grasslands recovering from a recent history of agriculture. These findings point to the importance of resource availability and competition on plant colonisation and colonist impacts on residents. Although colonisation is potentially a source of biodiversity in the short term, our results suggest that plant colonists that reach high abundance may be a further threat to resident plant diversity in secondary grasslands recovering from a recent history of agriculture.image</t>
  </si>
  <si>
    <t>[Catford, Jane A.; Shepherd, Harry E. R.] Kings Coll London, Dept Geog, London, England; [Catford, Jane A.; Tennant, Phillip] Australian Natl Univ, Fenner Sch Environm &amp; Soc, Canberra, ACT, Australia; [Catford, Jane A.] Univ Melbourne, Sch Ecosyst &amp; Forest Sci, Parkville, Vic, Australia; [Tilman, David] Univ Minnesota, Dept Ecol Evolut &amp; Behav, St Paul, MN USA; [Tilman, David] Univ Calif Santa Barbara, Bren Sch Environm Sci &amp; Management, Santa Barbara, CA USA</t>
  </si>
  <si>
    <t>University of London; King's College London; Australian National University; University of Melbourne; University of Minnesota System; University of Minnesota Twin Cities; University of California System; University of California Santa Barbara</t>
  </si>
  <si>
    <t>Catford, JA (corresponding author), Kings Coll London, Dept Geog, London, England.;Catford, JA (corresponding author), Australian Natl Univ, Fenner Sch Environm &amp; Soc, Canberra, ACT, Australia.;Catford, JA (corresponding author), Univ Melbourne, Sch Ecosyst &amp; Forest Sci, Parkville, Vic, Australia.</t>
  </si>
  <si>
    <t>jane.catford@kcl.ac.uk</t>
  </si>
  <si>
    <t>Catford, Jane/B-9578-2012</t>
  </si>
  <si>
    <t>Catford, Jane/0000-0003-0582-5960</t>
  </si>
  <si>
    <t>EFINET project - European Forest Institute; European Research Council under the European Union [101001905]</t>
  </si>
  <si>
    <t>EFINET project - European Forest Institute; European Research Council under the European Union(European Research Council (ERC))</t>
  </si>
  <si>
    <t>This work was part of the Climate Change Research Initiative of the Bavarian National Parks funded by the Bavarian State Ministry of the Environment and Consumer Protection. Cornelius Senf, Michiel Van-dewiele and Rupert Seidl acknowledge support through the EFINET project funded by the European Forest Institute. Rupert Seidl acknowledges additional support from the European Research Council under the European Union's Horizon 2020 research and innovation program (Grant Agreement 101001905). We finally thank Dominik Thom for fruitful discussion. We thank three anonymous reviewers for their helpful comments and suggestions that helped improving the manuscript.</t>
  </si>
  <si>
    <t>0022-0477</t>
  </si>
  <si>
    <t>1365-2745</t>
  </si>
  <si>
    <t>J ECOL</t>
  </si>
  <si>
    <t>J. Ecol.</t>
  </si>
  <si>
    <t>10.1111/1365-2745.14192</t>
  </si>
  <si>
    <t>Plant Sciences; Ecology</t>
  </si>
  <si>
    <t>Plant Sciences; Environmental Sciences &amp; Ecology</t>
  </si>
  <si>
    <t>R3HL3</t>
  </si>
  <si>
    <t>WOS:001063294500001</t>
  </si>
  <si>
    <t>Choi, SY; Shin, SH; Seok, J; Yoo, KH; Kim, BJ</t>
  </si>
  <si>
    <t>Choi, Sun Young; Shin, Sun Hye; Seok, Joon; Yoo, Kwang Ho; Kim, Beom Joon</t>
  </si>
  <si>
    <t>Management strategies for vascular complications in hyaluronic acid filler injections: A case series analysis</t>
  </si>
  <si>
    <t>JOURNAL OF COSMETIC DERMATOLOGY</t>
  </si>
  <si>
    <t>dermal fillers; hyaluronic acid; prognosis; vascular complication</t>
  </si>
  <si>
    <t>INJECTABLE FILLERS; PREVENTION; NECROSIS</t>
  </si>
  <si>
    <t>BackgroundAs hyaluronic acid (HA) filler injections have become increasingly popular in the esthetic field, so have their side effects. Vascular complications, which can lead to skin necrosis or permanent scarring, are a particularly dangerous complication and occur when the filler is injected directly into a blood vessel or when an adjacent blood vessel is compressed by the filler material.ObjectiveTo assess the clinical prognosis based on post-procedural management and clinical findings of HA filler vascular complications.MethodsHerein, we present a case series of vascular complications due to HA filler and evaluate their clinical prognosis based on post-procedural management and clinical findings. Clinical assessments were performed using Doppler ultrasound, thermography, and laboratory tests.ResultsFactors including white blood cell count, the time of treatment initiation, and time of hyaluronidase injection influenced the clinical outcomes. Early recognition and prompt hyaluronidase injection proved crucial in preventing further damage and improving prognosis.ConclusionThis case series highlights the importance of early detection and appropriate management of HA filler complications. Physicians should be aware of the potential risks associated with fillers and promptly address any adverse effects to achieve optimal clinical outcomes. Further studies are warranted to confirm these findings and refine treatment strategies for the HA filler complications.</t>
  </si>
  <si>
    <t>[Choi, Sun Young; Yoo, Kwang Ho] Chung Ang Univ, Gwangmyeong Hosp, Coll Med, Dept Dermatol, Gwangmyeong, South Korea; [Shin, Sun Hye; Seok, Joon; Kim, Beom Joon] Chung Ang Univ, Coll Med, Dept Dermatol, Seoul, South Korea; [Kim, Beom Joon] Chung Ang Univ Hosp, Dept Dermatol, 224-1 Heukseok Dong, Seoul 06973, South Korea</t>
  </si>
  <si>
    <t>Chung Ang University; Chung Ang University Hospital; Chung Ang University; Chung Ang University Hospital; Chung Ang University; Chung Ang University Hospital</t>
  </si>
  <si>
    <t>Kim, BJ (corresponding author), Chung Ang Univ Hosp, Dept Dermatol, 224-1 Heukseok Dong, Seoul 06973, South Korea.</t>
  </si>
  <si>
    <t>beomjoon74@gmail.com</t>
  </si>
  <si>
    <t>1473-2130</t>
  </si>
  <si>
    <t>1473-2165</t>
  </si>
  <si>
    <t>J COSMET DERMATOL-US</t>
  </si>
  <si>
    <t>J. Cosmet. Dermatol.</t>
  </si>
  <si>
    <t>10.1111/jocd.15990</t>
  </si>
  <si>
    <t>R2KN7</t>
  </si>
  <si>
    <t>WOS:001062687800001</t>
  </si>
  <si>
    <t>Deng, K; Zonta, F; Yang, H; Pelekos, G; Tonetti, MS</t>
  </si>
  <si>
    <t>Deng, Ke; Zonta, Francesco; Yang, Huan; Pelekos, George; Tonetti, Maurizio S.</t>
  </si>
  <si>
    <t>Development of a machine learning multiclass screening tool for periodontal health status based on non-clinical parameters and salivary biomarkers</t>
  </si>
  <si>
    <t>JOURNAL OF CLINICAL PERIODONTOLOGY</t>
  </si>
  <si>
    <t>artificial intelligence; multiclass prediction; periodontitis; random forest; screening</t>
  </si>
  <si>
    <t>PERI-IMPLANT DISEASES; 2017 WORLD WORKSHOP; MATRIX METALLOPROTEINASES; CONSENSUS REPORT; CLASSIFICATION; SURVEILLANCE; OBJECTIVES; DIAGNOSIS</t>
  </si>
  <si>
    <t>Aim: To develop a multiclass non-clinical screening tool for periodontal disease and assess its accuracy for differentiating periodontal health, gingivitis and different stages of periodontitis.Materials and Methods: A cross-sectional diagnostic study on a convenience sample of 408 consecutive subjects was conducted by applying three non-clinical index tests estimating different features of the periodontal health-disease spectrum: a self-administered questionnaire, an oral rinse activated matrix metalloproteinase-8 (aMMP-8) point-of-care test (POCT) and determination of gingival bleeding on brushing (GBoB). Full-mouth periodontal examination was the reference standard. The periodontal diagnosis was made on the basis of the 2017 classification of periodontal diseases and conditions. Logistic regression and random forest (RF) analyses were performed to predict various periodontal diagnoses, and the accuracy measures were assessed.Results: Four-hundred and eight subjects were enrolled in this study, including those with periodontal health (16.2%), gingivitis (15.2%) and stage I (15.9%), stage II (15.9%), stage III (29.7%) and stage IV (7.1%) periodontitis. Nine predictors, namely 'gum disease' (Q1), 'a rating of gum/teeth health' (Q2), 'tooth cleaning' (Q3a), the symptom of 'loose teeth' (Q4), 'use of floss' (Q7), aMMP-8 POCT, self-reported GBoB, haemoglobin and age, resulted in high levels of accuracy in the RF classifier. High accuracy (area under the ROC curve &gt; 0.94) was observed for the discrimination of three (health, gingivitis and periodontitis) and six classes (health, gingivitis, stages I, II, III and IV periodontitis). Confusion matrices showed that the misclassification of a periodontitis case as health or gingivitis was less than 1%-2%.Conclusions: Machine learning-based classifiers, such as RF analyses, are promising tools for multiclass assessment of periodontal health and disease in a non-clinical setting. Results need to be externally validated in appropriately sized independent samples (ClinicalTrials.gov NCT03928080).</t>
  </si>
  <si>
    <t>[Deng, Ke; Tonetti, Maurizio S.] Shanghai Jiao Tong Univ, Peoples Hosp 9, Shanghai PerioImplant Innovat Ctr, Natl Clin Res Ctr Stomatol,Dept Oral &amp; Maxillofaci, Shanghai, Peoples R China; [Zonta, Francesco] XiAn Jiaotong Liverpool Univ, Dept Biol Sci, Suzhou, Peoples R China; [Zonta, Francesco; Yang, Huan] ShanghaiTech Univ, Shanghai Inst Adv Immunochem Studies, Shanghai, Peoples R China; [Pelekos, George] Univ Hong Kong, Fac Dent, Dept Periodontol &amp; Implant Dent, Hong Kong, Peoples R China; [Tonetti, Maurizio S.] European Res Grp Periodontol, Brienz, Switzerland; [Tonetti, Maurizio S.] Shanghai Jiao Tong Univ, Dept Oral &amp; Maxillofacial Surg, Pudong Campus, 4F Bldg 1, 115 Jinzun Rd, Shanghai 200125, Peoples R China</t>
  </si>
  <si>
    <t>Shanghai Jiao Tong University; Xi'an Jiaotong-Liverpool University; ShanghaiTech University; University of Hong Kong; Shanghai Jiao Tong University</t>
  </si>
  <si>
    <t>Tonetti, MS (corresponding author), Shanghai Jiao Tong Univ, Dept Oral &amp; Maxillofacial Surg, Pudong Campus, 4F Bldg 1, 115 Jinzun Rd, Shanghai 200125, Peoples R China.</t>
  </si>
  <si>
    <t>maurizio.tonetti@ergoperio.eu</t>
  </si>
  <si>
    <t>Pelekos, Georgios/0000-0003-1917-1988</t>
  </si>
  <si>
    <t>Clinical Research Program of Ninth People's Hospital affiliated Shanghai Jiao Tong University School of Medicine [JYLJ201909]; European Research Group on Periodontology, Switzerland; Hong Kong Human Medical Research Fund (HMRF) [07182796]; National Clinical Research Center for Oral Diseases [19411950100]; Shanghai Innovative Research Team Award of High-Level University [SHSMU-ZDCX202125000]</t>
  </si>
  <si>
    <t>Clinical Research Program of Ninth People's Hospital affiliated Shanghai Jiao Tong University School of Medicine; European Research Group on Periodontology, Switzerland; Hong Kong Human Medical Research Fund (HMRF); National Clinical Research Center for Oral Diseases; Shanghai Innovative Research Team Award of High-Level University</t>
  </si>
  <si>
    <t>Clinical Research Program of Ninth People's Hospital affiliated Shanghai Jiao Tong University School of Medicine, Grant/Award Number: JYLJ201909; European Research Group on Periodontology, Switzerland; Hong Kong Human Medical Research Fund (HMRF), Grant/Award Number: 07182796; National Clinical Research Center for Oral Diseases, Grant/Award Number: 19411950100; the Shanghai Innovative Research Team Award of High-Level University, Grant/Award Number: SHSMU-ZDCX202125000</t>
  </si>
  <si>
    <t>0303-6979</t>
  </si>
  <si>
    <t>1600-051X</t>
  </si>
  <si>
    <t>J CLIN PERIODONTOL</t>
  </si>
  <si>
    <t>J. Clin. Periodontol.</t>
  </si>
  <si>
    <t>10.1111/jcpe.13856</t>
  </si>
  <si>
    <t>R9JS2</t>
  </si>
  <si>
    <t>WOS:001067448100001</t>
  </si>
  <si>
    <t>Doubleday, AF; Horvath, Z; Mara, MD; Sabato, E; Zheng, MX</t>
  </si>
  <si>
    <t>Doubleday, Alison F.; Horvath, Zsuzsa; Mara, Matthew D.; Sabato, Emily; Zheng, Meixun</t>
  </si>
  <si>
    <t>The dental education exchange: A multi-institutional faculty learning community</t>
  </si>
  <si>
    <t>JOURNAL OF DENTAL EDUCATION</t>
  </si>
  <si>
    <t>educational preparation; faculty development; human learning and problem-solving; instructional materials/methods; professional interest; teaching skills</t>
  </si>
  <si>
    <t>[Doubleday, Alison F.] Univ Illinois, Coll Dent, Dept Oral Med &amp; Diagnost Sci, Chicago, IL 60607 USA; [Horvath, Zsuzsa] Univ Pittsburgh, Sch Dent Med, Dept Dent Publ Hlth, Pittsburgh, PA USA; [Mara, Matthew D.] Boston Univ Henry M Goldman, Sch Dent Med, Dept Gen Dent, Off Global &amp; Populat Hlth, Boston, MA USA; [Sabato, Emily] Rutgers Sch Dent Med, Dept Pediat Dent &amp; Community Hlth, Newark, NJ USA; [Zheng, Meixun] Univ Pacific, Arthur A Dugoni Sch Dent, Off Acad Affairs, San Francisco, CA USA</t>
  </si>
  <si>
    <t>University of Illinois System; University of Illinois Chicago; University of Illinois Chicago Hospital; Pennsylvania Commonwealth System of Higher Education (PCSHE); University of Pittsburgh; Rutgers State University New Brunswick; Rutgers State University Medical Center; University of the Pacific</t>
  </si>
  <si>
    <t>Doubleday, AF (corresponding author), Univ Illinois, Coll Dent, Dept Oral Med &amp; Diagnost Sci, Chicago, IL 60607 USA.</t>
  </si>
  <si>
    <t>adouble@uic.edu</t>
  </si>
  <si>
    <t>Sabato, Emily/0000-0001-8632-0416</t>
  </si>
  <si>
    <t>0022-0337</t>
  </si>
  <si>
    <t>1930-7837</t>
  </si>
  <si>
    <t>J DENT EDUC</t>
  </si>
  <si>
    <t>J. Dent. Educ.</t>
  </si>
  <si>
    <t>10.1002/jdd.13366</t>
  </si>
  <si>
    <t>R6FQ2</t>
  </si>
  <si>
    <t>WOS:001065296400001</t>
  </si>
  <si>
    <t>Gall, L; Jardi, F; Lammens, L; Pinero, J; Souza, TM; Rodrigues, D; Jennen, DGJ; de Kok, TM; Coyle, L; Chung, SW; Ferreira, S; Jo, H; Beattie, KA; Kelly, C; Duckworth, CA; Pritchard, DM; Pin, C</t>
  </si>
  <si>
    <t>Gall, Louis; Jardi, Ferran; Lammens, Lieve; Pinero, Janet; Souza, Terezinha M.; Rodrigues, Daniela; Jennen, Danyel G. J.; de Kok, Theo M.; Coyle, Luke; Chung, Seung-Wook; Ferreira, Sofia; Jo, Heeseung; Beattie, Kylie A.; Kelly, Colette; Duckworth, Carrie A.; Pritchard, D. Mark; Pin, Carmen</t>
  </si>
  <si>
    <t>A dynamic model of the intestinal epithelium integrates multiple sources of preclinical data and enables clinical translation of drug-induced toxicity</t>
  </si>
  <si>
    <t>CPT-PHARMACOMETRICS &amp; SYSTEMS PHARMACOLOGY</t>
  </si>
  <si>
    <t>PEGYLATED LIPOSOMAL DOXORUBICIN; METASTATIC COLORECTAL-CANCER; RECEPTOR-TYROSINE KINASE; SOFT-TISSUE SARCOMAS; STEM-CELLS; IN-VITRO; CITRULLINE; MARKER; GEFITINIB; PLASMA</t>
  </si>
  <si>
    <t>We have built a quantitative systems toxicology modeling framework focused on the early prediction of oncotherapeutic-induced clinical intestinal adverse effects. The model describes stem and progenitor cell dynamics in the small intestinal epithelium and integrates heterogeneous epithelial-related processes, such as transcriptional profiles, citrulline kinetics, and probability of diarrhea. We fitted a mouse-specific version of the model to quantify doxorubicin and 5-fluorouracil (5-FU)-induced toxicity, which included pharmacokinetics and 5-FU metabolism and assumed that both drugs led to cell cycle arrest and apoptosis in stem cells and proliferative progenitors. The model successfully recapitulated observations in mice regarding dose-dependent disruption of proliferation which could lead to villus shortening, decrease of circulating citrulline, increased diarrhea risk, and transcriptional induction of the p53 pathway. Using a human-specific epithelial model, we translated the cytotoxic activity of doxorubicin and 5-FU quantified in mice into human intestinal injury and predicted with accuracy clinical diarrhea incidence. However, for gefitinib, a specific-molecularly targeted therapy, the mice failed to reproduce epithelial toxicity at exposures much higher than those associated with clinical diarrhea. This indicates that, regardless of the translational modeling approach, preclinical experimental settings have to be suitable to quantify drug-induced clinical toxicity with precision at the structural scale of the model. Our work demonstrates the usefulness of translational models at early stages of the drug development pipeline to predict clinical toxicity and highlights the importance of understanding cross-settings differences in toxicity when building these approaches.</t>
  </si>
  <si>
    <t>[Gall, Louis; Pin, Carmen] AstraZeneca, Clin Pharmacol &amp; Quantitat Pharmacol, Clin Pharmacol &amp; Safety Sci, R&amp;D, Cambridge, England; [Jardi, Ferran; Lammens, Lieve] Janssen Pharmaceut NV, Preclin Sci &amp; Translat Safety, Beerse, Belgium; [Pinero, Janet] UPF, Hosp del Mar Med Res Inst IMIM, Res Programme Biomed Informat GRIB, Barcelona 08003, Spain; [Souza, Terezinha M.; Rodrigues, Daniela; Jennen, Danyel G. J.; de Kok, Theo M.] Maastricht Univ, GROW Sch Oncol &amp; Dev Biol, Dept Toxicogen, Maastricht, Netherlands; [Coyle, Luke; Chung, Seung-Wook] Boehringer Ingelheim Int GmbH, Ridgefield, CT USA; [Ferreira, Sofia; Jo, Heeseung] Certara UK Ltd, Simcyp Div, Sheffield, England; [Beattie, Kylie A.] GSK, Target &amp; Syst Safety, Nonclin Safety, In Vivo In Vitro Translat, Stevenage, England; [Kelly, Colette; Duckworth, Carrie A.; Pritchard, D. Mark] Univ Liverpool, Inst Syst Mol &amp; Integrat Biol, Liverpool, England</t>
  </si>
  <si>
    <t>AstraZeneca; Johnson &amp; Johnson; Janssen Pharmaceuticals; Pompeu Fabra University; Hospital del Mar Research Institute; Hospital del Mar; Maastricht University; Certara UK Ltd; GlaxoSmithKline; University of Liverpool</t>
  </si>
  <si>
    <t>Pin, C (corresponding author), AstraZeneca, Clin Pharmacol &amp; Quantitat Pharmacol, Clin Pharmacol &amp; Safety Sci, R&amp;D, Cambridge, England.</t>
  </si>
  <si>
    <t>carmen.pin@astrazeneca.com</t>
  </si>
  <si>
    <t>Gall, Louis/0000-0002-1805-2357</t>
  </si>
  <si>
    <t>TransQST consortium; Innovative Medicines Initiative 2 Joint Undertaking; European Union; EFPIA; [116030]</t>
  </si>
  <si>
    <t>TransQST consortium; Innovative Medicines Initiative 2 Joint Undertaking; European Union(European Union (EU)); EFPIA;</t>
  </si>
  <si>
    <t>The authors acknowledge financial support from TransQST consortium. This project has received funding from the Innovative Medicines Initiative 2 Joint Undertaking under grant agreement No. 116030. This Joint Undertaking receives support from the European Union &amp; apos;s Horizon 2020 research and innovation program and EFPIA.</t>
  </si>
  <si>
    <t>2163-8306</t>
  </si>
  <si>
    <t>CPT-PHARMACOMET SYST</t>
  </si>
  <si>
    <t>CPT-PHARMACOMET. SYST. PHARMACOL.</t>
  </si>
  <si>
    <t>10.1002/psp4.13029</t>
  </si>
  <si>
    <t>R7VM6</t>
  </si>
  <si>
    <t>WOS:001066396400001</t>
  </si>
  <si>
    <t>Gravholt, EAE; Petersen, J; Mottelson, M; Nardo-Marino, A; Rathe, M; Olsen, M; Holm, C; Jorgensen, FS; Birgens, H; Glenthoj, A</t>
  </si>
  <si>
    <t>Gravholt, Esther Agnethe Ejskjaer; Petersen, Jesper; Mottelson, Mathis; Nardo-Marino, Amina; Rathe, Mathias; Olsen, Marianne; Holm, Charlotte; Jorgensen, Finn Stener; Birgens, Henrik; Glenthoj, Andreas</t>
  </si>
  <si>
    <t>The Danish national haemoglobinopathy screening programme: Report from 16?years of screening in a low-prevalence, non-endemic region</t>
  </si>
  <si>
    <t>BRITISH JOURNAL OF HAEMATOLOGY</t>
  </si>
  <si>
    <t>haemoglobinopathies; sickle cell anaemia; sickle cell disease; thalassaemia; &amp; beta; thalassaemia</t>
  </si>
  <si>
    <t>THALASSEMIA; DISORDERS</t>
  </si>
  <si>
    <t>The Danish national haemoglobinopathy screening programme seeks to determine parental haemoglobinopathy carrier state antenatally. In this retrospective register-based study, we evaluated the 16-year trajectory of this programme, utilising the Danish Red Blood Cell Centre's laboratory database, covering approximately 77% of the Danish population. During the study period, we observed a substantial increase in annual diagnostic examinations performed, from 389 in 2007 to 3030 in 2022. Women constituted 88% of these cases, aligning with the emphasis of the screening programme. Of these, 54% of women of reproductive age (15-40 years) and 10% of women &gt;40 years were specified as pregnant. During our study period, 61 children were born with a severe haemoglobinopathy, out of which 23 children were born from mothers not residing in Denmark during their first trimester thus not included in the screening programme. Prenatal invasive testing was performed for 60 fetuses, identifying 12 with homozygous or compound heterozygous haemoglobinopathy. The Danish haemoglobinopathy screening programme has provided screening, information and reproductive choices for numerous families. During the study period, screening for haemoglobinopathies has been steadily increasing and is expected to continue to increase. Awareness of and adherence to the screening programme is subject of further investigation and optimisation.</t>
  </si>
  <si>
    <t>[Gravholt, Esther Agnethe Ejskjaer; Petersen, Jesper; Mottelson, Mathis; Nardo-Marino, Amina; Birgens, Henrik; Glenthoj, Andreas] Copenhagen Univ Hosp Rigshospitalet, Danish Red Blood Cell Ctr, Dept Haematol, Copenhagen, Denmark; [Rathe, Mathias] Odense Univ Hosp, Hans Christian Andersen Childrens Hosp, Odense, Denmark; [Rathe, Mathias] Univ Southern Denmark, Dept Clin Res, Odense, Denmark; [Olsen, Marianne] Aalborg Univ Hosp, Dept Paediat &amp; Adolescent Med, Aalborg, Denmark; [Holm, Charlotte; Jorgensen, Finn Stener] Copenhagen Univ Hosp Amager &amp; Hvidovre, Dept Gynaecol &amp; Obstet, Hvidovre, Denmark; [Holm, Charlotte; Jorgensen, Finn Stener; Glenthoj, Andreas] Univ Copenhagen, Fac Hlth &amp; Med Sci, Dept Clin Med, Copenhagen, Denmark; [Jorgensen, Finn Stener] Copenhagen Univ Hosp Amager &amp; Hvidovre, Dept Gynaecol &amp; Obstet, Fetal Med Unit, Hvidovre, Denmark</t>
  </si>
  <si>
    <t>Rigshospitalet; University of Copenhagen; University of Southern Denmark; Odense University Hospital; University of Southern Denmark; Aalborg University; Aalborg University Hospital; University of Copenhagen</t>
  </si>
  <si>
    <t>Glenthoj, A (corresponding author), Univ Copenhagen, Fac Hlth &amp; Med Sci, Dept Clin Med, Copenhagen, Denmark.</t>
  </si>
  <si>
    <t>andreas.glenthoej@regionh.dk</t>
  </si>
  <si>
    <t>Gravholt, Esther/0000-0002-5458-1416; Glenthoj, Andreas/0000-0003-2082-0738; Rathe, Mathias/0000-0002-7533-3112; Jorgensen, Finn Stener/0000-0002-1592-5407</t>
  </si>
  <si>
    <t>Novo Nordisk Fonden; European Union</t>
  </si>
  <si>
    <t>Novo Nordisk Fonden(Novo Nordisk Foundation); European Union(European Union (EU))</t>
  </si>
  <si>
    <t>0007-1048</t>
  </si>
  <si>
    <t>1365-2141</t>
  </si>
  <si>
    <t>BRIT J HAEMATOL</t>
  </si>
  <si>
    <t>Br. J. Haematol.</t>
  </si>
  <si>
    <t>10.1111/bjh.19103</t>
  </si>
  <si>
    <t>R7KL7</t>
  </si>
  <si>
    <t>WOS:001066105600001</t>
  </si>
  <si>
    <t>Gul, S; Arican, S; Cansever, M; Yildiz, M; Okan, BS</t>
  </si>
  <si>
    <t>Gul, Saher; Arican, Selin; Cansever, Murat; Yildiz, Mehmet; Okan, Burcu Saner</t>
  </si>
  <si>
    <t>Dimension effect on thermal conductivity of hexagonal boron nitride/titanium dioxide reinforced hybrid PEEK composites developed with a scalable compounding approach</t>
  </si>
  <si>
    <t>composites; compounding; extrusion; thermal properties; thermoplastics</t>
  </si>
  <si>
    <t>POLYMER COMPOSITES; MECHANICAL-PROPERTIES; TITANIUM-DIOXIDE; NITRIDE; NANOCOMPOSITES; FABRICATION</t>
  </si>
  <si>
    <t>For the removal of elevated thermal flux in high-temperature applications, there is an urgent need for robust and lightweight thermally conductive ther-moplastic materials with suitable mechanical integrity. In current work, multi-scale hexagonal boron nitride (hBN) and titanium dioxide (TiO2) fillers are integrated into polyetheretherketone (PEEK) polymer to create a synergistic effect regarding thermal conductivity. An optimized twin-screw extrusion is utilized to disperse the fillers uniformly in the host polymer by changing the screw design in terms of kneading, mixing, and reverse elements, feeding zones of the fillers/polymer, and the feeding cycles. Various specimens were developed by systematically varying the relative filler amount of the thermally anisotropic hBN and the thermally isotropic TiO2, while the total filler content was fixed to 60 wt%. As a result, 50B-10T composite exhibited an ultrahigh thermal conductivity of 8.195 W/(m.K), with a 3139% enhancement compared to unfilled PEEK. Moreover, as the PEEK-mediated regions are occupied with nano-sized TiO2, efficient channels for phonon transport are formed between hybrid fillers, and the through-plane thermal conductivity reached 1.704 W/(m.K) in 50B-10T sample. The potential application of prepared composites as a heat spreader is demonstrated by monitoring surface temperature distribution and numerical simulation. Meanwhile, we achieved a synchronous improvement in mechanical stiffness within hybrid composites; and failure mechanisms including crack bridging at TiO2-PEEK interface, and debonding at hBN-PEEK interface are observed in hybrid composites. Lastly, the high thermal stability makes the PEEK/hBN/TiO2 specimens suitable for heat dissipation in demanding applica-tions in the energy and aerospace sectors.</t>
  </si>
  <si>
    <t>[Gul, Saher; Yildiz, Mehmet] Sabanci Univ, Fac Engn &amp; Nat Sci, Istanbul, Turkiye; [Gul, Saher; Yildiz, Mehmet; Okan, Burcu Saner] Sabanci Univ, Integrated Mfg Technol Res &amp; Applicat Ctr, Istanbul, Turkiye; [Gul, Saher; Yildiz, Mehmet; Okan, Burcu Saner] Composite Technol Ctr Excellence, Istanbul, Turkiye; [Cansever, Murat] Avrupa Serbest Bolgesi, Eurotec Engn Plast, Tekirdag, Turkiye; [Yildiz, Mehmet] Sabanci Univ, Fac Engn &amp; Nat Sci, TR-34956 Istanbul, Turkiye; [Okan, Burcu Saner] Sabanci Univ, Integrated Mfg Technol Res &amp; Applicat Ctr, TR-34906 Istanbul, Turkiye; [Okan, Burcu Saner] Composite Technol Ctr Excellence, TR-34906 Istanbul, Turkiye</t>
  </si>
  <si>
    <t>Sabanci University; Sabanci University; Sabanci University; Sabanci University</t>
  </si>
  <si>
    <t>Yildiz, M (corresponding author), Sabanci Univ, Fac Engn &amp; Nat Sci, TR-34956 Istanbul, Turkiye.;Okan, BS (corresponding author), Sabanci Univ, Integrated Mfg Technol Res &amp; Applicat Ctr, TR-34906 Istanbul, Turkiye.;Okan, BS (corresponding author), Composite Technol Ctr Excellence, TR-34906 Istanbul, Turkiye.</t>
  </si>
  <si>
    <t>mehmet.yildiz@sabanciuniv.edu; bsanerokan@sabanciuniv.edu</t>
  </si>
  <si>
    <t>Yildiz, Mehmet/0000-0003-1626-5858</t>
  </si>
  <si>
    <t>Ulusal Bor Arastirma Enstitusu [2020-31-07-15-002]</t>
  </si>
  <si>
    <t>Ulusal Bor Arastirma Enstitusu</t>
  </si>
  <si>
    <t>Ulusal Bor Arastirma Enstitusu, Grant/Award Number: 2020-31-07-15-002</t>
  </si>
  <si>
    <t>10.1002/pc.27728</t>
  </si>
  <si>
    <t>R6DP3</t>
  </si>
  <si>
    <t>WOS:001065241100001</t>
  </si>
  <si>
    <t>Kusters, JMA; Diergaarde, B; Ness, A; van der Loeff, MFS; Heijne, JCM; Schroeder, L; Hueniken, K; McKay, JD; Macfarlane, GJ; Lagiou, P; Lagiou, A; Polesel, J; Agudo, A; Alemany, L; Ahrens, W; Healy, CM; Conway, DI; Robinson, M; Canova, C; Holcatova, I; Richiardi, L; Znaor, A; Pring, M; Thomas, S; Hayes, DN; Liu, G; Hung, RJ; Brennan, P; Olshan, AF; Virani, S; Waterboer, T</t>
  </si>
  <si>
    <t>Kusters, Johannes M. A.; Diergaarde, Brenda; Ness, Andrew; van der Loeff, Maarten F. Schim; Heijne, Janneke C. M.; Schroeder, Lea; Hueniken, Katrina; McKay, James D.; Macfarlane, Gary J.; Lagiou, Pagona; Lagiou, Areti; Polesel, Jerry; Agudo, Antonio; Alemany, Laia; Ahrens, Wolfgang; Healy, Claire M.; Conway, David I.; Robinson, Max; Canova, Christina; Holcatova, Ivana; Richiardi, Lorenzo; Znaor, Ariana; Pring, Miranda; Thomas, Steve; Hayes, D. Neil; Liu, Geoffrey; Hung, Rayjean J.; Brennan, Paul; Olshan, Andrew F.; Virani, Shama; Waterboer, Tim</t>
  </si>
  <si>
    <t>Diagnostic accuracy of HPV16 early antigen serology for HPV-driven oropharyngeal cancer is independent of age and sex</t>
  </si>
  <si>
    <t>INTERNATIONAL JOURNAL OF CANCER</t>
  </si>
  <si>
    <t>diagnostic accuracy; head and neck cancer; human papillomavirus; oropharyngeal cancer; serology</t>
  </si>
  <si>
    <t>PAPILLOMAVIRUS-POSITIVE HEAD; SQUAMOUS-CELL CARCINOMAS; NECK-CANCER; ORAL-CAVITY; PREVALENCE; ANTIBODIES; RISK; SUSCEPTIBILITY; EPIDEMIOLOGY; SPECIFICITY</t>
  </si>
  <si>
    <t>A growing proportion of head and neck cancer (HNC), especially oropharyngeal cancer (OPC), is caused by human papillomavirus (HPV). There are several markers for HPV-driven HNC, one being HPV early antigen serology. We aimed to investigate the diagnostic accuracy of HPV serology and its performance across patient characteristics. Data from the VOYAGER consortium was used, which comprises five studies on HNC from North America and Europe. Diagnostic accuracy, that is, sensitivity, specificity, Cohen's kappa and correctly classified proportions of HPV16 E6 serology, was assessed for OPC and other HNC using p16(INK4a) immunohistochemistry (p16), HPV in situ hybridization (ISH) and HPV PCR as reference methods. Stratified analyses were performed for variables including age, sex, smoking and alcohol use, to test the robustness of diagnostic accuracy. A risk-factor analysis based on serology was conducted, comparing HPV-driven to non-HPV-driven OPC. Overall, HPV serology had a sensitivity of 86.8% (95% CI 85.1-88.3) and specificity of 91.2% (95% CI 88.6-93.4) for HPV-driven OPC using p16 as a reference method. In stratified analyses, diagnostic accuracy remained consistent across sex and different age groups. Sensitivity was lower for heavy smokers (77.7%), OPC without lymph node involvement (74.4%) and the ARCAGE study (66.7%), while specificity decreased for cases with &lt;10 pack-years (72.1%). The risk-factor model included study, year of diagnosis, age, sex, BMI, alcohol use, pack-years, TNM-T and TNM-N stage. HPV serology is a robust biomarker for HPV-driven OPC, and its diagnostic accuracy is independent of age and sex. Future research is suggested on the influence of smoking on HPV antibody levels.</t>
  </si>
  <si>
    <t>[Kusters, Johannes M. A.; Heijne, Janneke C. M.] Natl Inst Publ Hlth &amp; Environm, Ctr Infect Dis Control, Bilthoven, Netherlands; [Kusters, Johannes M. A.; van der Loeff, Maarten F. Schim] Amsterdam UMC, Inst Infect &amp; Immun AII, Amsterdam, Netherlands; [Kusters, Johannes M. A.; Schroeder, Lea; Waterboer, Tim] German Canc Res Ctr, Infect &amp; Canc Program, Heidelberg, Germany; [Diergaarde, Brenda] Univ Pittsburgh, Sch Publ Hlth, Pittsburgh, PA USA; [Diergaarde, Brenda] UPMC Hillman Canc Ctr, Pittsburgh, PA USA; [Ness, Andrew] Univ Bristol, Weston NHS Fdn Trust, NIHR Bristol Biomed Res Ctr, Bristol, England; [Ness, Andrew; Pring, Miranda; Thomas, Steve] Univ Bristol, Bristol Dent Sch, Bristol, England; [van der Loeff, Maarten F. Schim] Publ Hlth Serv Amsterdam, Dept Infect Dis, Amsterdam, Netherlands; [Heijne, Janneke C. M.] Maastricht Univ, Care &amp; Publ Hlth Res Inst CAPHRI, Dept Social Med, Maastricht, Netherlands; [Hueniken, Katrina; Liu, Geoffrey] Univ Toronto, Princess Margaret Canc Ctr, Temerty Sch Med, Toronto, ON, Canada; [McKay, James D.; Znaor, Ariana; Brennan, Paul; Virani, Shama] Int Agcy Res Canc, Genet Epidemiol Grp, Lyon, France; [Macfarlane, Gary J.] Univ Aberdeen, Sch Med Med Sci &amp; Nutr, Epidemiol Grp, Aberdeen, Scotland; [Lagiou, Pagona] Natl &amp; Kapodistrian Univ Athens, Sch Med, Athens, Greece; [Lagiou, Areti] Univ West Attica, Sch Publ Hlth, Athens, Greece; [Polesel, Jerry] Natl Canc Inst IRCCS, Rome, Italy; [Agudo, Antonio] Catalan Inst Oncol ICO, Unit Nutr &amp; Canc, LHospitalet Llobregat, Spain; [Agudo, Antonio; Alemany, Laia] Bellvitge Biomed Res Inst IDIBELL, Epidemiol Publ Hlth Canc Prevent &amp; Palliat Care Pr, Nutr &amp; Canc Grp, Lhospitalet De Llobregat, Spain; [Alemany, Laia] Inst Salud Carlos III, Ctr Invest Biomed Red Epidemiol &amp; Salud Publ CIBER, Madrid, Spain; [Ahrens, Wolfgang] Univ Bremen, Bremen, Germany; [Healy, Claire M.] Trinity Coll Dublin, Sch Dent Sci, Dublin, Ireland; [Conway, David I.] Univ Glasgow, Sch Med Dent &amp; Nursing, Glasgow, Scotland; [Robinson, Max] Royal Victoria Infirm, Dept Cellular Pathol, Newcastle Upon Tyne, England; [Canova, Christina] Univ Padua, Padua, Italy; [Holcatova, Ivana] Charles Univ Prague, Inst Hyg &amp; Epidemiol, Fac Med 1, Prague, Czech Republic; [Richiardi, Lorenzo] Reference Ctr Epidemiol &amp; Canc Prevent, Piedmont, Italy; [Hayes, D. Neil] Univ Tennessee, Div Med Oncol, Hlth Sci Ctr, Memphis, TN USA; [Hayes, D. Neil] Univ Tennessee, Ctr Canc Res, Hlth Sci Ctr, Memphis, TN USA; [Liu, Geoffrey; Hung, Rayjean J.] Univ Toronto, Dalla Lana Sch Publ Hlth, Toronto, ON, Canada; [Hung, Rayjean J.] Sinai Hlth, Lunenfeld Tanenbaum Res Inst, Prosserman Ctr Populat Hlth Res, Toronto, ON, Canada; [Olshan, Andrew F.] Univ N Carolina, Lineberger Comprehens Canc Ctr, Chapel Hill, NC USA; [Waterboer, Tim] German Canc Res Ctr, Infect &amp; Canc Epidemiol, Heidelberg, Germany</t>
  </si>
  <si>
    <t>Netherlands National Institute for Public Health &amp; the Environment; University of Amsterdam; Helmholtz Association; German Cancer Research Center (DKFZ); Pennsylvania Commonwealth System of Higher Education (PCSHE); University of Pittsburgh; University of Bristol; University of Bristol; Public Health Service Amsterdam; Maastricht University; University of Toronto; University Health Network Toronto; Princess Margaret Cancer Centre; World Health Organization; International Agency for Research on Cancer (IARC); University of Aberdeen; National &amp; Kapodistrian University of Athens; Athens Medical School; University of West Attica; Institut Catala d'Oncologia; Institut d'Investigacio Biomedica de Bellvitge (IDIBELL); Instituto de Salud Carlos III; University of Bremen; Trinity College Dublin; University of Glasgow; Newcastle University - UK; University of Padua; Charles University Prague; University of Tennessee System; University of Tennessee Health Science Center; University of Tennessee System; University of Tennessee Health Science Center; University of Toronto; University of Toronto; Sinai Health System Toronto; Lunenfeld Tanenbaum Research Institute; University of North Carolina; University of North Carolina Chapel Hill; Helmholtz Association; German Cancer Research Center (DKFZ)</t>
  </si>
  <si>
    <t>Waterboer, T (corresponding author), German Canc Res Ctr, Infect &amp; Canc Epidemiol, Heidelberg, Germany.</t>
  </si>
  <si>
    <t>t.waterboer@dkfz-heidelberg.de</t>
  </si>
  <si>
    <t>Macfarlane, Gary J/I-9521-2014</t>
  </si>
  <si>
    <t>Macfarlane, Gary J/0000-0003-2322-3314; Kusters, Johannes/0000-0002-2509-1661</t>
  </si>
  <si>
    <t>Associazione Italiana per la Ricerca sul Cancro [CPDA057222]; Canadian Cancer Society Research Institute; Cancer Research UK Programme Grant; Integrative Cancer Epidemiology Programme [C18281/A19169]; Division of Cancer Prevention, National Cancer Institute [R01-CA90731]; European Commission [QLK1-2001-00182]; National Institute for Health Research [RP-PG-0707-10034]; National Institute of Dental and Craniofacial Research [R01 DE025712]; National Institutes of Health [P30CA047904, P50CA097190]; Princess Margaret Hospital Foundation; University Hospitals Bristol NHS Foundation Trust</t>
  </si>
  <si>
    <t>Associazione Italiana per la Ricerca sul Cancro(Fondazione AIRC per la ricerca sul cancro); Canadian Cancer Society Research Institute(Canadian Cancer Society (CCS)); Cancer Research UK Programme Grant(Cancer Research UK); Integrative Cancer Epidemiology Programme; Division of Cancer Prevention, National Cancer Institute(United States Department of Health &amp; Human ServicesNational Institutes of Health (NIH) - USANIH National Cancer Institute (NCI)); European Commission(European Union (EU)European Commission Joint Research Centre); National Institute for Health Research(National Institutes of Health Research (NIHR)); National Institute of Dental and Craniofacial Research(United States Department of Health &amp; Human ServicesNational Institutes of Health (NIH) - USANIH National Institute of Dental &amp; Craniofacial Research (NIDCR)); National Institutes of Health(United States Department of Health &amp; Human ServicesNational Institutes of Health (NIH) - USA); Princess Margaret Hospital Foundation; University Hospitals Bristol NHS Foundation Trust</t>
  </si>
  <si>
    <t>Associazione Italiana per la Ricerca sul Cancro, Grant/Award Number: CPDA057222; Canadian Cancer Society Research Institute; Cancer Research UK Programme Grant, the Integrative Cancer Epidemiology Programme, Grant/Award Number: C18281/A19169; Division of Cancer Prevention, National Cancer Institute, Grant/Award Number: R01-CA90731; European Commission, Grant/Award Number: QLK1-2001-00182; National Institute for Health Research, Grant/Award Number: RP-PG-0707-10034; National Institute of Dental and Craniofacial Research, Grant/Award Number: R01 DE025712; National Institutes of Health,&amp; nbsp;Grant/Award Numbers: P30CA047904, P50CA097190; Princess Margaret Hospital Foundation; University Hospitals Bristol NHS Foundation Trust</t>
  </si>
  <si>
    <t>0020-7136</t>
  </si>
  <si>
    <t>1097-0215</t>
  </si>
  <si>
    <t>INT J CANCER</t>
  </si>
  <si>
    <t>Int. J. Cancer</t>
  </si>
  <si>
    <t>10.1002/ijc.34710</t>
  </si>
  <si>
    <t>S0GZ2</t>
  </si>
  <si>
    <t>WOS:001068053800001</t>
  </si>
  <si>
    <t>Maitre, NL</t>
  </si>
  <si>
    <t>Maitre, Nathalie L.</t>
  </si>
  <si>
    <t>Early cerebral palsy motor therapies research: Hope springs and science matters</t>
  </si>
  <si>
    <t>DEVELOPMENTAL MEDICINE AND CHILD NEUROLOGY</t>
  </si>
  <si>
    <t>[Maitre, Nathalie L.] Emory Univ, Dept Pediat, Atlanta, GA 30322 USA; [Maitre, Nathalie L.] Childrens Healthcare Atlanta, Atlanta, GA 30303 USA</t>
  </si>
  <si>
    <t>Emory University; Children's Healthcare of Atlanta (CHOA)</t>
  </si>
  <si>
    <t>Maitre, NL (corresponding author), Emory Univ, Dept Pediat, Atlanta, GA 30322 USA.;Maitre, NL (corresponding author), Childrens Healthcare Atlanta, Atlanta, GA 30303 USA.</t>
  </si>
  <si>
    <t>nmaitre@emory.edu</t>
  </si>
  <si>
    <t>National Institutes of Health [R01 HD081120]</t>
  </si>
  <si>
    <t>National Institutes of Health(United States Department of Health &amp; Human ServicesNational Institutes of Health (NIH) - USA)</t>
  </si>
  <si>
    <t>National Institutes of Health, Grant/Award Number: R01 HD081120</t>
  </si>
  <si>
    <t>0012-1622</t>
  </si>
  <si>
    <t>1469-8749</t>
  </si>
  <si>
    <t>DEV MED CHILD NEUROL</t>
  </si>
  <si>
    <t>Dev. Med. Child Neurol.</t>
  </si>
  <si>
    <t>10.1111/dmcn.15752</t>
  </si>
  <si>
    <t>Clinical Neurology; Pediatrics</t>
  </si>
  <si>
    <t>Neurosciences &amp; Neurology; Pediatrics</t>
  </si>
  <si>
    <t>R7TI0</t>
  </si>
  <si>
    <t>WOS:001066338800001</t>
  </si>
  <si>
    <t>Ncho, CM; Bakhsh, A; Goel, A</t>
  </si>
  <si>
    <t>Ncho, Chris Major; Bakhsh, Allah; Goel, Akshat</t>
  </si>
  <si>
    <t>In ovo feeding of vitamins in broilers: A comprehensive meta-analysis of hatchability and growth performance</t>
  </si>
  <si>
    <t>JOURNAL OF ANIMAL PHYSIOLOGY AND ANIMAL NUTRITION</t>
  </si>
  <si>
    <t>broilers; hatchability; in ovo feeding; meta-analysis; vitamins</t>
  </si>
  <si>
    <t>EARLY POSTHATCH PERFORMANCE; IMMUNITY-RELATED GENES; CHICK QUALITY; ASCORBIC-ACID; INTESTINAL MORPHOLOGY; SOMATIC ATTRIBUTES; BREEDER EGGS; AMINO-ACIDS; INJECTION; SUPPLEMENTATION</t>
  </si>
  <si>
    <t>In ovo feeding has been introduced as a cost-effective method to improve hatchability and broiler performance. Specifically, several studies have focused on the impact of vitamins. However, due to variations in experimental conditions across all trials, drawing general conclusions appears challenging. Therefore, we conducted a meta -analysis of 17 published papers, including a maximum of 134 sample size to evaluate the potential effects of in ovo feeding of vitamins in broilers. Studies were retrieved by consulting scientific repositories such as Pubmed, Scopus, Scielo, Web of Science, and Google Scholar. A binary logistic model was used to determine the parameters influencing hatchability. To assess variations in hatchling weight and growth parameters based on the vitamin category, a mixed model analysis of variance was performed, considering the study as a random effect and the vitamin category as a fixed effect. Finally, a linear mixed model was used to develop equations that explain the evolution of growth parameters based on vitamin concentration, volume, and day of injection. The results revealed that for better hatchability, it is preferable to consider heavier eggs (p = 0.007), lower volumes (p = 0.039), and late injection (p = 0.022). Vitamin E was associated with higher hatchling weight (p = 0.037), while vitamin C exhibited the lowest overall feed conversion ratio (p = 0.042). Interactions were observed between the day of injection and vitamin concentration or volume of injection for all studied growth parameters. In summary, the findings of this study suggest that hatchability during in ovo feeding is influenced by technique-related parameters, whereas growth parameters can be modulated by the category of vitamin injected. Consequently, this study lays the groundwork for future investigations assessing the effects of in ovo feeding in broilers, as it highlights the relationship between the methodology and potential outcomes.</t>
  </si>
  <si>
    <t>[Ncho, Chris Major; Goel, Akshat] Gyeongsang Natl Univ, Dept Anim Sci, Jinju, South Korea; [Ncho, Chris Major; Goel, Akshat] Gyeongsang Natl Univ, Inst Agr &amp; Life Sci, Jinju 660701, South Korea; [Bakhsh, Allah] Sejong Univ, Coll Life Sci, Dept Food Sci &amp; Biotechnol, Seoul, South Korea</t>
  </si>
  <si>
    <t>Gyeongsang National University; Gyeongsang National University; Sejong University</t>
  </si>
  <si>
    <t>Goel, A (corresponding author), Gyeongsang Natl Univ, Dept Anim Sci, Jinju, South Korea.</t>
  </si>
  <si>
    <t>genesakshat@gmail.com</t>
  </si>
  <si>
    <t>Goel, Akshat/0000-0003-3598-7872; Ncho, Chris major/0000-0002-6638-6730</t>
  </si>
  <si>
    <t>The authors extend their gratitude to Gyeongsang National University for its facilities and to the Ministry of Science and ICT for the Brain Pool program provided through the National Research Foundation of Korea to the corresponding author.; National Research Foundation of Korea</t>
  </si>
  <si>
    <t>The authors extend their gratitude to Gyeongsang National University for its facilities and to the Ministry of Science and ICT for the Brain Pool program provided through the National Research Foundation of Korea to the corresponding author.; National Research Foundation of Korea(National Research Foundation of Korea)</t>
  </si>
  <si>
    <t>The authors extend their gratitude to Gyeongsang National University for its facilities and to the Ministry of Science and ICT for the Brain Pool program provided through the National Research Foundation of Korea to the corresponding author.</t>
  </si>
  <si>
    <t>0931-2439</t>
  </si>
  <si>
    <t>1439-0396</t>
  </si>
  <si>
    <t>J ANIM PHYSIOL AN N</t>
  </si>
  <si>
    <t>J. Anim. Physiol. Anim. Nutr.</t>
  </si>
  <si>
    <t>10.1111/jpn.13881</t>
  </si>
  <si>
    <t>Agriculture, Dairy &amp; Animal Science; Veterinary Sciences</t>
  </si>
  <si>
    <t>Agriculture; Veterinary Sciences</t>
  </si>
  <si>
    <t>R6UB2</t>
  </si>
  <si>
    <t>WOS:001065675700001</t>
  </si>
  <si>
    <t>Palm, HW; Knaus, U; Kotzen, B</t>
  </si>
  <si>
    <t>Palm, Harry W.; Knaus, Ulrich; Kotzen, Benz</t>
  </si>
  <si>
    <t>Aquaponics nomenclature matters: It is about principles and technologies and not as much about coupling</t>
  </si>
  <si>
    <t>REVIEWS IN AQUACULTURE</t>
  </si>
  <si>
    <t>Agri-Aquaculture Systems; aquaorganoponics; aquaponics farming; nomenclature; nutrient supply; terminology</t>
  </si>
  <si>
    <t>FRESH-WATER; FISH; AQUACULTURE; HYDROPONICS; HISTORY; QUALITY; PLANTS; BED</t>
  </si>
  <si>
    <t>The food production system 'aquaponics' has moved a long way from its inceptions in the 1970s and 1980s. This paper suggests that it is the principle of aquaponics that should define what aquaponics is and then the rest follows according to systems and technologies. This paper supports the Palm et al. (Aquac Int. 2018;26(3):813-42) position of having a nutrient supply threshold (&gt;50%) from the feed via the aquatic organisms to the plants. We test the most recent alternative definitions (e.g. Baganz et al. Rev Aquac. 2021;14:252-64) that overcomplicate existing definitions and nomenclature. Any new definition needs to be referential to existing terms and properly tested. This paper does exactly that, concluding that several recent changes by Baganz et al. (Rev Aquac. 2021;14:252-64) are not needed. We also debate that the key principle behind aquaponics is 'all about coupling'. Whilst coupling is an important aspect, existing technologies and those that will emerge are far more complex. Finally, this paper highlights the idiosyncrasies in the term aquaponics and we suggest an alternative term 'aquaorganoponics', which in essence better describes the principles of aquaponics (s.s.) which transfers natural organic compounds combined with microbes in water from the aquaculture unit to the plants.</t>
  </si>
  <si>
    <t>[Palm, Harry W.; Knaus, Ulrich] Univ Rostock, Fac Agr &amp; Environm Sci, Aquaculture &amp; Sea Ranching, Justus von Liebig Weg 6, D-18059 Rostock, Germany; [Kotzen, Benz] Univ Greenwich, Sch Design, London, England</t>
  </si>
  <si>
    <t>University of Rostock; Justus Liebig University Giessen; University of Greenwich</t>
  </si>
  <si>
    <t>Palm, HW (corresponding author), Univ Rostock, Fac Agr &amp; Environm Sci, Aquaculture &amp; Sea Ranching, Justus von Liebig Weg 6, D-18059 Rostock, Germany.</t>
  </si>
  <si>
    <t>harry.palm@uni-rostock.de</t>
  </si>
  <si>
    <t>European Maritime and Fisheries Fund; German Research Council</t>
  </si>
  <si>
    <t>European Maritime and Fisheries Fund; German Research Council(German Research Foundation (DFG))</t>
  </si>
  <si>
    <t>1753-5123</t>
  </si>
  <si>
    <t>1753-5131</t>
  </si>
  <si>
    <t>REV AQUACULT</t>
  </si>
  <si>
    <t>Rev. Aquac.</t>
  </si>
  <si>
    <t>10.1111/raq.12847</t>
  </si>
  <si>
    <t>Fisheries</t>
  </si>
  <si>
    <t>R6HI3</t>
  </si>
  <si>
    <t>WOS:001065341100001</t>
  </si>
  <si>
    <t>Pease, BS; Gilbert, NA; Casola, WR; Akamani, K</t>
  </si>
  <si>
    <t>Pease, Brent S.; Gilbert, Neil A.; Casola, William R.; Akamani, Kofi</t>
  </si>
  <si>
    <t>The Steller &amp; apos;s Sea-Eagle in North America: An economic assessment of birdwatchers travelling to see a vagrant raptor</t>
  </si>
  <si>
    <t>PEOPLE AND NATURE</t>
  </si>
  <si>
    <t>birdwatching; ecological economics; ecosystem services; recreational tourism; vagrant birds</t>
  </si>
  <si>
    <t>ECOSYSTEM SERVICES; FRAMEWORK; DYNAMICS; SCIENCE; WORLDS</t>
  </si>
  <si>
    <t>1. Birdwatching- a cultural ecosystem service- is among the most popular outdoor recreational activities. Existing economic valuations of birdwatching typically overlook the economic contributions of birdwatchers travelling to see vagrant (out-of-range) birds.2. Economic valuations of vagrant birdwatching are few, and to date, no valuation of a large, charismatic vagrant species- or of a recurring individual vagrant bird- has been reported. 3. During 2020- 2022, a vagrant Steller's Sea- Eagle (Haliaeetus pelagicus) was re-ported in several locations in North America, representing the first record of this species in these locations. In Winter 2020- 2021, the eagle spent nearly a month on the eastern seaboard of the United States, and thousands of people travelled to see it.4. We conducted an online survey of individuals who travelled to see the eagle to estimate the individual and collective non-consumptive use value of this vagrant birdwatching event. Using individual travel cost methodology, we estimated an average individual expenditure and, together with estimates of the total number of birdwatchers, we estimated non-consumptive use value of the vagrant bird-watching event. Finally, we used a willingness to pay framework (via hypotheti-cal donations to view the eagle) to evaluate the non-consumptive use consumer surplus of the event.5. We estimated that, on average, individual birdwatchers spent $180 USD (95% CI= $156- $207) ignoring travel time- or $277 (95% CI= $243- $314) when ac- counting for travel time- to view the eagle. Furthermore, we estimated between 2115 and 2645 individuals travelled to see the eagle during December 2021 to January 2022. Thus, we estimated that the eagle generated a total expenditure between $380,604 and $476,626, or between $584,373 and $731,809 when ac- counting for travel time. Finally, based on travellers' willingness to pay, we esti-mated a non-consumptive use consumer surplus of the event between $139,036 and $174,114.6. Assigning economic value to nature gives policymakers and business leaders footing to advance conservation in decision-making. Although often overlooked in these decisions, vagrant birds supply ephemeral ecosystem services that might bolster community development efforts, particularly if vagrancy events occur with some predictability (e.g. recurring annually).</t>
  </si>
  <si>
    <t>[Pease, Brent S.; Akamani, Kofi] Southern Illinois Univ, Sch Forestry &amp; Hort, Forestry Program, Carbondale, IL 62901 USA; [Gilbert, Neil A.] Michigan State Univ, Dept Integrat Biol, E Lansing, MI USA; [Casola, William R.] Univ Florida, Sch Forest Fisheries &amp; Geomatics Sci, Gainesville, FL USA</t>
  </si>
  <si>
    <t>Southern Illinois University System; Southern Illinois University; Michigan State University; State University System of Florida; University of Florida</t>
  </si>
  <si>
    <t>Pease, BS (corresponding author), Southern Illinois Univ, Sch Forestry &amp; Hort, Forestry Program, Carbondale, IL 62901 USA.</t>
  </si>
  <si>
    <t>bpease1@siu.edu</t>
  </si>
  <si>
    <t>2575-8314</t>
  </si>
  <si>
    <t>PEOPLE NAT</t>
  </si>
  <si>
    <t>People Nat.</t>
  </si>
  <si>
    <t>10.1002/pan3.10527</t>
  </si>
  <si>
    <t>R6ZK8</t>
  </si>
  <si>
    <t>WOS:001065815900001</t>
  </si>
  <si>
    <t>Polukeev, AV</t>
  </si>
  <si>
    <t>Polukeev, Alexey V.</t>
  </si>
  <si>
    <t>Synthesis, Structure, and Catalytic Activity of Cyclometalated Iridium Complexes with a Bidentate POC Ligand</t>
  </si>
  <si>
    <t>EUROPEAN JOURNAL OF INORGANIC CHEMISTRY</t>
  </si>
  <si>
    <t>acceptorless dehydrogenation; alcohols; bidentate ligands; cyclometalation; iridium</t>
  </si>
  <si>
    <t>C-H NICKELATION; PINCER COMPLEXES; ALKANE DEHYDROGENATION; PHOSPHINITE COMPLEXES; DFT CALCULATIONS; METAL; ALCOHOLS; BOND; HYDROSILYLATION; HYDROGENATION</t>
  </si>
  <si>
    <t>Synthesis, characterization and catalytic activity of cyclometalated iridium complexes with a bidentate POC ligand is presented. Metalation of POC-H (di-tert-butyl(phenoxy)phosphane) with [Ir(COD)Cl]2 proceeded rapidly at room temperature and afforded mixture of (POC)(POC-H)IrHCl (1 a) and (POC)(COD)IrHCl (1 b), from which complexes (POC)(L)IrHCl where L=PPh3 (1 c), bipyridine (1 d) and [2,2 &amp; PRIME;-bipyridine]-6,6 &amp; PRIME;-diol (1 e) were prepared through ligand exchange. The compounds were tested in acceptorless dehydrogenation of 1-phenylethanol and transfer dehydrogenation of ethanol in a context of comparison with pincer counterparts (POCOP)IrHCl and (PCN)IrHCl. An attempt to prepare a dihydride complex from 1 e led to dimeric complex [(POC)(bipy-diol-)IrH]2 (3) that could explain the low activity of 1 e. DFT studies provided insight into POC-H vs POCOP-H metalation mechanism. Synthesis and characterization of cyclometalated iridium complexes (POC)(L)IrHCl with a bidentate POC ligand is presented. The catalytic activity of complexes (POC)(L)IrHCl in acceptorless dehydrogenation of 1-phenylethanol and transfer dehydrogenation of ethanol is discussed and compared to (POCOP)IrHCl and (PCN)IrHCl pincer complexes.image</t>
  </si>
  <si>
    <t>[Polukeev, Alexey V.] Lund Univ, Ctr Anal &amp; Synth, Dept Chem, POB 124, S-22100 Lund, Sweden</t>
  </si>
  <si>
    <t>Lund University</t>
  </si>
  <si>
    <t>Polukeev, AV (corresponding author), Lund Univ, Ctr Anal &amp; Synth, Dept Chem, POB 124, S-22100 Lund, Sweden.</t>
  </si>
  <si>
    <t>alexey.polukeev@chem.lu.se</t>
  </si>
  <si>
    <t>The Royal Physiographic Society of Lund is gratefully acknowledged for the financial support.; Royal Physiographic Society of Lund</t>
  </si>
  <si>
    <t>The Royal Physiographic Society of Lund is gratefully acknowledged for the financial support.</t>
  </si>
  <si>
    <t>1434-1948</t>
  </si>
  <si>
    <t>1099-0682</t>
  </si>
  <si>
    <t>EUR J INORG CHEM</t>
  </si>
  <si>
    <t>Eur. J. Inorg. Chem.</t>
  </si>
  <si>
    <t>10.1002/ejic.202300351</t>
  </si>
  <si>
    <t>Chemistry, Inorganic &amp; Nuclear</t>
  </si>
  <si>
    <t>R1XJ9</t>
  </si>
  <si>
    <t>WOS:001062337200001</t>
  </si>
  <si>
    <t>Pu, TD; Jin, Y; Tang, C; Fu, JJ; Zhang, CY; Su, BF; Cao, AE</t>
  </si>
  <si>
    <t>Pu, Tengda; Jin, Ying; Tang, Chuai; Fu, Jingjing; Zhang, Chengyuan; Su, Bingfeng; Cao, Aie</t>
  </si>
  <si>
    <t>An innovative predictive model for cervical cancer constructed around a gene profile associated with cholesterol metabolism</t>
  </si>
  <si>
    <t>ENVIRONMENTAL TOXICOLOGY</t>
  </si>
  <si>
    <t>cervical cancer; cholesterol metabolism; immune infiltration; prognostic risk model</t>
  </si>
  <si>
    <t>Cholesterol metabolism is crucial for cell survival and cancer progression. The prognostic patterns of genes linked to cholesterol metabolism (CMAGs) in CESC, however, have received very little attention in research. From public databases, TCGA-CESC cohorts with mRNA expression patterns and the accompanying clinical information of patients were gathered. Consensus clustering was used to find the molecular subtype connected to cholesterol metabolism. In the TCGA-CESC cohort, a predictive risk model with 28 CMAGs was created using Lasso-Cox regression. The function enrichment analysis between groups with high-and low-risk were investigated by employing GO, KEGG, and GSVA software. The immune cell infiltration was analyzed using ESTIMATE, CIBERSORT, and MCPCOUNTER methods. Finally, we select 7 genes in risk model for further multivariate Cox analysis, and ultimately a hub gene, CHIT1, was identified. Meanwhile, the function of CHIT1 was preliminarily verified in cell and mice tumor model. In conclusion, the abundance of the CHIT1 gene might be beneficial for forecasting the prognosis of CESC, demonstrating that cholesterol metabolism could be a promising treatment target for CESC.</t>
  </si>
  <si>
    <t>[Pu, Tengda; Fu, Jingjing; Zhang, Chengyuan; Su, Bingfeng; Cao, Aie] Hainan Canc Hosp, Dept Gynecol, Haikou, Peoples R China; [Jin, Ying] Hainan Canc Hosp, Dept Ultrasound, Haikou, Peoples R China; [Tang, Chuai] Hainan Med Univ, Dept Rehabil Therapeut, Affiliated Hosp 2, Haikou, Peoples R China; [Su, Bingfeng; Cao, Aie] Hainan Canc Hosp, Dept Gynecol, 9 Changbin West 4th St, Haikou 570311, Peoples R China</t>
  </si>
  <si>
    <t>Hainan Medical University</t>
  </si>
  <si>
    <t>Su, BF; Cao, AE (corresponding author), Hainan Canc Hosp, Dept Gynecol, 9 Changbin West 4th St, Haikou 570311, Peoples R China.</t>
  </si>
  <si>
    <t>subingfeng088123@163.com; dr_hzcae@163.com</t>
  </si>
  <si>
    <t>1520-4081</t>
  </si>
  <si>
    <t>1522-7278</t>
  </si>
  <si>
    <t>ENVIRON TOXICOL</t>
  </si>
  <si>
    <t>Environ. Toxicol.</t>
  </si>
  <si>
    <t>10.1002/tox.23969</t>
  </si>
  <si>
    <t>Environmental Sciences; Toxicology; Water Resources</t>
  </si>
  <si>
    <t>Environmental Sciences &amp; Ecology; Toxicology; Water Resources</t>
  </si>
  <si>
    <t>R5CI3</t>
  </si>
  <si>
    <t>WOS:001064523700001</t>
  </si>
  <si>
    <t>Reis, J; Bogart, AM; Healey, PJ; Dick, AAS</t>
  </si>
  <si>
    <t>Reis, Joseph; Bogart, Aaron M.; Healey, Patrick J.; Dick, Andre A. S.</t>
  </si>
  <si>
    <t>Transplant renal vein stent placement complicated by obstructive hematuria: A case report</t>
  </si>
  <si>
    <t>PEDIATRIC TRANSPLANTATION</t>
  </si>
  <si>
    <t>pediatric; renal vein; stent; transplant; venous</t>
  </si>
  <si>
    <t>ALLOGRAFT; STENOSIS</t>
  </si>
  <si>
    <t>BackgroundRenal vein stenosis is uncommon following transplantation. We report acute renal vein stenosis post-transplant treated with an endovascular stent and complicated by urinary obstruction from clot formation.MethodsRetrospective case report.ResultsA 16-year-old female 3 years post-transplant suffered anuria post-stenting with renal ultrasound demonstrating obstructive clot in the collecting system, a previously unreported complication. Subsequent nephroureteral JJ stent placement resulted in high-volume urine output.ConclusionThis article underscores the high index of suspicion required for renal vein stenosis following transplantation and the need to monitor urine output closely following stent placement.</t>
  </si>
  <si>
    <t>[Reis, Joseph; Bogart, Aaron M.] Seattle Childrens Hosp, Dept Radiol, Seattle, WA USA; [Healey, Patrick J.; Dick, Andre A. S.] Seattle Childrens Hosp, Dept Surg, Seattle, WA USA; [Reis, Joseph] Seattle Childrens Hosp, Dept Radiol, 4800 Sand Point Way NE, Seattle, WA 98105 USA</t>
  </si>
  <si>
    <t>Seattle Children's Hospital; Seattle Children's Hospital; Seattle Children's Hospital</t>
  </si>
  <si>
    <t>Reis, J (corresponding author), Seattle Childrens Hosp, Dept Radiol, 4800 Sand Point Way NE, Seattle, WA 98105 USA.</t>
  </si>
  <si>
    <t>joseph.reis@seattlechildrens.org</t>
  </si>
  <si>
    <t>Bogart, Aaron/0000-0002-0018-5020</t>
  </si>
  <si>
    <t>1397-3142</t>
  </si>
  <si>
    <t>1399-3046</t>
  </si>
  <si>
    <t>PEDIATR TRANSPLANT</t>
  </si>
  <si>
    <t>Pediatr. Transplant.</t>
  </si>
  <si>
    <t>10.1111/petr.14607</t>
  </si>
  <si>
    <t>Pediatrics; Transplantation</t>
  </si>
  <si>
    <t>R5IQ8</t>
  </si>
  <si>
    <t>WOS:001064690900001</t>
  </si>
  <si>
    <t>Wang, YL; Wang, F; Kong, Y; Gao, TS; Zhu, QY; Han, L; Sun, B; Guan, LY; Zhang, ZY; Qian, YX; Xu, LX; Li, Y; Fang, H; Jiao, GK; Ke, XY</t>
  </si>
  <si>
    <t>Wang, Yonglu; Wang, Fei; Kong, Yue; Gao, Tianshu; Zhu, Qingyao; Han, Lu; Sun, Bei; Guan, Luyang; Zhang, Ziyi; Qian, Yuxin; Xu, Lingxi; Li, Yun; Fang, Hui; Jiao, Gongkai; Ke, Xiaoyan</t>
  </si>
  <si>
    <t>High definition transcranial direct current stimulation of the Cz improves social dysfunction in children with autism spectrum disorder: A randomized, sham, controlled study</t>
  </si>
  <si>
    <t>autism spectrum disorder (ASD); high definition 5-channel transcranial direct current stimulation (HD-tDCS); social dysfunction; vertex (Cz)</t>
  </si>
  <si>
    <t>NONINVASIVE BRAIN-STIMULATION; WHITE-MATTER INTEGRITY; HUMAN MOTOR CORTEX; TEMPOROPARIETAL JUNCTION; FUNCTIONAL CONNECTIVITY; DIAGNOSTIC INTERVIEW; SLEEP; SAFETY; ASSOCIATION; DEFICITS</t>
  </si>
  <si>
    <t>The purpose of this study was to determine the effect of the Cz of high-definition 5-channel tDCS (HD-tDCS) on social function in 4-12 years-old children with autism spectrum disorder (ASD). This study was a randomized, double-blind, pseudo-controlled trial in which 45 ASD children were recruited and divided into three groups with sex, age, and rehabilitation treatment as control variables. Each group of 15 children with ASD was randomly administered active HD-tDCS with the Cz as the central anode, active HD-tDCS with the left dorsolateral prefrontal cortex (F3) as the central anode, and sham HD-tDCS with the Cz as the central anode with 14 daily sessions in 3 weeks. The Social Responsiveness Scale Chinese Version (SRS-Chinese Version) was compared 1 week after stimulation with values recorded 1 week prior to stimulation. At the end of treatment, both the anodal Cz and anodal left DLFPC tDCS decreased the measures of SRS-Chinese Version. The total score of SRS-Chinese Version decreased by 13.08%, social cognition decreased by 18.33%, and social communication decreased by 10.79%, which were significantly improved over the Cz central anode active stimulation group, especially in children with young age, and middle and low function. There was no significant change in the total score and subscale score of SRS-Chinese Version over the Cz central anode sham stimulation group. In the F3 central anode active stimulation group, the total score of SRS-Chinese Version decreased by 13%, autistic behavior decreased by 19.39%, and social communication decreased by 14.39%, which were all significantly improved. However, there was no significant difference in effect between the Cz and left DLPFC stimulation conditions. HD-tDCS of the Cz central anode may be an effective treatment for social dysfunction in children with ASD.Lay SummaryThis preliminary study showed that HD-tDCS at the Cz was feasible, safe, and potentially effective in improving the symptoms of ASD social dysfunction in children. HD-tDCS was well tolerated and no adverse reactions were reported. All participants showed significant improvements in social cognition, social understanding, verbal expression, and logical thinking. In addition, further research is needed to expand the sample size, including which types of ASD children are more likely to benefit from treatment.</t>
  </si>
  <si>
    <t>[Wang, Yonglu; Wang, Fei; Kong, Yue; Gao, Tianshu; Zhu, Qingyao; Han, Lu; Sun, Bei; Guan, Luyang; Zhang, Ziyi; Qian, Yuxin; Xu, Lingxi; Li, Yun; Fang, Hui; Jiao, Gongkai; Ke, Xiaoyan] Nanjing Med Univ, Affiliated Brain Hosp, Child Mental Hlth Res Ctr, Nanjing, Peoples R China; [Fang, Hui; Jiao, Gongkai; Ke, Xiaoyan] Nanjing Med Univ, Affiliated Brain Hosp, Child Mental Hlth Res Ctr, Nanjing 210029, Peoples R China</t>
  </si>
  <si>
    <t>Nanjing Medical University; Nanjing Medical University</t>
  </si>
  <si>
    <t>Fang, H; Jiao, GK; Ke, XY (corresponding author), Nanjing Med Univ, Affiliated Brain Hosp, Child Mental Hlth Res Ctr, Nanjing 210029, Peoples R China.</t>
  </si>
  <si>
    <t>fanghuisd@126.com; jiaogongkai@njmu.edu.cn; kexiaoyan@njmu.edu.cn</t>
  </si>
  <si>
    <t>Science and technology development Foundation, Nanjing Medical University [20210225]; Medical Science and technology development Foundation, Nanjing Department of Health [YKK21115]; STI2030-Major Projects [2021ZD0204004]</t>
  </si>
  <si>
    <t>Science and technology development Foundation, Nanjing Medical University; Medical Science and technology development Foundation, Nanjing Department of Health; STI2030-Major Projects</t>
  </si>
  <si>
    <t>Science and technology development Foundation, Nanjing Medical University, Grant/Award Number: 20210225; Medical Science and technology development Foundation, Nanjing Department of Health, Grant/Award Number: YKK21115; STI2030-Major Projects, Grant/Award Number: 2021ZD0204004</t>
  </si>
  <si>
    <t>10.1002/aur.3018</t>
  </si>
  <si>
    <t>R6IN6</t>
  </si>
  <si>
    <t>WOS:001065373400001</t>
  </si>
  <si>
    <t>Woo, HA; Kim, SH; Ahn, YH; Min, SI; Ha, J; Ha, I; Cheong, HI; Kang, HG</t>
  </si>
  <si>
    <t>Woo, Hyun Ah.; Kim, Seong Heon; Ahn, Yo Han; Min, Sang Il; Ha, Jongwon; Ha, Il-Soo; Cheong, Hae Il; Kang, Hee Gyung</t>
  </si>
  <si>
    <t>Clinical course of post-kidney transplant Schimke immuno-osseous dysplasia</t>
  </si>
  <si>
    <t>extra-renal; kidney failure; kidney transplantation; Schimke immuno-osseous dysplasia</t>
  </si>
  <si>
    <t>BONE-MARROW-TRANSPLANTATION; SMARCAL1</t>
  </si>
  <si>
    <t>Background: Schimke immuno-osseous dysplasia (SIOD) is a rare systemic disease characterized by short stature, proteinuria, and recurrent infections. Patients usually have spondyloepiphyseal dysplasia, and progressive steroid-resistant nephropathy that leads to kidney failure. However, their clinical course after kidney transplantation (KT) is not yet well known. Here, we present our experience with cases of SIOD treated at our institute.Case Presentation: Since 2014, three children have been diagnosed with nephropathy resulting from SIOD. They presented with proteinuria in the nephrotic range at 7, 5, and 3 years of age. Focal segmental glomerulosclerosis was confirmed and progressed to kidney failure approximately 2 years after proteinuria was detected. These patients underwent living-donor KT from their parents. After KT, Case 1 lost his graft within 7 months due to multi-organ failure caused by disseminated adenovirus infection and died. Case 2 experienced graft failure 5 years after KT due to acute rejection from poor compliance. In Case 3, the allograft was still functioning 6 years after KT with low-dose tacrolimus single medication (trough level &lt; 5 ng/mL). Extra-renal manifestations progressed regardless of KT, namely, right renal vein thrombosis and pulmonary hypertension in Case 1, severe bilateral hip dysplasia and Moyamoya syndrome in Case 2, and neutropenia and thrombocytopenia in Case 3, in addition to recurrent infection.Conclusion: In SIOD patients, KT is complicated with recurrent infections due to their inherent immune dysfunction. Additionally, extra-renal symptoms may render the patients morbid despite the recovery of kidney function.</t>
  </si>
  <si>
    <t>[Woo, Hyun Ah.; Kim, Seong Heon; Ahn, Yo Han; Ha, Il-Soo; Cheong, Hae Il; Kang, Hee Gyung] Seoul Natl Univ Hosp, Dept Pediat, Seoul, South Korea; [Woo, Hyun Ah.; Kim, Seong Heon; Ahn, Yo Han; Min, Sang Il; Ha, Jongwon; Ha, Il-Soo; Cheong, Hae Il; Kang, Hee Gyung] Seoul Natl Univ, Coll Med, Seoul, South Korea; [Min, Sang Il; Ha, Jongwon] Seoul Natl Univ Hosp, Dept Surg, Seoul, South Korea; [Kang, Hee Gyung] Seoul Natl Univ, Med Res Ctr, Kidney Res Inst, Seoul, South Korea; [Kang, Hee Gyung] Seoul Natl Univ, Dept Pediat, Coll Med, 101 Daehak Ro, Seoul 03080, South Korea</t>
  </si>
  <si>
    <t>Seoul National University (SNU); Seoul National University Hospital; Seoul National University (SNU); Seoul National University (SNU); Seoul National University Hospital; Seoul National University (SNU); Seoul National University (SNU)</t>
  </si>
  <si>
    <t>Kang, HG (corresponding author), Seoul Natl Univ, Dept Pediat, Coll Med, 101 Daehak Ro, Seoul 03080, South Korea.</t>
  </si>
  <si>
    <t>kanghg@snu.ac.kr</t>
  </si>
  <si>
    <t>Min, Sang-il/0000-0002-0688-0278; Woo, Hyun Ah/0000-0001-5800-2090; Ahn, Yo Han/0000-0002-8185-4408</t>
  </si>
  <si>
    <t>National Research Foundation of Korea (NRF) grant - Korea government (MSIT) [2020R1A2C1100974]</t>
  </si>
  <si>
    <t>National Research Foundation of Korea (NRF) grant - Korea government (MSIT)(National Research Foundation of KoreaMinistry of Science &amp; ICT (MSIT), Republic of Korea)</t>
  </si>
  <si>
    <t>National Research Foundation of Korea (NRF) grant funded by the Korea government (MSIT), Grant/Award Number: 2020R1A2C1100974</t>
  </si>
  <si>
    <t>10.1111/petr.14605</t>
  </si>
  <si>
    <t>R6FM1</t>
  </si>
  <si>
    <t>WOS:001065292300001</t>
  </si>
  <si>
    <t>Yu, JY; Wang, JJ; Zhang, W; Kattel, GR; Kumar, A; Yu, ZG</t>
  </si>
  <si>
    <t>Yu, Jie-Yu; Wang, Jian-Jian; Zhang, Wei; Kattel, Giri R.; Kumar, Amit; Yu, Zhi-Guo</t>
  </si>
  <si>
    <t>Complexity of hydrology, sewage and industries in distribution and migration pathways of heavy metals at spatial scale of China &amp; apos;s brownfields</t>
  </si>
  <si>
    <t>ECOHYDROLOGY</t>
  </si>
  <si>
    <t>brownfield; heavy metal contamination; Jiangsu Province; soil; source apportionment</t>
  </si>
  <si>
    <t>HEALTH-RISK ASSESSMENT; SOURCE APPORTIONMENT; AGRICULTURAL SOILS; SOUTHEAST CHINA; TYPICAL COUNTY; CONTAMINATION; POLLUTION; WATER; TRANSPORT; SEDIMENT</t>
  </si>
  <si>
    <t>Hydrologic dynamics, sewage and industries determine the distribution and migration pathways of heavy metals in the natural environments including soils across the urbanized area. In this study, 323 stratified soil samples from a brownfield in Jiangsu Province, China, were collected to assess the heavy metals (Cu, Ni, Pb, Cd, As and Hg) contaminations. Contamination factor (Cfi), Nemerow pollution index (PIN) and enrichment factor (EFi) were evaluated to assess the heavy metal pollution, while sources of pollution were identified in combination with geo-statistical, correlations and principal components analysis. Moreover, transport of Ni in soil profiles over the next 30 years was simulated using HYDRUS. The vertical distribution revealed that the soil surface (0-10 cm) had the highest concentration of heavy metal contamination. ICP-MS measurements showed that the soil in the brownfield was enriched with Cu, Ni, Pb, Cd, As and Hg, where Ni was the most severe and prevalent contaminant. The results of source apportionment analysis showed that Ni, Cd, Pb and Cu were mainly derived from building materials and sewage discharge, while As and Hg may come from fossil fuel combustion and agricultural discharges from upstream river catchment. The migration of Ni was largely driven by the combination of hydrological variability including the flow and solute contaminant gradients in soils. Our work highlights the need for a comprehensive understanding of the complexity of hydrology, and sewage discharge in heavy metal dynamics and migration pathways in China's brownfield soil at regional and national scales.</t>
  </si>
  <si>
    <t>[Yu, Jie-Yu; Wang, Jian-Jian; Kumar, Amit; Yu, Zhi-Guo] Nanjing Univ Informat Sci &amp; Technol, Minist Water Resources, Sch Hydrol &amp; Water Resources, Key Lab Hydrometeorol Disaster Mech &amp; Warning, Nanjing, Peoples R China; [Zhang, Wei] Guangzhou Univ, Minist Educ, Inst Environm Res Greater Bay Area, Key Lab Water Qual &amp; Conservat Pearl River Delta, Guangzhou, Peoples R China; [Kattel, Giri R.] Univ Melbourne, Dept Infrastruct Engn, Melbourne, Australia; [Yu, Zhi-Guo] Nanjing Univ Informat Sci &amp; Technol, Minist Water Resources, Sch Hydrol &amp; Water Resources, Key Lab Hydrometeorol Disaster Mech &amp; Warning, Nanjing 210044, Jiangsu, Peoples R China</t>
  </si>
  <si>
    <t>Nanjing University of Information Science &amp; Technology; Guangzhou University; University of Melbourne; Nanjing University of Information Science &amp; Technology</t>
  </si>
  <si>
    <t>Yu, ZG (corresponding author), Nanjing Univ Informat Sci &amp; Technol, Minist Water Resources, Sch Hydrol &amp; Water Resources, Key Lab Hydrometeorol Disaster Mech &amp; Warning, Nanjing 210044, Jiangsu, Peoples R China.</t>
  </si>
  <si>
    <t>zhiguo.yu@nuist.edu.cn</t>
  </si>
  <si>
    <t>kumar, Amit/M-3541-2015</t>
  </si>
  <si>
    <t>kumar, Amit/0000-0002-6073-0860</t>
  </si>
  <si>
    <t>National Natural Science Foundation of China [41601090, 41877337]</t>
  </si>
  <si>
    <t>National Natural Science Foundation of China, Grant/Award Numbers: 41601090, 41877337</t>
  </si>
  <si>
    <t>1936-0584</t>
  </si>
  <si>
    <t>1936-0592</t>
  </si>
  <si>
    <t>Ecohydrology</t>
  </si>
  <si>
    <t>10.1002/eco.2588</t>
  </si>
  <si>
    <t>Ecology; Environmental Sciences; Water Resources</t>
  </si>
  <si>
    <t>Environmental Sciences &amp; Ecology; Water Resources</t>
  </si>
  <si>
    <t>R5ON4</t>
  </si>
  <si>
    <t>WOS:001064845500001</t>
  </si>
  <si>
    <t>Dumons, E; Tran-Huu-Hue, LP; Poulin-Vittrant, G</t>
  </si>
  <si>
    <t>Dumons, Emmanuel; Tran-Huu-Hue, Louis Pascal; Poulin-Vittrant, Guylaine</t>
  </si>
  <si>
    <t>Piezo-Semiconductor Coupled Model for the Simulation of Zinc Oxide 1-3 Piezo-Composite</t>
  </si>
  <si>
    <t>ADVANCED THEORY AND SIMULATIONS</t>
  </si>
  <si>
    <t>1-3 piezo-composite; energy harvesting; nanogenerators; piezo-semiconducting nanowires; surface traps</t>
  </si>
  <si>
    <t>ZNO NANORODS; PERFORMANCE; NANOWIRE; NANOGENERATOR</t>
  </si>
  <si>
    <t>Semiconducting effects in zinc oxide nanowires-based nanogenerators greatly impact their performances. A coupled model integrating piezoelectric and semiconducting properties is developed with a finite element method to better understand the phenomena involved in this kind of device made with a process including chemical bath deposition of the nanostructures and their polymer encapsulation. Free carriers and surface traps are taken into account to give some keys to explain differences between previous theoretical and experimental works. This model is first validated on a single nanowire with a 1016 cm-3 n-doping level by comparison with analytical calculations. For this comparison, surface traps are not taken into account as no analytical solution is available considering them. Second, n-doping levels (between 1012 and 1018 cm-3) and surface traps densities (between 108 and 1012 cm-2) lead to variations of the generated piezopotential of two orders of magnitude. The control of these two semiconducting properties is a real challenge for this kind of application. Furthermore, simulation results show that the benefic effect of 1-3 piezo-composite is still present even for a high n-doping level of 1018 cm-3. A model for Finite Element Method is proposed for nanogenerator and energy harvesting. This model couples both piezoelectric and semiconducting phenomena using a bidirectional way to solve the relative equations. Thanks to this model, the influence of the free charge carriers and the surface traps is directly added to all key parameters like the energy level of the traps.image</t>
  </si>
  <si>
    <t>[Dumons, Emmanuel; Tran-Huu-Hue, Louis Pascal; Poulin-Vittrant, Guylaine] Univ Tours, INSA Ctr Val Loire, GREMAN, CNRS,UMR 7347, 3 Rue Chocolaterie,CS 23410, F-41034 Blois, France</t>
  </si>
  <si>
    <t>Centre National de la Recherche Scientifique (CNRS); Universite de Tours</t>
  </si>
  <si>
    <t>Dumons, E (corresponding author), Univ Tours, INSA Ctr Val Loire, GREMAN, CNRS,UMR 7347, 3 Rue Chocolaterie,CS 23410, F-41034 Blois, France.</t>
  </si>
  <si>
    <t>emmanuel.dumons@insa-cvl.fr</t>
  </si>
  <si>
    <t>DUMONS, Emmanuel/0009-0002-8593-3709</t>
  </si>
  <si>
    <t>The authors gratefully acknowledge the CNRS Institute for Engineering and Systems Sciences (INSIS), who supports the Grappillage project (Gathering of mechanical energy to power sensors for human health monitoring). The authors are also grateful for the; CNRS Institute for Engineering and Systems Sciences (INSIS); Nanomaterials for Energy Applications (GDR NAME); (CNRS) research group</t>
  </si>
  <si>
    <t>The authors gratefully acknowledge the CNRS Institute for Engineering and Systems Sciences (INSIS), who supports the Grappillage project (Gathering of mechanical energy to power sensors for human health monitoring). The authors are also grateful for the support from the Nanomaterials for Energy Applications (GDR NAME, CNRS) research group.</t>
  </si>
  <si>
    <t>2513-0390</t>
  </si>
  <si>
    <t>ADV THEOR SIMUL</t>
  </si>
  <si>
    <t>Adv. Theory Simul.</t>
  </si>
  <si>
    <t>2023 SEP 10</t>
  </si>
  <si>
    <t>10.1002/adts.202300369</t>
  </si>
  <si>
    <t>Multidisciplinary Sciences</t>
  </si>
  <si>
    <t>Science &amp; Technology - Other Topics</t>
  </si>
  <si>
    <t>R1AJ4</t>
  </si>
  <si>
    <t>hybrid, Green Published</t>
  </si>
  <si>
    <t>WOS:001061733400001</t>
  </si>
  <si>
    <t>Jia, YX; Liu, Y; Liu, S; Chang, YX; Xu, LF; Li, HF</t>
  </si>
  <si>
    <t>Jia, Yanxin; Liu, Yan; Liu, Shuang; Chang, Yaxin; Xu, Longfei; Li, Haifang</t>
  </si>
  <si>
    <t>Wnt10b knockdown promotes UCP1 expression in brown adipose tissue in mice</t>
  </si>
  <si>
    <t>GENES TO CELLS</t>
  </si>
  <si>
    <t>brown adipose tissue (BAT); differentiation; thermogenesis; UCP1; Wnt10b</t>
  </si>
  <si>
    <t>GENETIC ABLATION; OBESITY; WHITE; ADIPOCYTES; INHIBITION; METABOLISM; FAT</t>
  </si>
  <si>
    <t>The effect of Wnt10b overexpression on adipose tissue development has been reported. However, the impact of Wnt10b knockdown on the function of brown adipose tissue (BAT) is yet largely unknown. Here, we used the CRISPR/Cas9 technique to generate Wnt10b-knockdown (Wnt10b+/-) mice. We compared the development and thermogenic gene expression of interscapular BAT (iBAT) between Wnt10b+/- and Wnt10b+/+ mice under a chow diet, high-fat diet (HFD), and cold exposure conditions. Moreover, the effect of Wnt10b knockdown on brown adipocyte function was tested via in vitro experiments. Results indicated that Wnt10b knockdown decreased the iBAT mass and the brown adipocyte size and enhanced thermogenic gene expression, including UCP1, under chow diet conditions. In addition, Wnt10b+/- mice appeared to be able to maintain their body temperature better than the control in a cold environment, accompanied by higher UCP1 protein expression. Intriguingly, even under HFD conditions, Wnt10b+/- mice still showed higher UCP1 expression, which was associated with an alleviated obesity phenotype. In vitro studies further evidenced the Wnt10b knockdown stimulation of UCP1 expression and suppression of the adipogenic program. This study indicates that Wnt10b knockdown enhances UCP1 expression and inhibits the adipogenic differentiation of brown adipocytes, providing a novel option for therapeutic interventions in adiposity.</t>
  </si>
  <si>
    <t>[Jia, Yanxin; Liu, Yan; Chang, Yaxin; Xu, Longfei; Li, Haifang] Shandong Agr Univ, Coll Life Sci, State Key Lab Crop Biol, Tai An, Peoples R China; [Liu, Shuang] Shandong Agr Univ, Coll Anim Sci &amp; Vet Med, Tai An, Peoples R China; [Li, Haifang] Shandong Agr Univ, Coll Life Sci, State Key Lab Crop Biol, Tai An 271018, Peoples R China</t>
  </si>
  <si>
    <t>Shandong Agricultural University; Shandong Agricultural University; Shandong Agricultural University</t>
  </si>
  <si>
    <t>Li, HF (corresponding author), Shandong Agr Univ, Coll Life Sci, State Key Lab Crop Biol, Tai An 271018, Peoples R China.</t>
  </si>
  <si>
    <t>haifangli@sdau.edu.cn</t>
  </si>
  <si>
    <t>This study was supported by the National Key Research and Development Program of China (No. 2021YFD1300405), the Natural Science Foundation of Shandong Province, China (No. ZR2019MC016), the Taishan Scholars Program (No. 201712022), and Funds of Shandong  [ZR2019MC016]; National Key Research and Development Program of China [201712022]; Natural Science Foundation of Shandong Province, China; Taishan Scholars Program; Funds of Shandong Double Tops Program; [2021YFD1300405]</t>
  </si>
  <si>
    <t>This study was supported by the National Key Research and Development Program of China (No. 2021YFD1300405), the Natural Science Foundation of Shandong Province, China (No. ZR2019MC016), the Taishan Scholars Program (No. 201712022), and Funds of Shandong ; National Key Research and Development Program of China; Natural Science Foundation of Shandong Province, China(Natural Science Foundation of Shandong Province); Taishan Scholars Program; Funds of Shandong Double Tops Program;</t>
  </si>
  <si>
    <t>This study was supported by the National Key Research and Development Program of China (No. 2021YFD1300405), the Natural Science Foundation of Shandong Province, China (No. ZR2019MC016), the Taishan Scholars Program (No. 201712022), and Funds of Shandong Double Tops Program.</t>
  </si>
  <si>
    <t>1356-9597</t>
  </si>
  <si>
    <t>1365-2443</t>
  </si>
  <si>
    <t>GENES CELLS</t>
  </si>
  <si>
    <t>Genes Cells</t>
  </si>
  <si>
    <t>10.1111/gtc.13064</t>
  </si>
  <si>
    <t>Cell Biology; Genetics &amp; Heredity</t>
  </si>
  <si>
    <t>R7VP0</t>
  </si>
  <si>
    <t>WOS:001066398800001</t>
  </si>
  <si>
    <t>Jordan, J</t>
  </si>
  <si>
    <t>Jordan, Jason</t>
  </si>
  <si>
    <t>Tryin &amp; apos; to Get that Oil: Black Satire of the Bush Administration and the War on Terror</t>
  </si>
  <si>
    <t>JOURNAL OF POPULAR CULTURE</t>
  </si>
  <si>
    <t>HUMOR</t>
  </si>
  <si>
    <t>[Jordan, Jason] Univ New Haven, Hist, West Haven, CT 06516 USA</t>
  </si>
  <si>
    <t>University New Haven</t>
  </si>
  <si>
    <t>Jordan, J (corresponding author), Univ New Haven, Hist, West Haven, CT 06516 USA.</t>
  </si>
  <si>
    <t>jjordan@newhaven.edu</t>
  </si>
  <si>
    <t>0022-3840</t>
  </si>
  <si>
    <t>1540-5931</t>
  </si>
  <si>
    <t>J POP CULT</t>
  </si>
  <si>
    <t>J. Pop. Cult.</t>
  </si>
  <si>
    <t>10.1111/jpcu.13215</t>
  </si>
  <si>
    <t>Humanities, Multidisciplinary; Cultural Studies</t>
  </si>
  <si>
    <t>Social Science Citation Index (SSCI); Arts &amp; Humanities Citation Index (A&amp;HCI)</t>
  </si>
  <si>
    <t>Arts &amp; Humanities - Other Topics; Cultural Studies</t>
  </si>
  <si>
    <t>R5YB6</t>
  </si>
  <si>
    <t>WOS:001065096800001</t>
  </si>
  <si>
    <t>Ma, SN; Xu, WG; Fei, YW; Li, D; Jia, XA; Wang, J; Wang, ER</t>
  </si>
  <si>
    <t>Ma, Shuaining; Xu, Weiguo; Fei, Yunwei; Li, Dan; Jia, Xiuna; Wang, Jin; Wang, Erkang</t>
  </si>
  <si>
    <t>Mn2+/Ir3+-Doped and CaCO3-Covered Prussian Blue Nanoparticles with Indocyanine Green Encapsulation for Tumor Microenvironment Modulation and Image-Guided Synergistic Cancer Therapy</t>
  </si>
  <si>
    <t>ADVANCED HEALTHCARE MATERIALS</t>
  </si>
  <si>
    <t>enhanced phototherapy; glutathione consumption; oxygen generation; pH-sensitive; tumor imaging</t>
  </si>
  <si>
    <t>PHOTODYNAMIC THERAPY; DISEASE; FACILE</t>
  </si>
  <si>
    <t>The development of smart theranostic nanoplatforms has gained great interest in effective cancer treatment against the complex tumor microenvironment (TME), including weak acidity, hypoxia, and glutathione (GSH) overexpression. Herein, a TME-responsive nanoplatform named PMICApt/ICG, based on PB:Mn &amp; Ir@CaCO3Aptamer/ICG, is designed for the competent synergistic photothermal therapy and photodynamic therapy (PDT) under the guidance of photothermal and magnetic resonance imaging. The nanoplatform's aptamer modification targeting the transferrin receptor and the epithelial cell adhesion molecule on breast cancer cells, and the acid degradable CaCO3 shell allow for effective tumor accumulation and TME-responsive payload release in situ. The nanoplatform also exhibits excellent PDT properties due to its ability to generate O-2 and consume antioxidant GSH in tumors. Additionally, the synergistic therapy is achieved by a single wavelength of near-infrared laser. RNA sequencing is performed to identify differentially expressed genes, which show that the expressions of proliferation and migration-associated genes are inhibited, while the apoptosis and immune response gene expressions are upregulated after the synergistic treatments. This multifunctional nanoplatform that responds to the TME to realize the on-demand payload release and enhance PDT induced by TME modulation holds great promise for clinical applications in tumor therapy.</t>
  </si>
  <si>
    <t>[Ma, Shuaining] Jilin Univ, Coll Phys, Changchun 130012, Jilin, Peoples R China; [Ma, Shuaining; Xu, Weiguo; Li, Dan; Jia, Xiuna; Wang, Erkang] Chinese Acad Sci, Changchun Inst Appl Chem, State Key Lab Electroanalyt Chem, Key Lab Polymer Ecomat, Changchun 130022, Jilin, Peoples R China; [Fei, Yunwei] Second Hosp Jilin Univ, Dept Cardiol, Changchun 130012, Jilin, Peoples R China; [Wang, Jin] SUNY Stony Brook, Dept Chem &amp; Phys, Stony Brook, NY 11794 USA</t>
  </si>
  <si>
    <t>Jilin University; Chinese Academy of Sciences; Changchun Institute of Applied Chemistry, CAS; Jilin University; State University of New York (SUNY) System; State University of New York (SUNY) Stony Brook</t>
  </si>
  <si>
    <t>Li, D; Jia, XA (corresponding author), Chinese Acad Sci, Changchun Inst Appl Chem, State Key Lab Electroanalyt Chem, Key Lab Polymer Ecomat, Changchun 130022, Jilin, Peoples R China.;Wang, J (corresponding author), SUNY Stony Brook, Dept Chem &amp; Phys, Stony Brook, NY 11794 USA.</t>
  </si>
  <si>
    <t>lidan@ciac.ac.cn; xnjia@ciac.ac.cn; jin.wang.1@stonybrook.edu</t>
  </si>
  <si>
    <t>李, 丹/O-1545-2017</t>
  </si>
  <si>
    <t>李, 丹/0000-0001-5904-871X; Wang, Jin/0000-0002-2841-4913</t>
  </si>
  <si>
    <t>S.N.M., D.L., X.J., and E.W. thank supports from the National Key Research and Development Program of China (No. 2019YFA0709202), China Postdoctoral Science Foundation (2022M723078), Natural Science Foundation of Jilin Province (Nos. 20220101055JC and YDZJ [2019YFA0709202]; National Key Research and Development Program of China [2022M723078]; China Postdoctoral Science Foundation [20220101055JC, YDZJ202201ZYTS350]; Natural Science Foundation of Jilin Province [20230508172RC]; Science and Technology Development Plan of Jilin Province [20190701059GH]; International Cooperation Project of Jilin Scientific and Technological Development Program [20220508098RC, GB/T 35892-2018, 20220930-01]; Department of Science and Technology of Jilin Province</t>
  </si>
  <si>
    <t>S.N.M., D.L., X.J., and E.W. thank supports from the National Key Research and Development Program of China (No. 2019YFA0709202), China Postdoctoral Science Foundation (2022M723078), Natural Science Foundation of Jilin Province (Nos. 20220101055JC and YDZJ; National Key Research and Development Program of China; China Postdoctoral Science Foundation(China Postdoctoral Science Foundation); Natural Science Foundation of Jilin Province; Science and Technology Development Plan of Jilin Province; International Cooperation Project of Jilin Scientific and Technological Development Program; Department of Science and Technology of Jilin Province</t>
  </si>
  <si>
    <t>S.N.M., D.L., X.J., and E.W. thank supports from the National Key Research and Development Program of China (No. 2019YFA0709202), China Postdoctoral Science Foundation (2022M723078), Natural Science Foundation of Jilin Province (Nos. 20220101055JC and YDZJ202201ZYTS350), the Science and Technology Development Plan of Jilin Province (20230508172RC), the International Cooperation Project of Jilin Scientific and Technological Development Program (No. 20190701059GH), and the Department of Science and Technology of Jilin Province (20220508098RC). All the experiments were conducted in accordance with the guidelines for ethical review of animal welfare (GB/T 35892-2018) and under the guidelines of Changchun Wish Testing Technology Service Co., Ltd, China (permission No. 20220930-01).</t>
  </si>
  <si>
    <t>2192-2640</t>
  </si>
  <si>
    <t>2192-2659</t>
  </si>
  <si>
    <t>ADV HEALTHC MATER</t>
  </si>
  <si>
    <t>Adv. Healthc. Mater.</t>
  </si>
  <si>
    <t>10.1002/adhm.202301413</t>
  </si>
  <si>
    <t>Engineering, Biomedical; Nanoscience &amp; Nanotechnology; Materials Science, Biomaterials</t>
  </si>
  <si>
    <t>Engineering; Science &amp; Technology - Other Topics; Materials Science</t>
  </si>
  <si>
    <t>S3IG4</t>
  </si>
  <si>
    <t>WOS:001070133000001</t>
  </si>
  <si>
    <t>Oostrom, JK; Holtrop, D; Koutsoumpis, A; van Breda, W; Ghassemi, S; de Vries, RE</t>
  </si>
  <si>
    <t>Oostrom, Janneke K.; Holtrop, Djurre; Koutsoumpis, Antonis; van Breda, Ward; Ghassemi, Sina; de Vries, Reinout E.</t>
  </si>
  <si>
    <t>Applicant reactions to algorithm- versus recruiter-based evaluations of an asynchronous video interview and a personality inventory</t>
  </si>
  <si>
    <t>JOURNAL OF OCCUPATIONAL AND ORGANIZATIONAL PSYCHOLOGY</t>
  </si>
  <si>
    <t>algorithms; applicant reactions; asynchronous video interviews</t>
  </si>
  <si>
    <t>SELECTION PROCEDURES; ORGANIZATIONAL ATTRACTIVENESS; OUTCOME FAVORABILITY; PERSONNEL-SELECTION; SOCIAL-EXCHANGE; JOB CHOICE; SELF; FAIRNESS; EXPLANATIONS; DECISIONS</t>
  </si>
  <si>
    <t>In two studies, we examined the effects of algorithm based (vs. recruiter-based) evaluations of an asynchronous video interview and a personality inventory on applicant reactions. In line with our expectations, we found several negative applicant reactions to the use of algorithms. Specifically, in Study 1 (N = 172), informing participants that an algorithm, rather than a recruiter, had analysed their interview and personality inventory increased feelings of emotional creepiness, and reduced fairness perceptions, perceived predictive validity and feedback acceptance. In Study 2 (N = 276), we were able to replicate these effects for fairness perceptions and perceived predictive validity. Furthermore, in both studies, algorithm based evaluations negatively affected feedback acceptance, organizational attraction and job acceptance intentions through fairness perceptions. However, in contrast with our expectations, selection decision favour ability did not influence the impact of evaluation source (recruiter vs. algorithm) on applicant reactions. In Study 2, we also found some tentative evidence that applicant reactions to algorithm based evaluations are not affected by the type of information source (i.e. verbal vs. nonverbal cues) on which the algorithm is based.</t>
  </si>
  <si>
    <t>[Oostrom, Janneke K.; Holtrop, Djurre] Tilburg Univ, Tilburg Sch Social &amp; Behav Sci, Dept Social Psychol, Tilburg, Netherlands; [Koutsoumpis, Antonis; Ghassemi, Sina; de Vries, Reinout E.] Vrije Univ Amsterdam, Fac Behav &amp; Movement Sci, Dept Expt &amp; Appl Psychol, Amsterdam, Netherlands; [van Breda, Ward] Sentimentics, Rotterdam, Netherlands; [Oostrom, Janneke K.] Tilburg Univ, Tilburg Sch Social &amp; Behav Sci, Dept Social Psychol, POB 90153, NL-5000 LE Tilburg, Netherlands</t>
  </si>
  <si>
    <t>Tilburg University; Vrije Universiteit Amsterdam; Tilburg University</t>
  </si>
  <si>
    <t>Oostrom, JK (corresponding author), Tilburg Univ, Tilburg Sch Social &amp; Behav Sci, Dept Social Psychol, POB 90153, NL-5000 LE Tilburg, Netherlands.</t>
  </si>
  <si>
    <t>j.k.oostrom@tilburguniversity.edu</t>
  </si>
  <si>
    <t>Ghassemi, Sina/V-4048-2018</t>
  </si>
  <si>
    <t>Ghassemi, Sina/0000-0002-5046-3842; Holtrop, Djurre/0000-0003-3824-3385; de Vries, Reinout/0000-0002-4252-5839; Koutsoumpis, Antonis/0000-0001-9242-4959</t>
  </si>
  <si>
    <t>This research was funded by the Dutch Foundation for Psychotechnics (NSvP).; Dutch Foundation for Psychotechnics (NSvP)</t>
  </si>
  <si>
    <t>This research was funded by the Dutch Foundation for Psychotechnics (NSvP).</t>
  </si>
  <si>
    <t>0963-1798</t>
  </si>
  <si>
    <t>2044-8325</t>
  </si>
  <si>
    <t>J OCCUP ORGAN PSYCH</t>
  </si>
  <si>
    <t>J. Occup. Organ. Psychol.</t>
  </si>
  <si>
    <t>10.1111/joop.12465</t>
  </si>
  <si>
    <t>R5RD8</t>
  </si>
  <si>
    <t>WOS:001064914800001</t>
  </si>
  <si>
    <t>Saif-Ur-Rahman, KM; Islam, MS; Alaboson, J; Ola, O; Hasan, I; Islam, N; Mainali, S; Martina, T; Silenga, E; Muyangana, M; Joarder, T</t>
  </si>
  <si>
    <t>Saif-Ur-Rahman, K. M.; Islam, Md Shariful; Alaboson, Joan; Ola, Oluwadara; Hasan, Imran; Islam, Nazmul; Mainali, Shristi; Martina, Tina; Silenga, Eva; Muyangana, Mubita; Joarder, Taufique</t>
  </si>
  <si>
    <t>Artificial intelligence and digital health in improving primary health care service delivery in LMICs: A systematic review</t>
  </si>
  <si>
    <t>JOURNAL OF EVIDENCE BASED MEDICINE</t>
  </si>
  <si>
    <t>artificial intelligence; digital health; LMICs; primary health care</t>
  </si>
  <si>
    <t>COMMUNITY; OUTCOMES; QUALITY</t>
  </si>
  <si>
    <t>AimTechnology including artificial intelligence (AI) may play a key role to strengthen primary health care services in resource-poor settings. This systematic review aims to explore the evidence on the use of AI and digital health in improving primary health care service delivery.MethodsThree electronic databases were searched using a comprehensive search strategy without providing any restriction in June 2023. Retrieved articles were screened independently using the Rayyan software. Data extraction and quality assessment were conducted independently by two review authors. A narrative synthesis of the included interventions was conducted.ResultsA total of 4596 articles were screened, and finally, 48 articles were included from 21 different countries published between 2013 and 2021. The main focus of the included studies was noncommunicable diseases (n = 15), maternal and child health care (n = 11), primary care (n = 8), infectious diseases including tuberculosis, leprosy, and HIV (n = 7), and mental health (n = 6). Included studies considered interventions using AI, and digital health of which mobile-phone-based interventions were prominent. m-health interventions were well adopted and easy to use and improved the record-keeping, service deliver, and patient satisfaction.ConclusionAI and the application of digital technologies improve primary health care service delivery in resource-poor settings in various ways. However, in most of the cases, the application of AI and digital health is implemented through m-health. There is a great scope to conduct further research exploring the interventions on a large scale.</t>
  </si>
  <si>
    <t>[Saif-Ur-Rahman, K. M.] Univ Galway, Coll Med Nursing &amp; Hlth Sci, Galway, Ireland; [Saif-Ur-Rahman, K. M.] Univ Galway, Evidence Synth Ireland &amp; Cochrane Ireland, Galway, Ireland; [Saif-Ur-Rahman, K. M.] Int Ctr Diarrhoeal Dis Res, Hlth Syst &amp; Populat Studies Div, Dhaka, Bangladesh; [Islam, Md Shariful] Univ Queensland, Sch Publ Hlth, Brisbane, Qld, Australia; [Alaboson, Joan] Maynooth Univ, Dept Psychol, Kildare, Ireland; [Ola, Oluwadara] Sacred Heart Hosp, Abeokuta, Ogun State, Nigeria; [Hasan, Imran] Int Ctr Diarrhoeal Dis Res, Lab Sci &amp; Serv Div, Lab Gut Brain Signaling, Dhaka, Bangladesh; [Islam, Nazmul] McMaster Univ, Dept Hlth Res Methods Evidence &amp; Impact, Hamilton, ON, Canada; [Mainali, Shristi] Marie Stopes Int, Dept Operat, Kathmandu, Nepal; [Martina, Tina] Gen Hosp Haji Padjonga, South Sulawesi, Indonesia; [Silenga, Eva] Minist Hlth, Dept Mother &amp; Child Hlth, Lusaka, Zambia; [Muyangana, Mubita] Minist Hlth, Lewanika Sch Nursing &amp; Midwifery, Mongu, Zambia; [Joarder, Taufique] SingHlth Duke NUS Global Hlth Inst, Singapore, Singapore</t>
  </si>
  <si>
    <t>Ollscoil na Gaillimhe-University of Galway; Ollscoil na Gaillimhe-University of Galway; International Centre for Diarrhoeal Disease Research (ICDDR); University of Queensland; Maynooth University; International Centre for Diarrhoeal Disease Research (ICDDR); McMaster University</t>
  </si>
  <si>
    <t>Saif-Ur-Rahman, KM (corresponding author), Univ Galway, Coll Med Nursing &amp; Hlth Sci, Galway, Ireland.</t>
  </si>
  <si>
    <t>kmsaif-ur.rahman@universityofgalway.ie</t>
  </si>
  <si>
    <t>Saif-Ur-Rahman, K M/S-8863-2019</t>
  </si>
  <si>
    <t>Saif-Ur-Rahman, K M/0000-0001-8702-7094; Shariful Islam, Md/0000-0002-3015-0830</t>
  </si>
  <si>
    <t>Open access funding provided by IReL.</t>
  </si>
  <si>
    <t>1756-5383</t>
  </si>
  <si>
    <t>1756-5391</t>
  </si>
  <si>
    <t>J EVID-BASED MED</t>
  </si>
  <si>
    <t>J Evid.-Based Med.</t>
  </si>
  <si>
    <t>10.1111/jebm.12547</t>
  </si>
  <si>
    <t>Medicine, General &amp; Internal</t>
  </si>
  <si>
    <t>General &amp; Internal Medicine</t>
  </si>
  <si>
    <t>R1IH5</t>
  </si>
  <si>
    <t>WOS:001061942800001</t>
  </si>
  <si>
    <t>Zhou, L; Liu, XH; Yan, XL; Liu, YW; Xie, Y; Sun, CT</t>
  </si>
  <si>
    <t>Zhou, Le; Liu, Xinghui; Yan, Xiaoli; Liu, Yingwei; Xie, Yao; Sun, Chuntang</t>
  </si>
  <si>
    <t>Long-term effects of prenatal magnesium sulfate exposure on nervous system development in preterm-born children</t>
  </si>
  <si>
    <t>FOOD SCIENCE &amp; NUTRITION</t>
  </si>
  <si>
    <t>gray matter volume; magnesium sulfate; preterm birth; structural magnetic resonance imaging; voxel-based morphometry</t>
  </si>
  <si>
    <t>WHITE-MATTER; YOUNG-ADULTS; MORPHOMETRY; PREMATURE; AGE; CONNECTIONS; CORTEX</t>
  </si>
  <si>
    <t>This study used structural magnetic resonance imaging to analyze changes in the gray matter volume (GMV) of preterm-born (PTB) and term-born (TB) children to help elucidate the influence of magnesium sulfate treatment on the nervous system development. A total of 51 subjects were recruited, including 28 PTB and 23 TB children. The intelligence scale and MRI scan were completed at the corrected age of 10 to 16 years. A whole-brain voxel-wise analysis tested the main effect of the status (PTB without magnesium, PTB with magnesium, and TB) using a factorial design in SPM8. The mean volumes of the regions that showed significant group effects on the GMV after the FDR correction were extracted in the common space for each subject. Verbal and full-scale intelligence quotient scores were significantly lower for PTB children without magnesium than for TB children; however, the scores of PTB children with magnesium and TB children were almost identical. Compared with TB children, PTB children had significantly reduced left straight gyrus and left inferior frontal gyrus GMVs; however, the volumes of PTB children with magnesium were closer to those of TB children. Changes in the GMV of the left inferior frontal gyrus were significantly correlated with full-scale and verbal intelligence quotient scores, whereas the lower gestational age at the time of mgsou4 treatment led to a larger GMV of the left inferior frontal gyrus. Brain structural abnormalities could exist in PTB children. The GMVs of the left straight gyrus and left inferior frontal gyrus were significantly reduced in these children. The influence of magnesium sulfate treatment was not significant, but the cognitive levels of these children were significantly increased and almost identical to those of TB children. Initiation of magnesium sulfate treatment during gestation is negatively correlated with the left inferior frontal gyrus GMV.</t>
  </si>
  <si>
    <t>[Zhou, Le; Liu, Xinghui; Sun, Chuntang] West China Second Univ Hosp, Sichuan Univ, Obstet &amp; Gynecol Dept, Chengdu, Peoples R China; [Yan, Xiaoli] Army Med Univ, Obstet &amp; Gynecol Dept, Southwest Hosp, Chongqing, Peoples R China; [Liu, Yingwei] Chongqing Med Univ, Obstet &amp; Gynecol Dept, Affiliated Hosp 1, Chongqing, Peoples R China; [Xie, Yao] Sichuan Prov Peoples Hosp, Sichuan Acad Med Sci, Obstet &amp; Gynecol Dept, Chengdu, Peoples R China; [Sun, Chuntang] Sichuan Univ, West China Second Univ Hosp, Obstet &amp; Gynecol Dept, 17 Three Sect South Rd, Chengdu 610041, Peoples R China</t>
  </si>
  <si>
    <t>Sichuan University; Army Medical University; Chongqing Medical University; Sichuan Provincial People's Hospital; Sichuan University</t>
  </si>
  <si>
    <t>Sun, CT (corresponding author), Sichuan Univ, West China Second Univ Hosp, Obstet &amp; Gynecol Dept, 17 Three Sect South Rd, Chengdu 610041, Peoples R China.</t>
  </si>
  <si>
    <t>sunrise14@163.com</t>
  </si>
  <si>
    <t>We thank all the authors of the studies included. The corresponding author had full access to all data in the study and had final responsibility for the decision to submit it for publication.</t>
  </si>
  <si>
    <t>2048-7177</t>
  </si>
  <si>
    <t>FOOD SCI NUTR</t>
  </si>
  <si>
    <t>Food Sci. Nutr.</t>
  </si>
  <si>
    <t>10.1002/fsn3.3630</t>
  </si>
  <si>
    <t>R5RA6</t>
  </si>
  <si>
    <t>WOS:001064911600001</t>
  </si>
  <si>
    <t>Ma, GB; Chen, WX; Zhan, FJ; Xie, WJ; Chen, RW; Chen, H; Ye, WL; Jiang, Y; Xu, JP</t>
  </si>
  <si>
    <t>Ma, Guo-Bin; Chen, Wen-Xu; Zhan, Fang-Jie; Xie, Wen-Jing; Chen, Rong-Wei; Chen, Hong; Ye, Wei-Lin; Jiang, Yu; Xu, Jian-Ping</t>
  </si>
  <si>
    <t>Circ_0002295 facilitated myocardial fibrosis progression through the miR-1287/CXCR2 axis</t>
  </si>
  <si>
    <t>CLINICAL AND EXPERIMENTAL PHARMACOLOGY AND PHYSIOLOGY</t>
  </si>
  <si>
    <t>cardiac myofibroblasts; circ_0002295; CXCR2; miR-1287; myocardial fibrosis</t>
  </si>
  <si>
    <t>CARDIAC FIBROSIS; CIRCULAR RNAS; CHEMOKINES; MICRORNAS</t>
  </si>
  <si>
    <t>Myocardial fibrosis (MF) is involved in hypertension, myocardial infarction and heart failure. It has been reported that circular RNA (circRNA) is a key regulatory factor of MF progression. In this study, we revealed that circ_0002295 and CXCR2 were elevated, and miR-1287 was reduced in MF patients. Knockdown of circ_0002295 effectively suppressed the proliferation, migration and MF progression. Circ_0002295 was the molecular sponge of miR-12878, and miR-1287 inhibitor reversed the biological functions of circ_0002295 on the myocardial fibrosis. CXCR2 was a target gene of miR-1287, and CXCR2 silencing relieved the impacts of miR-1287 inhibitor on cardiac myofibroblasts. Circ_0002295 promoted MF progression by regulating the miR-1287/CXCR2 axis, providing a possible circRNA-targeted therapy for MF.</t>
  </si>
  <si>
    <t>[Ma, Guo-Bin] Fuzhou Second Hosp, Dept Cardiol, 47 Shang Teng Rd, Fuzhou 350007, Fujian, Peoples R China; [Chen, Wen-Xu; Zhan, Fang-Jie; Xie, Wen-Jing; Chen, Rong-Wei; Chen, Hong; Ye, Wei-Lin; Jiang, Yu] Fuzhou Second Hosp, Dept Clin Lab, 47 Shang Teng Rd, Fuzhou 350007, Fujian, Peoples R China; [Xu, Jian-Ping] Fujian Med Univ, Dept Clin Lab Med, 88 Jiao Tong Rd, Fuzhou 350004, Peoples R China</t>
  </si>
  <si>
    <t>Fujian Medical University</t>
  </si>
  <si>
    <t>Ma, GB (corresponding author), Fuzhou Second Hosp, Dept Cardiol, 47 Shang Teng Rd, Fuzhou 350007, Fujian, Peoples R China.;Jiang, Y (corresponding author), Fuzhou Second Hosp, Dept Clin Lab, 47 Shang Teng Rd, Fuzhou 350007, Fujian, Peoples R China.;Xu, JP (corresponding author), Fujian Med Univ, Dept Clin Lab Med, 88 Jiao Tong Rd, Fuzhou 350004, Peoples R China.</t>
  </si>
  <si>
    <t>xmg966833@163.com; 13809550951@139.com; jianpingxu65@yeah.net</t>
  </si>
  <si>
    <t>Fujian Provincial Natural Science Foundation</t>
  </si>
  <si>
    <t>0305-1870</t>
  </si>
  <si>
    <t>1440-1681</t>
  </si>
  <si>
    <t>CLIN EXP PHARMACOL P</t>
  </si>
  <si>
    <t>Clin. Exp. Pharmacol. Physiol.</t>
  </si>
  <si>
    <t>2023 SEP 9</t>
  </si>
  <si>
    <t>10.1111/1440-1681.13819</t>
  </si>
  <si>
    <t>Pharmacology &amp; Pharmacy; Physiology</t>
  </si>
  <si>
    <t>R4WU8</t>
  </si>
  <si>
    <t>WOS:001064376800001</t>
  </si>
  <si>
    <t>Mcnamara, K; Lund, M</t>
  </si>
  <si>
    <t>Mcnamara, Kathleen; Lund, Mary</t>
  </si>
  <si>
    <t>The future of parenting plan evaluations: A view from the trenches</t>
  </si>
  <si>
    <t>FAMILY COURT REVIEW</t>
  </si>
  <si>
    <t>child custody evaluation; family forensic evaluation; parenting plan evaluation</t>
  </si>
  <si>
    <t>As expectations rise for parenting plan evaluators to be well-trained, skilled, and knowledgeable in numerous subject areas, and scrutiny of evaluators' work intensifies, the pool of qualified evaluators is shrinking nationwide. The future of parenting plan evaluation as a forensic subspecialty relies upon the availability of competent and committed professionals to do this challenging work, yet few are entering the field. Five experienced parenting plan evaluators from various regions of the United States, including the authors, met for a roundtable discussion to ponder the future of parenting plan evaluations. The panel discussed what drew them to the work, their experiences in the trenches, and what has kept them committed to doing evaluations despite daunting challenges. Their views of the rewards and risks of doing the work, barriers and disincentives to newcomers entering the field, recommendations to new evaluators, and outlook for the future are presented. Parenting plan evaluation (PPE) is a well-established forensic subspecialty with rigorous expectations for training, skills, and knowledge. Scrutiny of the work can be high and professional risks daunting.Despite rising costs, the need for comprehensive PPEs that are well-rooted in science, scholarship, and the law continues for a relatively small portion of family law cases.Keeping costs down in order to adequately serve the number of children and families in need is a constant pressure on PPEs.Systemic disincentives and barriers for those who would otherwise enter the field are likely contributing to the dwindling pool of qualified evaluators rather than challenges of the work itself.Preparing and incentivizing experienced evaluators to serve as supervisors and consultants to new PPEs is much needed, along with triaging cases to match them with appropriate services. Effective and affordable alternatives to comprehensive PPEs are also needed.</t>
  </si>
  <si>
    <t>kathleenmcnamaraphd@gmail.com</t>
  </si>
  <si>
    <t>The authors gratefully acknowledge the contributions of Chioma Ajoku, JD, PhD, APBB, Christy Bradshaw Schmidt, MA, LPC, and Sol Rappaport, PhD, ABPP to this article.</t>
  </si>
  <si>
    <t>1531-2445</t>
  </si>
  <si>
    <t>1744-1617</t>
  </si>
  <si>
    <t>FAM COURT REV</t>
  </si>
  <si>
    <t>Fam. Court Rev.</t>
  </si>
  <si>
    <t>10.1111/fcre.12756</t>
  </si>
  <si>
    <t>Family Studies; Law</t>
  </si>
  <si>
    <t>Family Studies; Government &amp; Law</t>
  </si>
  <si>
    <t>R0OR2</t>
  </si>
  <si>
    <t>WOS:001061426600001</t>
  </si>
  <si>
    <t>Nazarov, A; Postnova, O; Scrimshaw, T</t>
  </si>
  <si>
    <t>Nazarov, Anton; Postnova, Olga; Scrimshaw, Travis</t>
  </si>
  <si>
    <t>Skew Howe duality and limit shapes of Young diagrams</t>
  </si>
  <si>
    <t>JOURNAL OF THE LONDON MATHEMATICAL SOCIETY-SECOND SERIES</t>
  </si>
  <si>
    <t>SCHENSTED-TYPE CORRESPONDENCE; CLASSICAL LIE-GROUPS; Q-ANALOG; SPINOR REPRESENTATIONS; SYMMETRICAL GROUP; HARMONIC-ANALYSIS; BRANCHING-RULES; VICIOUS WALKERS; ASYMPTOTICS; TABLEAUX</t>
  </si>
  <si>
    <t>We consider the skew Howe duality for the action of certain dual pairs of Lie groups (G1,G2)$(G_1, G_2)$ on the exterior algebra ⋀(Cn &amp; OTIMES;Ck)$\bigwedge (\mathbb {C}&lt;^&gt;{n} \otimes \mathbb {C}&lt;^&gt;{k})$ as a probability measure on Young diagrams by the decomposition into the sum of irreducible representations. We prove a combinatorial version of this skew Howe duality for the pairs (GLn,GLk)$(GL_{n}, GL_{k})$, (SO2n+1,Pin2k)$(SO_{2n+1}, \operatorname{Pin}_{2k})$, (Sp2n,Sp2k)$(Sp_{2n}, Sp_{2k})$, and (O2n,SOk)$(O_{2n}, SO_{k})$ using crystal bases, which allows us to interpret the skew Howe duality as a natural consequence of lattice paths on lozenge tilings of certain partial hexagonal domains. The G1$G_1$-representation multiplicity is given as a determinant formula using the Lindstrom-Gessel-Viennot lemma and as a product formula. These admit natural q$q$-analogs that we show equals the q$q$-dimension of a G2$G_2$-representation (up to an overall factor of q$q$), giving a refined version of the combinatorial skew Howe duality. Using these product formulas (at q=1$q =1$), we take the infinite rank limit and prove that the diagrams converge uniformly to the limit shape.</t>
  </si>
  <si>
    <t>[Nazarov, Anton] St Petersburg State Univ, Dept High Energy &amp; Elementary Particle Phys, Ulyanovskaya 1, St Petersburg 198504, Russia; [Nazarov, Anton] Yanqi Lake Beijing Inst Math Sci &amp; Applicat, 544 Hefangkou Village, Beijing 101408, Peoples R China; [Postnova, Olga] Russian Acad Sci, Steklov Math Inst, St Petersburg Dept, Lab Math Problems Phys, St Petersburg, Russia; [Scrimshaw, Travis] Univ Queensland, Sch Math &amp; Phys, St Lucia, Qld, Australia; [Scrimshaw, Travis] Univ Queensland, Sch Math &amp; Phys, St Lucia, Qld 4072, Australia; [Scrimshaw, Travis] Hokkaido Univ, Dept Math, 5 Chome Kita 8 Jonishi, Sapporo, Hokkaido 0600808, Japan</t>
  </si>
  <si>
    <t>Saint Petersburg State University; Russian Academy of Sciences; Steklov Mathematical Institute of the Russian Academy of Sciences; St. Petersburg Department of the Steklov Mathematical Institute of the Russian Academy of Sciences; St. Petersburg Scientific Centre of the Russian Academy of Sciences; University of Queensland; University of Queensland; Hokkaido University</t>
  </si>
  <si>
    <t>Scrimshaw, T (corresponding author), Univ Queensland, Sch Math &amp; Phys, St Lucia, Qld 4072, Australia.;Scrimshaw, T (corresponding author), Hokkaido Univ, Dept Math, 5 Chome Kita 8 Jonishi, Sapporo, Hokkaido 0600808, Japan.</t>
  </si>
  <si>
    <t>tcscrims@gmail.com</t>
  </si>
  <si>
    <t>Russian Science Foundation [21-11-00141]; JSPS Fellows [21F51028]; Osaka City University Advanced Mathematical Institute (MEXT Joint Usage/Research Center on Mathematics and Theoretical Physics) [JPMXP0619217849]</t>
  </si>
  <si>
    <t>Russian Science Foundation(Russian Science Foundation (RSF)); JSPS Fellows(Ministry of Education, Culture, Sports, Science and Technology, Japan (MEXT)Japan Society for the Promotion of Science); Osaka City University Advanced Mathematical Institute (MEXT Joint Usage/Research Center on Mathematics and Theoretical Physics)</t>
  </si>
  <si>
    <t>The work of A. Nazarov and O. Postnova is supported by the Russian Science Foundation under grant No. 21-11-00141 and T. Scrimshaw was partially supported by Grant-in-Aid for JSPS Fellows 21F51028. This work was partly supported by Osaka City University Advanced Mathematical Institute (MEXT Joint Usage/Research Center on Mathematics and Theoretical Physics JPMXP0619217849).</t>
  </si>
  <si>
    <t>0024-6107</t>
  </si>
  <si>
    <t>1469-7750</t>
  </si>
  <si>
    <t>J LOND MATH SOC</t>
  </si>
  <si>
    <t>J. Lond. Math. Soc.-Second Ser.</t>
  </si>
  <si>
    <t>10.1112/jlms.12813</t>
  </si>
  <si>
    <t>R0RS5</t>
  </si>
  <si>
    <t>Green Submitted, hybrid</t>
  </si>
  <si>
    <t>WOS:001061507100001</t>
  </si>
  <si>
    <t>Qu, CZ; Wu, ZW</t>
  </si>
  <si>
    <t>Qu, Changzheng; Wu, Zhiwei</t>
  </si>
  <si>
    <t>Geometrical correspondence of the Miura transformation induced from affine Kac-Moody algebras</t>
  </si>
  <si>
    <t>STUDIES IN APPLIED MATHEMATICS</t>
  </si>
  <si>
    <t>affine Kac-Moody algebra; integrable curve flow; integrable system; KdV equation; Miura transformation; modified KdV equation</t>
  </si>
  <si>
    <t>KORTEWEG-DE-VRIES; LIOUVILLE CORRESPONDENCE; DIFFERENTIAL INVARIANTS; INTEGRABLE EQUATIONS; CONSERVATION-LAWS; LIE-ALGEBRAS; MODIFIED KDV; OPERATORS; SURFACES; MOTIONS</t>
  </si>
  <si>
    <t>The Miura transformation plays a crucial role in the study of integrable systems. There have been various extensions of the Miura transformation, which have been used to relate different kinds of integrable equations and to classify the bi-Hamiltonian structures. In this paper, we are mainly concerned with the geometric aspects of the Miura transformation. The generalized Miura transformations from the mKdV-type hierarchies to the KdV-type hierarchies are constructed under both algebraic and geometric settings. It is shown that the Miura transformations not only relate integrable curve flows in different geometries but also induce the transition between different moving frames. Moreover, the Miura transformation gives the factorization of generating operators of constraint Gelfand-Dickey hierarchy. Other geometric formulations are also investigated.</t>
  </si>
  <si>
    <t>[Qu, Changzheng] Ningbo Univ, Sch Math &amp; Stat, Ningbo, Zhejiang, Peoples R China; [Wu, Zhiwei] Sun Yat Sen Univ, Sch Math Zhuhai, Zhuhai, Guangdong, Peoples R China; [Wu, Zhiwei] Sun Yat sen Univ, Sch Math Zhuhai, Zhuhai 519082, Guangdong, Peoples R China</t>
  </si>
  <si>
    <t>Ningbo University; Sun Yat Sen University; Sun Yat Sen University</t>
  </si>
  <si>
    <t>Wu, ZW (corresponding author), Sun Yat sen Univ, Sch Math Zhuhai, Zhuhai 519082, Guangdong, Peoples R China.</t>
  </si>
  <si>
    <t>wuzhiwei3@mail.sysu.edu.cn</t>
  </si>
  <si>
    <t>Wu, Zhiwei/0000-0003-4424-0025</t>
  </si>
  <si>
    <t>National Natural Science Foundation of China [11971251, 11631007, 12271535]; Basic and Applied Basic Research Foundation of Guangdong Province [2021A1515010234]</t>
  </si>
  <si>
    <t>National Natural Science Foundation of China(National Natural Science Foundation of China (NSFC)); Basic and Applied Basic Research Foundation of Guangdong Province</t>
  </si>
  <si>
    <t>National Natural Science Foundation of China, Grant/Award Numbers: 11971251, 11631007, 12271535; Basic and Applied Basic Research Foundation of Guangdong Province, Grant/Award Number: 2021A1515010234</t>
  </si>
  <si>
    <t>0022-2526</t>
  </si>
  <si>
    <t>1467-9590</t>
  </si>
  <si>
    <t>STUD APPL MATH</t>
  </si>
  <si>
    <t>Stud. Appl. Math.</t>
  </si>
  <si>
    <t>10.1111/sapm.12641</t>
  </si>
  <si>
    <t>R0OT2</t>
  </si>
  <si>
    <t>WOS:001061428900001</t>
  </si>
  <si>
    <t>Zhong, JM; Wang, QJ; Xie, YL; Niu, ZR; Zhou, DW</t>
  </si>
  <si>
    <t>Zhong, Jingmin; Wang, Qingjie; Xie, Yilin; Niu, Zhaorong; Zhou, Diwei</t>
  </si>
  <si>
    <t>Detection of mesenchymal chondrosarcoma in pleural effusion with immunocytochemistry and determination of HEY1::NCOA2 fusion by next-generation sequencing on cell block</t>
  </si>
  <si>
    <t>CYTOPATHOLOGY</t>
  </si>
  <si>
    <t>[Zhong, Jingmin; Wang, Qingjie; Xie, Yilin; Niu, Zhaorong; Zhou, Diwei] Huazhong Univ Sci &amp; Technol, Union Hosp, Tongji Med Coll, Pathol Dept, 1277 Jiefang Ave, Wuhan 430022, Hubei, Peoples R China</t>
  </si>
  <si>
    <t>Huazhong University of Science &amp; Technology</t>
  </si>
  <si>
    <t>Zhou, DW (corresponding author), Huazhong Univ Sci &amp; Technol, Union Hosp, Tongji Med Coll, Pathol Dept, 1277 Jiefang Ave, Wuhan 430022, Hubei, Peoples R China.</t>
  </si>
  <si>
    <t>969709180@qq.com</t>
  </si>
  <si>
    <t>zhong, jingmin/0000-0003-2853-7355</t>
  </si>
  <si>
    <t>0956-5507</t>
  </si>
  <si>
    <t>1365-2303</t>
  </si>
  <si>
    <t>Cytopathology</t>
  </si>
  <si>
    <t>10.1111/cyt.13296</t>
  </si>
  <si>
    <t>Cell Biology; Pathology</t>
  </si>
  <si>
    <t>R4WD6</t>
  </si>
  <si>
    <t>WOS:001064354600001</t>
  </si>
  <si>
    <t>Giorgi, M; Labanca, L; Centini, G; Lazzeri, L; Martire, FG; Sorrentino, E; Mancini, V; Raimondo, D; Raffone, A; Neola, D; Aru, AC; Habib, N; Casadio, P; Seracchioli, R; Zupi, E</t>
  </si>
  <si>
    <t>Giorgi, Matteo; Labanca, Luca; Centini, Gabriele; Lazzeri, Lucia; Martire, Francesco Giuseppe; Sorrentino, Ester; Mancini, Virginia; Raimondo, Diego; Raffone, Antonio; Neola, Daniele; Aru, Anna Chiara; Habib, Nassir; Casadio, Paolo; Seracchioli, Renato; Zupi, Errico</t>
  </si>
  <si>
    <t>Extrauterine adenomyoma: A case report and systematic review of the literature</t>
  </si>
  <si>
    <t>adenomyosis; diagnosis; endometriosis; extrauterine adenomyoma; management; oncology; uterine morcellation; uterus-like mass</t>
  </si>
  <si>
    <t>UTERUS-LIKE MASS; OVARIAN LIGAMENT ADENOMYOMA; POWER MORCELLATION; TRANSVAGINAL ULTRASOUND; ENDOMETRIAL CANCER; RARE ENTITY; DIAGNOSIS; FEATURES; ENDOMYOMETRIOSIS; PREVALENCE</t>
  </si>
  <si>
    <t>ObjectiveTo describe a case of extrauterine adenomyoma (EA) and review all the cases of EA in the literature.MethodsPubmed/MEDLINE, Embase, and Google Scholar from 1807 to December 2022. All studies reporting the histologic diagnosis of an EA. We collected the following data: patient's age, size and location of adenomyoma, presence of endometriosis and adenomyosis, past gynecologic treatment, symptoms, diagnostic imaging, surgical intervention, alternative/adjuvant treatment, associated malignancy, and follow up.ResultsSixty-seven studies with 85 patients were included. Pain was the most frequent symptom (69.5%). Among diagnostic examinations, ultrasonography was used in 60 out of 81 reported cases, with several radiologic features described. EA was located inside the pelvis in 77.6% of patients. Adnexa were the most frequent site of the disease (24, 28.2%). History of endometriosis or adenomyosis was described in 35 patients (35, 41.2%). Uterine tissue morcellation was reported in 6 of the 85 patients (7.1%). Associated malignancy was detected in 9 out of 85 patients with available data (10.6%). There were two recurrences of disease.ConclusionSpecific imaging features of EA are yet to be described in the literature. History of endometriosis and adenomyosis or uterine tissue morcellation may be suggestive of EA. Histologic examination can give a definitive diagnosis and exclude malignant transformation. Extrauterine adenomyoma is a rare disease with a challenging preoperative diagnosis due to its non-specific clinical characteristics.</t>
  </si>
  <si>
    <t>[Giorgi, Matteo; Centini, Gabriele; Lazzeri, Lucia; Martire, Francesco Giuseppe; Zupi, Errico] Univ Siena, Dept Mol &amp; Dev Med, Obstet &amp; Gynecol Clin, Siena, Italy; [Labanca, Luca] Valdarno Hosp, Dept Surg Sci, Gynecol Unit, Montevarchi, Italy; [Sorrentino, Ester; Mancini, Virginia] Univ Siena, Dept Med Biotechnol, Sect Pathol, Siena, Italy; [Raimondo, Diego; Raffone, Antonio; Casadio, Paolo; Seracchioli, Renato] IRCCS Azienda Osped Univ Bologna, Div Gynecol &amp; Human Reprod Physiopathol, Bologna, Italy; [Raffone, Antonio; Aru, Anna Chiara; Seracchioli, Renato] Univ Bologna, Dept Med &amp; Surg Sci, Bologna, Italy; [Neola, Daniele] Univ Naples Federico II, Sch Med, Dept Neurosci Reprod Sci &amp; Dent, Gynecol &amp; Obstet Unit, Naples, Italy; [Habib, Nassir] Univ Paris, Beaujon Hosp, Dept Obstet &amp; Gynecol, Paris, France; [Centini, Gabriele] Univ Siena, Dept Mol &amp; Dev Med, Viale Bracci 16, I-53100 Siena, Italy</t>
  </si>
  <si>
    <t>University of Siena; University of Siena; IRCCS Azienda Ospedaliero-Universitaria di Bologna; University of Bologna; University of Naples Federico II; UDICE-French Research Universities; Universite Paris Cite; Assistance Publique Hopitaux Paris (APHP); Hopital Universitaire Beaujon - APHP; University of Siena</t>
  </si>
  <si>
    <t>Centini, G (corresponding author), Univ Siena, Dept Mol &amp; Dev Med, Viale Bracci 16, I-53100 Siena, Italy.</t>
  </si>
  <si>
    <t>centini.gabriele@gmail.com</t>
  </si>
  <si>
    <t>Martire, Francesco/AAO-1710-2021; centini, gabriele/AAN-9888-2020</t>
  </si>
  <si>
    <t>Martire, Francesco/0000-0002-0756-535X; centini, gabriele/0000-0002-6113-7401; Raffone, Antonio/0000-0001-5443-2333; Giorgi, Matteo/0000-0002-7515-5782; Lazzeri, Lucia/0000-0002-9513-1980; Mancini, Virginia/0000-0002-4775-3777; LABANCA, LUCA/0000-0002-3532-406X; Raimondo, Diego/0000-0002-3235-4378; Sorrentino, Ester/0000-0002-7875-8685; NEOLA, DANIELE/0000-0001-6723-0415</t>
  </si>
  <si>
    <t>2023 SEP 8</t>
  </si>
  <si>
    <t>10.1002/ijgo.15049</t>
  </si>
  <si>
    <t>Q9UI2</t>
  </si>
  <si>
    <t>WOS:001060890700001</t>
  </si>
  <si>
    <t>Grant, MI; Kyne, PM; James, J; Hu, Y; Mukherji, S; Amepou, Y; Baje, L; Chin, A; Johnson, G; Lee, TG; Mahan, B; Wurster, C; White, WT; Simpfendorfer, CA</t>
  </si>
  <si>
    <t>Grant, Michael I.; Kyne, Peter M.; James, Julie; Hu, Yi; Mukherji, Sushmita; Amepou, Yolarnie; Baje, Leontine; Chin, Andrew; Johnson, Grant; Lee, Tegan; Mahan, Brandon; Wurster, Christopher; White, William T.; Simpfendorfer, Colin A.</t>
  </si>
  <si>
    <t>Elemental analysis of vertebrae discerns diadromous movements of threatened non-marine elasmobranchs</t>
  </si>
  <si>
    <t>JOURNAL OF FISH BIOLOGY</t>
  </si>
  <si>
    <t>habitat use; laser ablation inductively coupled plasma mass spectrometry; life history; microchemical analysis; river sharks; sawfish</t>
  </si>
  <si>
    <t>SHARK CARCHARHINUS-FALCIFORMIS; REPRODUCTIVE-BIOLOGY; OTOLITH CHEMISTRY; AGE; GROWTH; WATER; FISHES; LIMITATIONS; ASSUMPTIONS; HYPOTHESES</t>
  </si>
  <si>
    <t>River sharks (Glyphis spp.) and some sawfishes (Pristidae) inhabit riverine environments, although their long-term habitat use patterns are poorly known. We investigated the diadromous movements of the northern river shark (Glyphis garricki), speartooth shark (Glyphis glyphis), narrow sawfish (Anoxypristis cuspidata), and largetooth sawfish (Pristis pristis) using in situ laser ablation inductively coupled plasma mass spectrometry (LA-ICP-MS) on vertebrae to recover elemental ratios over each individual's lifetime. We also measured elemental ratios for the bull shark (Carcharhinus leucas) and a range of inshore and offshore stenohaline marine species to assist in interpretation of results. Barium (Ba) was found to be an effective indicator of freshwater use, whereas lithium (Li) and strontium (Sr) were effective indicators of marine water use. The relationships between Ba and Li and Ba and Sr were negatively correlated, whereas the relationship between Li and Sr was positively correlated. Both river shark species had elemental signatures indicative of prolonged use of upper-estuarine environments, whereas adults appear to mainly use lower-estuarine environments rather than marine environments. Decreases in Li:Ba and Sr:Ba at the end of the prenatal growth zone of P. pristis samples indicated that parturition likely occurs in fresh water. There was limited evidence of prolonged riverine habitat use for A. cuspidata. The results of this study support elemental-environment relationships observed in teleost otoliths and indicate that in situ LA-ICP-MS elemental characterization is applicable to a wide range of elasmobranch species as a discriminator for use and movement across salinity gradients. A greater understanding of processes that lead to element incorporation in vertebrae, and relative concentrations in vertebrae with respect to the ambient environment, will improve the applicability of elemental analysis to understand movements across the life history of elasmobranchs into the future.</t>
  </si>
  <si>
    <t>[Grant, Michael I.; Chin, Andrew; Simpfendorfer, Colin A.] James Cook Univ, Ctr Sustainable Trop Fisheries &amp; Aquaculture, Townsville, Qld, Australia; [Grant, Michael I.; Chin, Andrew; Simpfendorfer, Colin A.] James Cook Univ, Coll Sci &amp; Engn, Townsville, Qld, Australia; [Grant, Michael I.; Amepou, Yolarnie] Natl Res Inst, Piku Biodivers Network, Port Moresby, Papua N Guinea; [Kyne, Peter M.] Charles Darwin Univ, Res Inst Environm &amp; Livelihoods, Darwin, NT, Australia; [James, Julie; Wurster, Christopher] James Cook Univ, Coll Sci &amp; Engn, ARC Ctr Excellence Australian Biodivers &amp; Heritage, Cairns, Qld, Australia; [Hu, Yi] James Cook Univ, Adv Analyt Ctr, Townsville, Qld, Australia; [Mukherji, Sushmita] Univ Tasmania, Inst Marine &amp; Antarctic Studies, Hobart, Tas, Australia; [Baje, Leontine] Natl Ocean Resource Management Author, Palikir, Pohnpei State, Micronesia; [Johnson, Grant] Northern Terr Dept Ind Tourism &amp; Trade, Fisheries Div, Berrimah, NT, Australia; [Lee, Tegan] Murdoch Univ, Harry Butler Inst, Ctr Sustainable Aquat Ecosyst, Perth, WA, Australia; [Mahan, Brandon] James Cook Univ, IsoTrop Geochem Lab, Townsville, Qld, Australia; [White, William T.] CSIRO Oceans &amp; Atmosphere, Hobart, Tas, Australia; [White, William T.] CSIRO Natl Res Collect Australia, Australian Natl Fish Collect, Hobart, Tas, Australia</t>
  </si>
  <si>
    <t>James Cook University; James Cook University; Charles Darwin University; James Cook University; James Cook University; University of Tasmania; Murdoch University; James Cook University; Commonwealth Scientific &amp; Industrial Research Organisation (CSIRO); Commonwealth Scientific &amp; Industrial Research Organisation (CSIRO)</t>
  </si>
  <si>
    <t>Grant, MI (corresponding author), James Cook Univ, Ctr Sustainable Trop Fisheries &amp; Aquaculture, Townsville, Qld, Australia.;Grant, MI (corresponding author), James Cook Univ, Coll Sci &amp; Engn, Townsville, Qld, Australia.</t>
  </si>
  <si>
    <t>michael.grant4@jcu.edu.au</t>
  </si>
  <si>
    <t>Kyne, Peter/0000-0003-4494-2625; Grant, Michael/0000-0002-6127-8968</t>
  </si>
  <si>
    <t>James Cook University; Save Our Seas Foundation [388]</t>
  </si>
  <si>
    <t>James Cook University; Save Our Seas Foundation</t>
  </si>
  <si>
    <t>James Cook University; Save Our Seas Foundation, Grant/Award Number: 388</t>
  </si>
  <si>
    <t>0022-1112</t>
  </si>
  <si>
    <t>1095-8649</t>
  </si>
  <si>
    <t>J FISH BIOL</t>
  </si>
  <si>
    <t>J. Fish Biol.</t>
  </si>
  <si>
    <t>10.1111/jfb.15537</t>
  </si>
  <si>
    <t>Fisheries; Marine &amp; Freshwater Biology</t>
  </si>
  <si>
    <t>R4JA8</t>
  </si>
  <si>
    <t>WOS:001064013600001</t>
  </si>
  <si>
    <t>Ihsanullah, I; Bilal, M; Khan, MT</t>
  </si>
  <si>
    <t>Ihsanullah, I.; Bilal, Muhammad; Khan, Muhammad Tariq</t>
  </si>
  <si>
    <t>Harnessing Nanomaterials for Enhanced Biohydrogen Generation from Wastewater</t>
  </si>
  <si>
    <t>CHEMISTRY-AN ASIAN JOURNAL</t>
  </si>
  <si>
    <t>Green fuel; Biohydrogen; Nanomaterials; Wastewater; Renewable Energy</t>
  </si>
  <si>
    <t>FERMENTATIVE HYDROGEN-PRODUCTION; OIL MILL EFFLUENT; OXIDE NANOPARTICLES; NICKEL NANOPARTICLES; INDUSTRIAL; HEMATITE; BACTERIA; IRON; NANOCOMPOSITE; TECHNOLOGIES</t>
  </si>
  <si>
    <t>Biohydrogen is considered a green fuel due to its eco-friendly nature since it only produces water and energy on combustion. However, their lower yield and production rate is one of the foremost challenges that need an instant sustainable approach. The use of nanotechnology is a potential approach for the enhanced generation of biohydrogen, owing to the significant characteristics of the nanomaterials such as greater specificity, high surface-area-to-volume ratio, better reactivity and dispersibility, enhanced catalytic activity, superb selectivity, greater electron transfer, and better anaerobic microbiota activity. This article explores the recent trends and innovations in the production of biohydrogen from wastewater through the applications of different nanomaterials. The potential of various nanomaterials employed for biohydrogen production from wastewater is evaluated and the impacts of important parameters such as the concentration and size of the nanomaterials, temperature, and pH on the production and yield of biohydrogen are explained in detail. Several pathways involved in the mechanistic approach of biohydrogen generation from wastewater are critically assessed. Lastly, numerous technological challenges are highlighted and recommendations regarding future research are also provided. The present review describes an overview of the role of nanomaterials in biohydrogen production from wastewater.image</t>
  </si>
  <si>
    <t>[Ihsanullah, I.] Univ Sharjah, Coll Engn, Chem &amp; Water Desalinat Engn Program, Sharjah 27272, U Arab Emirates; [Bilal, Muhammad] Univ Engn &amp; Technol, Dept Chem Engn, Peshawar 25120, Pakistan; [Khan, Muhammad Tariq] Educ Univ Hong Kong, Dept Sci &amp; Environm Studies, Tai Po, Hong Kong, Peoples R China</t>
  </si>
  <si>
    <t>University of Sharjah; University of Engineering &amp; Technology Peshawar; Education University of Hong Kong (EdUHK)</t>
  </si>
  <si>
    <t>Ihsanullah, I (corresponding author), Univ Sharjah, Coll Engn, Chem &amp; Water Desalinat Engn Program, Sharjah 27272, U Arab Emirates.</t>
  </si>
  <si>
    <t>engr.ihsan.dir@gmail.com</t>
  </si>
  <si>
    <t>Ihsanullah, Ihsanullah/B-6245-2016</t>
  </si>
  <si>
    <t>Ihsanullah, Ihsanullah/0000-0003-1249-6210</t>
  </si>
  <si>
    <t>1861-4728</t>
  </si>
  <si>
    <t>1861-471X</t>
  </si>
  <si>
    <t>CHEM-ASIAN J</t>
  </si>
  <si>
    <t>Chem.-Asian J.</t>
  </si>
  <si>
    <t>10.1002/asia.202300618</t>
  </si>
  <si>
    <t>Q9US9</t>
  </si>
  <si>
    <t>WOS:001060901400001</t>
  </si>
  <si>
    <t>Joo, HJ; Choi, DG</t>
  </si>
  <si>
    <t>Joo, Hye Jun; Choi, Dong Gyu</t>
  </si>
  <si>
    <t>Analysis of postoperative exodrift according to surgical methods for intermittent exotropia</t>
  </si>
  <si>
    <t>ACTA OPHTHALMOLOGICA</t>
  </si>
  <si>
    <t>exodrift; exodrift stabilization; intermittent exotropia; surgical outcome</t>
  </si>
  <si>
    <t>LATERAL RECTUS RECESSION; PROGNOSTIC-FACTORS; RESECT PROCEDURE; SURGERY; RECURRENCE; ALIGNMENT; MANAGEMENT</t>
  </si>
  <si>
    <t>Purpose This study aimed to compare the periods for exodrift stabilization and the long-term surgical outcomes among different surgical methods in intermittent exotropia.MethodsThe medical records of 350 patients who had undergone intermittent exotropia correcting surgery [unilateral lateral rectus recession-medial rectus resection (R &amp; R, n = 221), bilateral lateral rectus recession (BLR, n = 51) and unilateral lateral rectus recession (ULR, n = 78)] with a postoperative follow-up period of 1.5 years or more were retrospectively reviewed. The deviation angles every 6 months after surgery, periods of exodrift stabilization and surgical outcomes were analysed. The period of postoperative exodrift stabilization was defined as when exodrift was no longer significantly different from that at the next visit (p &gt; 0.05). An alignment of 5 PD (prism diopters) esotropia to 10 PD exotropia at a distance and near fixation was considered surgical success.Results The mean angle of exodeviation was significantly different among surgical procedures at postoperative 1 month (BLR &gt; ULR &gt; R &amp; R, p &lt; 0.001); however, there were no differences among the procedures at 6 months (p = 0.088). The periods of exodrift stabilization were 6 months after ULR, 1 year after BLR and 4.5 years after R &amp; R. The surgical success and reoperation rates did not show significant differences among procedures at the final follow-up.Conclusion Patients undergoing R &amp; R showed smaller exodeviation shortly after surgery but required a longer period to stabilize the exodrift. Following ULR, exodeviation was larger in the early postoperative period, but the exodrift was stabilized earlier. Therefore, the long-term surgical outcomes were similar among ULR, BLR and R &amp; R.</t>
  </si>
  <si>
    <t>[Joo, Hye Jun; Choi, Dong Gyu] Hallym Univ, Coll Med, Kangnam Sacred Heart Hosp, Dept Ophthalmol, Seoul, South Korea; [Choi, Dong Gyu] Hallym Univ Coll Med, Kangnam Sacred Heart Hosp, Dept Ophthalmol, 948-1 Daerim1-dong, Seoul 150950, South Korea</t>
  </si>
  <si>
    <t>Hallym University; Hallym University</t>
  </si>
  <si>
    <t>Choi, DG (corresponding author), Hallym Univ Coll Med, Kangnam Sacred Heart Hosp, Dept Ophthalmol, 948-1 Daerim1-dong, Seoul 150950, South Korea.</t>
  </si>
  <si>
    <t>eyechoi@hallym.or.kr</t>
  </si>
  <si>
    <t>The authors have no acknowledgements to declare.</t>
  </si>
  <si>
    <t>1755-375X</t>
  </si>
  <si>
    <t>1755-3768</t>
  </si>
  <si>
    <t>ACTA OPHTHALMOL</t>
  </si>
  <si>
    <t>Acta Ophthalmol.</t>
  </si>
  <si>
    <t>10.1111/aos.15757</t>
  </si>
  <si>
    <t>Ophthalmology</t>
  </si>
  <si>
    <t>R4VA1</t>
  </si>
  <si>
    <t>WOS:001064325100001</t>
  </si>
  <si>
    <t>Li, C; Chen, X; Huang, C; Cheng, S; Xu, SQ; Jiang, YA; Zhang, PC; Chen, W</t>
  </si>
  <si>
    <t>Li, Chen; Chen, Xiao; Huang, Cheng; Cheng, Sha; Xu, Shiqing; Jiang, Yanan; Zhang, Pengchao; Chen, Wen</t>
  </si>
  <si>
    <t>Development of Mixed Matrix Membranes with Penetrating Subnanochannels for Efficient Molecule/Ion Separation</t>
  </si>
  <si>
    <t>CHEMNANOMAT</t>
  </si>
  <si>
    <t>mixed matrix membrane; penetrating subnanochannels; nanoporous materials; molecule/ion separation</t>
  </si>
  <si>
    <t>ORGANIC FRAMEWORK; CRYSTAL-STRUCTURE; ION CONDUCTION; CO2 CAPTURE; PERMEATION; POLYMERS</t>
  </si>
  <si>
    <t>Membrane-based separation technologies are becoming increasingly prominent in many important industrial separation applications. In the past decade, nanoporous materials, as promising filler components for high-performance mixed matrix membranes (MMMs), have seen a boom given the merits of remarkable chemical and structural variability. However, it remains challenging to address the trade-off effect of MMMs between molecular/ionic selectivity and permeability. Biological ion channels that penetrate through cell membranes have provided new insights for the construction of novel structures of MMMs. In recent years, MMMs with cell membrane-like structures have gained much attention and achieved significant progress in the field of separation. In this minireview, recent advances in the design and construction of MMMs with penetrating subnanochannels are summarized. After that, the applications of these MMMs with penetrating subnanochannels in gas separation and ion sieving are highlighted and discussed in detail. Finally, the future developments and challenges for the MMMs with penetrating subnanochannels are prospected. Cell membranes with penetrating ion channels have unique pathways for efficient transportation of molecules and ions, providing an excellent model for the construction of high-performance mixed matrix membranes (MMMs). In this minireview, recent advances in the design and construction of MMMs with penetrating subnanochannels as well as their applications in gas separation and ion sieving are discussed in detail.image</t>
  </si>
  <si>
    <t>[Li, Chen; Zhang, Pengchao] Wuhan Univ Technol Xiangyang Demonstrat Zone, Hubei Longzhong Lab, Xiangyang 441000, Peoples R China; [Li, Chen; Chen, Xiao; Huang, Cheng; Cheng, Sha; Xu, Shiqing; Zhang, Pengchao; Chen, Wen] Wuhan Univ Technol, Sch Mat Sci &amp; Engn, State Key Lab Adv Technol Mat Synth &amp; Proc, Wuhan 430070, Peoples R China; [Jiang, Yanan] Beijing Normal Univ, Coll Chem, Beijing 100875, Peoples R China; [Zhang, Pengchao] Wuhan Univ Technol, Sanya Sci &amp; Educ Innovat Pk, Sanya 572024, Peoples R China</t>
  </si>
  <si>
    <t>Wuhan University of Technology; Beijing Normal University; Wuhan University of Technology</t>
  </si>
  <si>
    <t>Zhang, PC (corresponding author), Wuhan Univ Technol Xiangyang Demonstrat Zone, Hubei Longzhong Lab, Xiangyang 441000, Peoples R China.;Zhang, PC (corresponding author), Wuhan Univ Technol, Sch Mat Sci &amp; Engn, State Key Lab Adv Technol Mat Synth &amp; Proc, Wuhan 430070, Peoples R China.;Jiang, YA (corresponding author), Beijing Normal Univ, Coll Chem, Beijing 100875, Peoples R China.;Zhang, PC (corresponding author), Wuhan Univ Technol, Sanya Sci &amp; Educ Innovat Pk, Sanya 572024, Peoples R China.</t>
  </si>
  <si>
    <t>yananjiang@bnu.edu.cn; pczhang@whut.edu.cn</t>
  </si>
  <si>
    <t>Jiang, Yanan/IWM-0686-2023</t>
  </si>
  <si>
    <t>Jiang, Yanan/0000-0002-4335-1383</t>
  </si>
  <si>
    <t>National key Research and Development Program of China [2021YFA0715700]; National Natural Science Foundation of China [22202157, 22174146]; Independent Innovation Projects of the Hubei Longzhong Laboratory [2022ZZ-34]; Fundamental Research Funds for the Central Universities [BNU: 310421126]</t>
  </si>
  <si>
    <t>National key Research and Development Program of China; National Natural Science Foundation of China(National Natural Science Foundation of China (NSFC)); Independent Innovation Projects of the Hubei Longzhong Laboratory; Fundamental Research Funds for the Central Universities(Fundamental Research Funds for the Central Universities)</t>
  </si>
  <si>
    <t>C. Li and X. Chen contributed equally to this work. This work was supported by the National key Research and Development Program of China (2021YFA0715700), the National Natural Science Foundation of China (22202157 and 22174146), Independent Innovation Projects of the Hubei Longzhong Laboratory (2022ZZ-34), and the Fundamental Research Funds for the Central Universities (BNU: 310421126).</t>
  </si>
  <si>
    <t>2199-692X</t>
  </si>
  <si>
    <t>ChemNanoMat</t>
  </si>
  <si>
    <t>10.1002/cnma.202300224</t>
  </si>
  <si>
    <t>Q9AX0</t>
  </si>
  <si>
    <t>WOS:001060382900001</t>
  </si>
  <si>
    <t>Liu, BF; Wang, YY; Wu, WP</t>
  </si>
  <si>
    <t>Liu, Bingfei; Wang, Yuyang; Wu, Wenping</t>
  </si>
  <si>
    <t>Effects of Thermal Cycling and Porosity on Phase Transformation of Porous Nanocrystalline NiTi Shape Memory Alloy: An Atomistic Simulation</t>
  </si>
  <si>
    <t>molecular dynamics simulation; nanocrystalline NiTi shape memory alloys (SMAs); phase transformation; porosity; thermal cycling</t>
  </si>
  <si>
    <t>MARTENSITIC-TRANSFORMATION; MOLECULAR-DYNAMICS; MICROSTRUCTURE; SUPERELASTICITY; CONSTRUCTION; EVOLUTION; BEHAVIOR; WIRE</t>
  </si>
  <si>
    <t>Herein, the effects of thermal cycling and porosity on the martensitic phase transformation behavior of porous nanocrystalline (NC) NiTi shape memory alloys (SMAs) at the atomic scale are investigated by molecular dynamics simulation. The simulation results show that thermal cycling causes the NC NiTi SMAs to repeatedly undergo martensitic phase transformation and inverse phase transformation processes. The martensitic phase transformation capability is suppressed with increasing porosity and number of cycles, but the suppression effect of thermal cycling is weakened with increasing porosity. Moreover, the start temperature of martensitic transformation, residual martensitic phase, and the fraction of interstitial atoms increase with increasing porosity. Thermal cycling causes the disordered structures and shear plastic deformation to accumulate as cycling increases. Recoverable shear deformation is generated within the grain, but shear plastic deformation is mainly concentrated at both grain boundaries and pore surfaces. Residual martensitic phase increases after thermal cycling. These results provide important explanations and references for a deeper understanding of phase transformation behavior and pore effects caused by thermal cycling. Effects of thermal cycling and porosity on phase transformation of porous nanocrystalline NiTi shape memory alloys are studied using molecular dynamics simulations. The temperature-induced martensitic phase transformation behavior under thermal cycling is investigated at the atomic scale. The average atomic volume, atomic structure, phase fraction, and shear strain distribution during thermal cycling are analyzed.image &amp; COPY; 2023 WILEY-VCH GmbH</t>
  </si>
  <si>
    <t>[Liu, Bingfei; Wang, Yuyang] Civil Aviat Univ China, Aviat Engn Inst, Tianjin 300300, Peoples R China; [Wu, Wenping] Wuhan Univ, Sch Civil Engn, Dept Engn Mech, Wuhan 430072, Peoples R China; [Wu, Wenping] Wuhan Univ, Shenzhen Res Inst, Shenzhen 518063, Peoples R China</t>
  </si>
  <si>
    <t>Civil Aviation University of China; Wuhan University; Wuhan University</t>
  </si>
  <si>
    <t>Wu, WP (corresponding author), Wuhan Univ, Sch Civil Engn, Dept Engn Mech, Wuhan 430072, Peoples R China.;Wu, WP (corresponding author), Wuhan Univ, Shenzhen Res Inst, Shenzhen 518063, Peoples R China.</t>
  </si>
  <si>
    <t>wpwu@whu.edu.cn</t>
  </si>
  <si>
    <t>National Natural Science Foundation of China [12172259]; Guangdong Basic and Applied Basic Research Foundation [2023A1515012745]; Natural Science Foundation of Tianjin [21JCYBJC00750]; Fundamental Research Funds for the Central Universities of China [3122023PY08]; Tianjin Research Innovation Project for Postgraduate Students [2021YJS080]</t>
  </si>
  <si>
    <t>National Natural Science Foundation of China(National Natural Science Foundation of China (NSFC)); Guangdong Basic and Applied Basic Research Foundation; Natural Science Foundation of Tianjin(Natural Science Foundation of Tianjin); Fundamental Research Funds for the Central Universities of China(Fundamental Research Funds for the Central Universities); Tianjin Research Innovation Project for Postgraduate Students</t>
  </si>
  <si>
    <t>The authors acknowledge the financial support provided by the National Natural Science Foundation of China (grant no. 12172259), Guangdong Basic and Applied Basic Research Foundation (grant no. 2023A1515012745), Natural Science Foundation of Tianjin (grant no. 21JCYBJC00750), the Fundamental Research Funds for the Central Universities of China (grant no. 3122023PY08), and Tianjin Research Innovation Project for Postgraduate Students (grant no. 2021YJS080).</t>
  </si>
  <si>
    <t>10.1002/adem.202301019</t>
  </si>
  <si>
    <t>Q9AO6</t>
  </si>
  <si>
    <t>WOS:001060374500001</t>
  </si>
  <si>
    <t>Lyell, D; Magrabi, F</t>
  </si>
  <si>
    <t>Lyell, David; Magrabi, Farah</t>
  </si>
  <si>
    <t>Artificial intelligence in medicine: has the time come to hang up the stethoscope?</t>
  </si>
  <si>
    <t>INTERNAL MEDICINE JOURNAL</t>
  </si>
  <si>
    <t>artificial intelligence; machine learning; software; medical device; clinical decision support systems; human factors and ergonomics</t>
  </si>
  <si>
    <t>The question of whether the time has come to hang up the stethoscope is bound up in the promises of artificial intelligence (AI), promises that have so far proven difficult to deliver, perhaps because of the mismatch between the technical capability of AI and its use in real-world clinical settings. This perspective argues that it is time to move away from discussing the generalised promise of disembodied AI and focus on specifics. We need to focus on how the computational method underlying AI, i.e. machine learning (ML), is embedded into tools, how those tools contribute to clinical tasks and decisions and to what extent they can be relied on. Accordingly, we pose four questions that must be asked to make the discussion real and to understand how ML tools contribute to health care: (1) What does the ML algorithm do? (2) How is output of the ML algorithm used in clinical tools? (3) What does the ML tool contribute to clinical tasks or decisions? (4) Can clinicians act or rely on the ML tool? Two exemplar ML tools are examined to show how these questions can be used to better understand the role of ML in supporting clinical tasks and decisions. Ultimately, ML is just a fancy method of automation. We show that it is useful in automating specific and narrowly defined clinical tasks but likely incapable of automating the full gamut of decisions and tasks performed by clinicians.</t>
  </si>
  <si>
    <t>[Lyell, David; Magrabi, Farah] Macquarie Univ, Australian Inst Hlth Innovat, Ctr Hlth Informat, Sydney, NSW, Australia; [Lyell, David] Macquarie Univ, Australian Inst Hlth Innovat, Ctr Hlth Informat, N Ryde, NSW 2109, Australia</t>
  </si>
  <si>
    <t>Macquarie University; Macquarie University</t>
  </si>
  <si>
    <t>Lyell, D (corresponding author), Macquarie Univ, Australian Inst Hlth Innovat, Ctr Hlth Informat, N Ryde, NSW 2109, Australia.</t>
  </si>
  <si>
    <t>david.lyell@mq.edu.au</t>
  </si>
  <si>
    <t>Magrabi, Farah/0000-0002-8426-5588</t>
  </si>
  <si>
    <t>The authors wish to acknowledge the contribution of Kalissa Brooke-Cowden who assisted with proofing and editing this manuscript. Open access publishing facilitated by Macquarie University, as part of the Wiley - Macquarie University agreement via the Coun; Macquarie University, as part of the Wiley - Macquarie University agreement via the Council of Australian University Librarians</t>
  </si>
  <si>
    <t>The authors wish to acknowledge the contribution of Kalissa Brooke-Cowden who assisted with proofing and editing this manuscript. Open access publishing facilitated by Macquarie University, as part of the Wiley - Macquarie University agreement via the Council of Australian University Librarians.</t>
  </si>
  <si>
    <t>1444-0903</t>
  </si>
  <si>
    <t>1445-5994</t>
  </si>
  <si>
    <t>INTERN MED J</t>
  </si>
  <si>
    <t>Intern. Med. J.</t>
  </si>
  <si>
    <t>10.1111/imj.16216</t>
  </si>
  <si>
    <t>Q9JC6</t>
  </si>
  <si>
    <t>WOS:001060597400001</t>
  </si>
  <si>
    <t>Matias, AA; D'Agata, MN</t>
  </si>
  <si>
    <t>Matias, Alexs A.; D'Agata, Michele N.</t>
  </si>
  <si>
    <t>Exercise training in muscular dystrophies: is there room for hot, new and complimentary therapies?</t>
  </si>
  <si>
    <t>JOURNAL OF PHYSIOLOGY-LONDON</t>
  </si>
  <si>
    <t>Duchenne muscular dystrophy; heat therapy; HIIT; mitochondria; vascular function</t>
  </si>
  <si>
    <t>[Matias, Alexs A.; D'Agata, Michele N.] Univ Delaware, Dept Kinesiol &amp; Appl Physiol, Newark, DE 19716 USA</t>
  </si>
  <si>
    <t>University of Delaware</t>
  </si>
  <si>
    <t>Matias, AA (corresponding author), Univ Delaware, Dept Kinesiol &amp; Appl Physiol, Newark, DE 19716 USA.</t>
  </si>
  <si>
    <t>amatias@udel.edu</t>
  </si>
  <si>
    <t>D'Agata, Michele/0000-0002-6166-9627</t>
  </si>
  <si>
    <t>The authors would like to acknowledge Dr Melissa Witman for her valued assistance in editing the final version of this manuscript.</t>
  </si>
  <si>
    <t>0022-3751</t>
  </si>
  <si>
    <t>1469-7793</t>
  </si>
  <si>
    <t>J PHYSIOL-LONDON</t>
  </si>
  <si>
    <t>J. Physiol.-London</t>
  </si>
  <si>
    <t>10.1113/JP285258</t>
  </si>
  <si>
    <t>Neurosciences; Physiology</t>
  </si>
  <si>
    <t>Neurosciences &amp; Neurology; Physiology</t>
  </si>
  <si>
    <t>R4KE4</t>
  </si>
  <si>
    <t>WOS:001064043300001</t>
  </si>
  <si>
    <t>Mygind, JBV; Pedersen, JB; Li, K; Deissler, NH; Saccoccio, M; Fu, XB; Li, SF; Sazinas, R; Andersen, SZ; Enemark-Rasmussen, K; Vesborg, PCK; Doganli-Kibsgaard, J; Chorkendorff, I</t>
  </si>
  <si>
    <t>Mygind, Jon Bjarke Valbaek; Pedersen, Jakob B.; Li, Katja; Deissler, Niklas H.; Saccoccio, Mattia; Fu, Xianbiao; Li, Shaofeng; Sazinas, Rokas; Andersen, Suzanne Z.; Enemark-Rasmussen, Kasper; Vesborg, Peter C. K.; Doganli-Kibsgaard, Jakob; Chorkendorff, Ib</t>
  </si>
  <si>
    <t>Is Ethanol Essential for the Lithium-Mediated Nitrogen Reduction Reaction?</t>
  </si>
  <si>
    <t>CHEMSUSCHEM</t>
  </si>
  <si>
    <t>ammonia synthesis; electrochemistry; lithium; organic electrolyte electrolysis; solid-electrolyte interphase</t>
  </si>
  <si>
    <t>PROPYLENE CARBONATE; AMMONIA-SYNTHESIS; EFFICIENCY</t>
  </si>
  <si>
    <t>The lithium-mediated nitrogen reduction reaction (Li-NRR) is a promising method for decentralized ammonia synthesis using renewable energy. An organic electrolyte is utilized to combat the competing hydrogen evolution reaction, and lithium is plated to activate the inert N2 molecule. Ethanol is commonly used as a proton shuttle to provide hydrogen to the activated nitrogen. In this study, we investigate the role of ethanol as a proton shuttle in an electrolyte containing tetrahydrofuran and 0.2 M lithium perchlorate. Particularly designed electrochemical experiments show that ethanol is necessary for a good solid-electrolyte interphase but not for the synthesis of ammonia. In addition, electrochemical quartz crystal microbalance (EQCM) demonstrates that the SEI formation at the onset of lithium plating is of specific importance. Chemical batch synthesis of ammonia combined with real-time mass spectrometry confirms that protons can be shuttled from the anode to the cathode by other species even without ethanol. Moreover, it raises questions regarding the electrochemical nature of Li-NRR. Finally, we discuss electrolyte stability and electrochemical electrode potentials, highlighting the role of ethanol on electrolyte degradation. The crucial ethanol-formed solid-electrolyte interphase (SEI) in Li-nitrogen reduction reaction (NRR) enables ammonia synthesis, even in an ethanol-free electrolyte. The role of ethanol goes beyond acting as a proton shuttle; it facilitates a good SEI and participates in electrolyte transformations.image</t>
  </si>
  <si>
    <t>[Mygind, Jon Bjarke Valbaek; Pedersen, Jakob B.; Li, Katja; Deissler, Niklas H.; Saccoccio, Mattia; Fu, Xianbiao; Li, Shaofeng; Sazinas, Rokas; Andersen, Suzanne Z.; Vesborg, Peter C. K.; Doganli-Kibsgaard, Jakob; Chorkendorff, Ib] Tech Univ Denmark, Dept Phys, DK-2800 Lyngby, Denmark; [Enemark-Rasmussen, Kasper] Tech Univ Denmark, Dept Chem, Lyngby, Denmark</t>
  </si>
  <si>
    <t>Technical University of Denmark; Technical University of Denmark</t>
  </si>
  <si>
    <t>Chorkendorff, I (corresponding author), Tech Univ Denmark, Dept Phys, DK-2800 Lyngby, Denmark.</t>
  </si>
  <si>
    <t>ibchork@fysik.dtu.dk</t>
  </si>
  <si>
    <t>Saccoccio, Mattia/J-4904-2015; Li, Shaofeng/AAS-2477-2020; Chorkendorff, Ib/C-7282-2008</t>
  </si>
  <si>
    <t>Saccoccio, Mattia/0000-0002-5365-3158; Li, Shaofeng/0000-0002-9500-2636; Chorkendorff, Ib/0000-0003-2738-0325; Deissler, Niklas Henrik/0000-0001-9117-5030; Enemark-Rasmussen, Kasper/0000-0001-7455-7512; Andersen, Suzanne/0000-0003-2681-7978; Fu, Xianbiao/0000-0001-5172-3354; Mygind, Jon Bjarke Valbaek/0000-0003-2032-4152; Bruun Pedersen, Jakob/0000-0002-4825-3221; Li, Katja/0000-0002-3165-1098; Sazinas, Rokas/0000-0002-4422-890X</t>
  </si>
  <si>
    <t>We would like to express our sincere gratitude to Peter Benedek from the Department of Chemical Engineering and SUNCAT Center for Interface Science and Catalysis, Stanford University, for his invaluable assistance in understanding, using, and prepa</t>
  </si>
  <si>
    <t>We would like to express our sincere gratitude to Peter Benedek from the Department of Chemical Engineering and SUNCAT Center for Interface Science and Catalysis, Stanford University, for his invaluable assistance in understanding, using, and preparing the LFP reference electrodes, as well as for his insightful discussions on the Li-NRR system. We also extend our thanks to Filippo Romeggio from the Department of Physics, Technical University of Denmark, for his expertise and insightful discussions on general chemistry. In addition, we are grateful for the SEM pictures he provided.</t>
  </si>
  <si>
    <t>1864-5631</t>
  </si>
  <si>
    <t>1864-564X</t>
  </si>
  <si>
    <t>ChemSusChem</t>
  </si>
  <si>
    <t>10.1002/cssc.202301011</t>
  </si>
  <si>
    <t>Chemistry, Multidisciplinary; Green &amp; Sustainable Science &amp; Technology</t>
  </si>
  <si>
    <t>Chemistry; Science &amp; Technology - Other Topics</t>
  </si>
  <si>
    <t>Q9BI0</t>
  </si>
  <si>
    <t>WOS:001060394000001</t>
  </si>
  <si>
    <t>Rafique, N; Mamoona, T; Ashraf, N; Hussain, S; Ahmed, F; Shah, TA; Salamatullah, AM; Mekonnen, AB; Bourhia, M</t>
  </si>
  <si>
    <t>Rafique, Nagina; Mamoona, Turfa; Ashraf, Nazish; Hussain, Sheraz; Ahmed, Faisal; Ali Shah, Tawaf; Salamatullah, Ahmad Mohammad; Mekonnen, Amare Bitew; Bourhia, Mohammed</t>
  </si>
  <si>
    <t>Exploring the nutritional and sensory potential of karonda fruit: Physicochemical properties, jam production, and quality evaluation</t>
  </si>
  <si>
    <t>anthocyanin; antioxidant properties; apple; karonda; nutritional value</t>
  </si>
  <si>
    <t>ANTIOXIDANT ACTIVITY; CARISSA-CARANDAS; EXTRACT; GROWTH</t>
  </si>
  <si>
    <t>Karonda is an indigenous berry fruit known for its unique sour taste and high nutritional value. The lack of awareness portrays the fruit as undervalued and neglected, despite its vast nutritional benefits. The study aimed to explore the physicochemical properties of fresh and dried karonda fruit and its application in formulating a jam product. The physicochemical parameters, including pH, acidity, reducing sugars, moisture content, ash content, and others, were analyzed for both fresh and dried fruits. The phytochemical characteristics, such as vitamin C, antioxidant activity, total phenolic content, flavonoids, and anthocyanin content, were examined. The fruit extract was also subjected to antibacterial test using the well plate method. The fresh karonda berries have the highest levels of vitamin C, total phenolic, and anthocyanin contents, which can enhance the immune system and improve overall health. Jam formulations were created using varying proportions of karonda and apple pulp. These formulations were subsequently analyzed for their physicochemical, phytochemical, and sensory quality attributes. The results indicated that the pH, moisture content, ash content, ascorbic acid content, total phenolics, total flavonoid content, and antioxidant activity of the jams fell within the acceptable range as outlined by the Codex Alimentarius. Furthermore, the inclusion of apple pulp can enhance the taste and color of the jam while preserving its nutritional value. The sensory evaluation results revealed that T3, consisting of 50% karonda and 50% apple, followed by T4, comprising 25% karonda and 75% apple, were favored in terms of taste and color. This research offers significant insights for both the food industry and consumers, emphasizing the karonda fruit's potential as a valuable source of phytochemical compounds and its possible utilization in the creation of jams and other food products. This discovery promotes the consumption of this indigenous fruit due to its nutritional value and potential health benefits.</t>
  </si>
  <si>
    <t>[Rafique, Nagina; Mamoona, Turfa; Ashraf, Nazish; Hussain, Sheraz; Ahmed, Faisal] Univ Poonch Rawalakot, Dept Food Sci &amp; Technol, Rawalakot, Azad Jammu &amp; Ka, Pakistan; [Ali Shah, Tawaf] Shandong Univ Technol, Dept Agr Engn &amp; Food Sci, Zibo, Peoples R China; [Salamatullah, Ahmad Mohammad] King Saud Univ, Coll Food &amp; Agr Sci, Dept Food Sci &amp; Nutr, Riyadh, Saudi Arabia; [Mekonnen, Amare Bitew] Bahir Dar Univ, Dept Biol, Bahir Dar, Ethiopia; [Bourhia, Mohammed] Ibn Zohr Univ, Fac Med &amp; Pharm, Dept Chem &amp; Biochem, Laayoune, Morocco; [Rafique, Nagina] Univ Poonch Rawalakot, Dept Food Sci &amp; Technol, Rawalakot 10250, Azad Jammu &amp; Ka, Pakistan; [Mekonnen, Amare Bitew] Bahir Dar Univ, Dept Biol, H9FXQ62, POB 79, Bahir Dar, Amhara Reginal, Ethiopia</t>
  </si>
  <si>
    <t>Shandong University of Technology; King Saud University; Bahir Dar University; Ibn Zohr University of Agadir; Bahir Dar University</t>
  </si>
  <si>
    <t>Rafique, N (corresponding author), Univ Poonch Rawalakot, Dept Food Sci &amp; Technol, Rawalakot 10250, Azad Jammu &amp; Ka, Pakistan.;Mekonnen, AB (corresponding author), Bahir Dar Univ, Dept Biol, H9FXQ62, POB 79, Bahir Dar, Amhara Reginal, Ethiopia.</t>
  </si>
  <si>
    <t>drnaginarafiq@upr.edu.pk; amarebitew8@gmail.com</t>
  </si>
  <si>
    <t>King Saud University, Riyadh, Saudi Arabia [RSP-2023R437]</t>
  </si>
  <si>
    <t>King Saud University, Riyadh, Saudi Arabia(King Saud University)</t>
  </si>
  <si>
    <t>King Saud University, Riyadh, Saudi Arabia, Grant/Award Number: RSP-2023R437</t>
  </si>
  <si>
    <t>10.1002/fsn3.3619</t>
  </si>
  <si>
    <t>R4TN8</t>
  </si>
  <si>
    <t>WOS:001064286800001</t>
  </si>
  <si>
    <t>Ritzau-Reid, KI; Callens, SJP; Xie, RX; Cihova, M; Reumann, D; Grigsby, CL; Prados-Martin, L; Wang, RC; Moore, AC; Armstrong, JPK; Knoblich, JA; Stevens, MM</t>
  </si>
  <si>
    <t>Ritzau-Reid, Kaja I.; Callens, Sebastien J. P.; Xie, Ruoxiao; Cihova, Martina; Reumann, Daniel; Grigsby, Christopher L.; Prados-Martin, Lino; Wang, Richard; Moore, Axel C.; Armstrong, James P. K.; Knoblich, Juergen A.; Stevens, Molly M.</t>
  </si>
  <si>
    <t>Microfibrous Scaffolds Guide Stem Cell Lumenogenesis and Brain Organoid Engineering</t>
  </si>
  <si>
    <t>bioengineering; lumenogenesis; melt electrospinning writing; organoids; scaffolds; stem cells</t>
  </si>
  <si>
    <t>MORPHOGENESIS; GENERATION; MIGRATION; GEOMETRY; SURFACE; GROWTH; MOUSE</t>
  </si>
  <si>
    <t>3D organoids are widely used as tractable in vitro models capable of elucidating aspects of human development and disease. However, the manual and low-throughput culture methods, coupled with a low reproducibility and geometric heterogeneity, restrict the scope and application of organoid research. Combining expertise from stem cell biology and bioengineering offers a promising approach to address some of these limitations. Here, melt electrospinning writing is used to generate tuneable grid scaffolds that can guide the self-organization of pluripotent stem cells into patterned arrays of embryoid bodies. Grid geometry is shown to be a key determinant of stem cell self-organization, guiding the position and size of emerging lumens via curvature-controlled tissue growth. Two distinct methods for culturing scaffold-grown embryoid bodies into either interconnected or spatially discrete cerebral organoids are reported. These scaffolds provide a high-throughput method to generate, culture, and analyze large numbers of organoids, substantially reducing the time investment and manual labor involved in conventional methods of organoid culture. It is anticipated that this methodological development will open up new opportunities for guiding pluripotent stem cell culture, studying lumenogenesis, and generating large numbers of uniform organoids for high-throughput screening. A scaffold-based platform to increase the throughput, reproducibility, and geometric control of 3D organoids is presented. Melt electrowriting is used to generate fibrous scaffolds that guide the self-organization of pluripotent stem cells into a large array of suspended interconnected or discrete organoids. Tuning the geometry of the scaffold enables to control the shape and lumen formation of the emerging tissues.image</t>
  </si>
  <si>
    <t>[Ritzau-Reid, Kaja I.; Callens, Sebastien J. P.; Xie, Ruoxiao; Cihova, Martina; Reumann, Daniel; Prados-Martin, Lino; Wang, Richard; Moore, Axel C.; Armstrong, James P. K.; Stevens, Molly M.] Imperial Coll London, Dept Mat, Inst Biomed Engn, Dept Bioengn, London SW7 2AZ, England; [Reumann, Daniel; Knoblich, Juergen A.] Austrian Acad Sci IMBA, Vienna Bioctr VBC, Inst Mol Biotechnol IMBA, A-1030 Vienna, Austria; [Grigsby, Christopher L.; Stevens, Molly M.] Karolinska Inst, Dept Med Biochem &amp; Biophys, S-17177 Stockholm, Sweden; [Armstrong, James P. K.] Univ Bristol, Bristol Med Sch, Dept Translat Hlth Sci, Bristol BS1 3NY, England</t>
  </si>
  <si>
    <t>Imperial College London; Austrian Academy of Sciences; Vienna Biocenter (VBC); Institute of Molecular Biotechnology (IMBA); Karolinska Institutet; University of Bristol</t>
  </si>
  <si>
    <t>Stevens, MM (corresponding author), Imperial Coll London, Dept Mat, Inst Biomed Engn, Dept Bioengn, London SW7 2AZ, England.;Knoblich, JA (corresponding author), Austrian Acad Sci IMBA, Vienna Bioctr VBC, Inst Mol Biotechnol IMBA, A-1030 Vienna, Austria.;Stevens, MM (corresponding author), Karolinska Inst, Dept Med Biochem &amp; Biophys, S-17177 Stockholm, Sweden.</t>
  </si>
  <si>
    <t>juergen.knoblich@imba.oeaw.ac.at; m.stevens@imperial.ac.uk</t>
  </si>
  <si>
    <t>Grigsby, Christopher L./D-8924-2011</t>
  </si>
  <si>
    <t>Grigsby, Christopher L./0000-0002-0105-3847; Cihova, Martina/0000-0002-6182-4738; Callens, Sebastien Jacob Paul/0000-0002-0179-4098; Armstrong, James PK/0000-0002-0599-0643; Wang, Richard/0000-0002-9845-9770; Moore, Axel/0000-0002-9469-4351; Stevens, Molly/0000-0002-7335-266X</t>
  </si>
  <si>
    <t>K.I.R.-R. and S.J.P.C. contributed equally to this work. K.I.R-R. and M.M.S. acknowledge funding through the EPSRC Centre for Doctoral Training in Neurotechnology (EP/L016737/1) and the Rosetrees Trust. S.J.P.C. acknowledges funding through a Rubicon fello [019.211EN.025]; EPSRC Centre for Doctoral Training in Neurotechnology; Rosetrees Trust [EP/X027163/1, EP/P00114/1]; Rubicon fellowship from the Dutch Research Council [P2EZP2_199862]; Engineering and Physical Sciences Research Council [MR/R015651/1]; Swiss National Science Foundation PostDoc Mobility grant; Lamp;apos;Oreal-UNESCO UK amp;amp; Ireland For Women in Science Foundation; StratNeuro [VR 4-478/2016]; Whitaker International Program [EP/S023518/1]; Swedish Research Council; Leverhulme Trustamp;apos;s Leverhulme Doctoral Scholarship Programme [A2741/M873]; Engineering and Physical Research Council [RE/18/4/34215]; Rosetrees Trust under the Young Enterprise Fellowship agreement [208858/Z/17/Z]; British Heart Foundation under the Centre of Research Excellence agreement [PrOTeCT 1613745]; Wellcome Trust Accelerator for Muscoskeletal Devices iTPA [MR/S00551X/1]; National Institute for Health Global Health Research POsT Conflict Trauma [MR/V024965/1]; MRC/UKRI Innovation Rutherford Fund Fellowship [098411/Z/12/Z]; UKRI Future Leaders Fellowship [SCORPION DOC 72-B27]; Wellcome Trust Senior Investigator Award; Austrian Academy of Sciences [F7804-B, P35680, P35369, 724430]; Austrian Science Fund (FWF); Austrian Federal Ministry of Education, Science and Research; City of Vienna [695642]; Simons Foundation Autism Research Initiative (SFARI) [874769]; European Research Council (ERC) Advanced Grant under the European Union; [EP/L016737/1]; Swiss National Science Foundation (SNF) [P2EZP2_199862] Funding Source: Swiss National Science Foundation (SNF)</t>
  </si>
  <si>
    <t>K.I.R.-R. and S.J.P.C. contributed equally to this work. K.I.R-R. and M.M.S. acknowledge funding through the EPSRC Centre for Doctoral Training in Neurotechnology (EP/L016737/1) and the Rosetrees Trust. S.J.P.C. acknowledges funding through a Rubicon fello; EPSRC Centre for Doctoral Training in Neurotechnology(UK Research &amp; Innovation (UKRI)Engineering &amp; Physical Sciences Research Council (EPSRC)); Rosetrees Trust(Rosetrees Trust); Rubicon fellowship from the Dutch Research Council; Engineering and Physical Sciences Research Council(UK Research &amp; Innovation (UKRI)Engineering &amp; Physical Sciences Research Council (EPSRC)); Swiss National Science Foundation PostDoc Mobility grant(Swiss National Science Foundation (SNSF)); Lamp;apos;Oreal-UNESCO UK amp;amp; Ireland For Women in Science Foundation; StratNeuro; Whitaker International Program; Swedish Research Council(Swedish Research Council); Leverhulme Trustamp;apos;s Leverhulme Doctoral Scholarship Programme; Engineering and Physical Research Council(UK Research &amp; Innovation (UKRI)Engineering &amp; Physical Sciences Research Council (EPSRC)); Rosetrees Trust under the Young Enterprise Fellowship agreement; British Heart Foundation under the Centre of Research Excellence agreement; Wellcome Trust Accelerator for Muscoskeletal Devices iTPA; National Institute for Health Global Health Research POsT Conflict Trauma; MRC/UKRI Innovation Rutherford Fund Fellowship; UKRI Future Leaders Fellowship(UK Research &amp; Innovation (UKRI)); Wellcome Trust Senior Investigator Award(Wellcome Trust); Austrian Academy of Sciences; Austrian Science Fund (FWF)(Austrian Science Fund (FWF)); Austrian Federal Ministry of Education, Science and Research; City of Vienna; Simons Foundation Autism Research Initiative (SFARI); European Research Council (ERC) Advanced Grant under the European Union(European Research Council (ERC)); ; Swiss National Science Foundation (SNF)(Swiss National Science Foundation (SNSF))</t>
  </si>
  <si>
    <t>K.I.R.-R. and S.J.P.C. contributed equally to this work. K.I.R-R. and M.M.S. acknowledge funding through the EPSRC Centre for Doctoral Training in Neurotechnology (EP/L016737/1) and the Rosetrees Trust. S.J.P.C. acknowledges funding through a Rubicon fellowship from the Dutch Research Council (File No. 019.211EN.025) and through a UKRI Postdoctoral Fellowship (EP/X027163/1). R.X. and M.M.S. acknowledge funding from the Engineering and Physical Sciences Research Council (EP/P00114/1). M.C. acknowledges funding through a Swiss National Science Foundation PostDoc Mobility grant (P2EZP2_199862) and the L &amp; apos;Oreal-UNESCO UK &amp; amp; Ireland For Women in Science Foundation. C.L.G. was supported by grants from StratNeuro and the Whitaker International Program. C.L.G. and M.M.S. acknowledge support from the Swedish Research Council (VR 4-478/2016). L.P.-M. acknowledges support from The Leverhulme Trust &amp; apos;s Leverhulme Doctoral Scholarship Programme and the Engineering and Physical Research Council (Grant Number: EP/S023518/1). R.W. acknowledges funding from The Rosetrees Trust under the Young Enterprise Fellowship agreement (A2741/M873) and the British Heart Foundation under the Centre of Research Excellence agreement (RE/18/4/34215). A.C.M. acknowledges support from the Whitaker International Program. A.C.M. and M.M.S. acknowledge funding through the UK Regenerative Medicine Platform &amp; apos;Acellular/Smart Materials-3D Architecture (MR/R015651/1), Wellcome Trust Accelerator for Muscoskeletal Devices iTPA (208858/Z/17/Z), and National Institute for Health Global Health Research POsT Conflict Trauma (PrOTeCT 1613745). J.P.K.A. acknowledges funding from an MRC/UKRI Innovation Rutherford Fund Fellowship (MR/S00551X/1) and a UKRI Future Leaders Fellowship (MR/V024965/1). M.M.S. acknowledges support from the Wellcome Trust Senior Investigator Award (098411/Z/12/Z). Work in the Knoblich laboratory is supported by the Austrian Academy of Sciences, the Austrian Science Fund (FWF) (SCORPION DOC 72-B27, Special Research Programme F7804-B and Stand-Alone grants P35680 and P35369), the Austrian Federal Ministry of Education, Science and Research, the City of Vienna, the Simons Foundation Autism Research Initiative (SFARI, no. 724430), and a European Research Council (ERC) Advanced Grant under the European Union &amp; apos;s Horizon 2020 programs (no. 695642 and no. 874769). The authors acknowledge the use of the characterization facilities within the Harvey Flower Electron Microscopy Suite (Department of Materials) and the Facility for Imaging by Light Microscopy (FILM) at Imperial College London.</t>
  </si>
  <si>
    <t>10.1002/adma.202300305</t>
  </si>
  <si>
    <t>Q9AV2</t>
  </si>
  <si>
    <t>WOS:001060381100001</t>
  </si>
  <si>
    <t>Shen, YQ; Chen, YZ; Yang, XJ; Gong, JS; Wang, YY; Su, NZ</t>
  </si>
  <si>
    <t>Shen, Yuqing; Chen, Yuzi; Yang, Xiaojun; Gong, Junshun; Wang, Yuanyuan; Su, Naizhu</t>
  </si>
  <si>
    <t>A novel RHD allele caused by c.687_689delAAG variant</t>
  </si>
  <si>
    <t>partial D; RHD allele</t>
  </si>
  <si>
    <t>DELETIONS; SEQUENCE</t>
  </si>
  <si>
    <t>[Shen, Yuqing; Gong, Junshun; Su, Naizhu] Xiamen Univ, Women &amp; Childrens Hosp, Sch Med, Dept Transfus, Xiamen, Fujian, Peoples R China; [Shen, Yuqing] Fujian Med Univ, Fujian Canc Hosp, Canc Hosp, Dept Transfus, Fuzhou, Fujian, Peoples R China; [Chen, Yuzi; Yang, Xiaojun] Fujian Med Univ, Fujian Prov Hosp, Shengli Clin Med Coll, Dept Transfus, Fuzhou, Fujian, Peoples R China; [Wang, Yuanyuan] Xiamen Univ, Dept Transfus, Zhongshan Hosp, Xiamen, Fujian, Peoples R China; [Wang, Yuanyuan] Xiamen Univ, Zhongshan Hosp, Xiamen 361004, Fujian, Peoples R China; [Su, Naizhu] Xiamen Univ, Women &amp; Childrens Hosp, Sch Med, Dept Transfus, 10 Zhenhai Rd, Xiamen 361003, Fujian, Peoples R China</t>
  </si>
  <si>
    <t>Xiamen University; Fujian Medical University; Fujian Medical University; Fujian Provincial Hospital; Xiamen University; Xiamen University; Xiamen University</t>
  </si>
  <si>
    <t>Wang, YY (corresponding author), Xiamen Univ, Zhongshan Hosp, Xiamen 361004, Fujian, Peoples R China.;Su, NZ (corresponding author), Xiamen Univ, Women &amp; Childrens Hosp, Sch Med, Dept Transfus, 10 Zhenhai Rd, Xiamen 361003, Fujian, Peoples R China.</t>
  </si>
  <si>
    <t>wangyuanyuan@xmzsh.com; snz6315899@126.com</t>
  </si>
  <si>
    <t>Shen, yuqing/0000-0003-2552-4882</t>
  </si>
  <si>
    <t>Fujian Provincial Health Technology Project [2019-ZQN-32]; Foundation of Xiamen Science and Technology Bureau [3502Z20209206]; Key Clinical Specialty of Fujian Province (Department of Clinical Laboratory at Women and Children's Hospital, School of Medicine, Xiamen University)</t>
  </si>
  <si>
    <t>Fujian Provincial Health Technology Project; Foundation of Xiamen Science and Technology Bureau; Key Clinical Specialty of Fujian Province (Department of Clinical Laboratory at Women and Children's Hospital, School of Medicine, Xiamen University)</t>
  </si>
  <si>
    <t>Fujian Provincial Health Technology Project, Grant/Award Number: 2019-ZQN-32; The Foundation of Xiamen Science and Technology Bureau, Grant/Award Number: 3502Z20209206; Key Clinical Specialty of Fujian Province (Department of Clinical Laboratory at Women and Children's Hospital, School of Medicine, Xiamen University)</t>
  </si>
  <si>
    <t>10.1111/trf.17535</t>
  </si>
  <si>
    <t>R4JN2</t>
  </si>
  <si>
    <t>WOS:001064026100001</t>
  </si>
  <si>
    <t>Sun, XZ; Hu, YP; Fu, YY; Yang, J; Song, DM; Li, B; Xu, WH; Wang, N</t>
  </si>
  <si>
    <t>Sun, Xuzhuo; Hu, Yanping; Fu, Yuying; Yang, Jing; Song, Dengmeng; Li, Bo; Xu, Wenhua; Wang, Ning</t>
  </si>
  <si>
    <t>Single Ru Sites on Covalent Organic Framework-Coated Carbon Nanotubes for Highly Efficient Electrocatalytic Hydrogen Evolution</t>
  </si>
  <si>
    <t>carbon nanotubes; covalent organic frameworks; electrocatalysts; hydrogen evolution reaction; single site Ru</t>
  </si>
  <si>
    <t>OXYGEN REDUCTION; ENERGY-STORAGE</t>
  </si>
  <si>
    <t>Covalent organic frameworks (COFs) with precisely controllable structures and highly ordered porosity possess great potential as electrocatalysts for hydrogen evolution reaction (HER). However, the catalytic performance of pristine COFs is limited by the poor active sites and low electron transfer. Herein, to address these issues, the conductive carbon nanotubes (CNTs) are coated by a defined structure RuBpy(H2O)(OH)Cl2 in bipyridine-based COF (TpBpy). And this composite with single site Ru incorporated can be used as HER electrocatalyst in alkaline conditions. A series of crucial issues are carefully discussed through experiments and density functional theory (DFT) calculations, such as the coordination structure of the atomically dispersion Ru ions, the catalytic mechanism of the embedded catalytic site, and the effect of COF and CNTs on the electrocatalytic properties. According to DFT calculations, the embedded single sites Ru act as catalytic sites for H2 generation. Benefitting from increasing the catalyst conductivity and the charge transfer, the as-prepared c-CNT-0.68@TpBpy-Ru shows an excellent HER overpotential of 112 mV at 10 mA cm-2 under alkaline conditions as well as an excellent durability up to 12 h, which is superior to that of most of the reported COFs electrocatalysts in alkaline solution. Single site of Ru with defined structure RuBpy(H2O)(OH)Cl2 in covalent organic frameworks is applied as the electrocatalytic center to improve the hydrogen evolution reaction performance. The ordered coating of covalent organic framework on the conductive carbon nanotube surface not only increases the electrical conductivity of the composite but also accelerates the charge transfer process during the reaction.image</t>
  </si>
  <si>
    <t>[Sun, Xuzhuo; Fu, Yuying; Li, Bo] Henan Univ Technol, Coll Chem &amp; Chem Engn, Zhengzhou 450001, Peoples R China; [Hu, Yanping; Song, Dengmeng; Xu, Wenhua] Northwest Univ, Coll Chem &amp; Mat Sci, Key Lab Synthet &amp; Nat Funct Mol, Minist Educ, Xian 710069, Peoples R China; [Yang, Jing; Wang, Ning] Shenzhen Technol Univ, Coll Hlth Sci &amp; Environm Engn, Shenzhen 518118, Peoples R China</t>
  </si>
  <si>
    <t>Henan University of Technology; Northwest University Xi'an; Shenzhen Technology University</t>
  </si>
  <si>
    <t>Xu, WH (corresponding author), Northwest Univ, Coll Chem &amp; Mat Sci, Key Lab Synthet &amp; Nat Funct Mol, Minist Educ, Xian 710069, Peoples R China.;Yang, J; Wang, N (corresponding author), Shenzhen Technol Univ, Coll Hlth Sci &amp; Environm Engn, Shenzhen 518118, Peoples R China.</t>
  </si>
  <si>
    <t>yangjing2@sztu.edu.cn; xuwh@nwu.edu.cn; ningwang@nwu.edu.cn</t>
  </si>
  <si>
    <t>National Natural Science Foundation of China [21773184, 22101186]; State Key Laboratory of Fine Chemicals, Dalian University of Technology [KF2110]; Natural Science Foundation of Top Talent of SZTU [GDRC202114]; Shaanxi Fundamental Science Research Project for Chemistry Biology [22JHQ025]; Natural Science Foundation of Henan Province [212300410339]; Innovative Funds Plan of Henan University of Technology [2022ZKCJ01]</t>
  </si>
  <si>
    <t>National Natural Science Foundation of China(National Natural Science Foundation of China (NSFC)); State Key Laboratory of Fine Chemicals, Dalian University of Technology; Natural Science Foundation of Top Talent of SZTU; Shaanxi Fundamental Science Research Project for Chemistry Biology; Natural Science Foundation of Henan Province; Innovative Funds Plan of Henan University of Technology</t>
  </si>
  <si>
    <t>X.S. and Y.H. contributed equally to this work. This work was supported by the National Natural Science Foundation of China (21773184 and 22101186), State Key Laboratory of Fine Chemicals, Dalian University of Technology (KF2110), Natural Science Foundation of Top Talent of SZTU (GDRC202114), Shaanxi Fundamental Science Research Project for Chemistry &amp; Biology (22JHQ025), Natural Science Foundation of Henan Province (212300410339), and Innovative Funds Plan of Henan University of Technology (2022ZKCJ01).</t>
  </si>
  <si>
    <t>10.1002/smll.202305978</t>
  </si>
  <si>
    <t>Q9TG0</t>
  </si>
  <si>
    <t>WOS:001060862300001</t>
  </si>
  <si>
    <t>van de Weerd, S; Torang, A; Zwager, LW; Koelink, PJ; Koster, J; Bastiaansen, BAJ; Lammers, V; Longobardi, C; Roodhart, JML; van Krieken, JH; Sarasqueta, AF; Dekker, E; Medema, JP</t>
  </si>
  <si>
    <t>van de Weerd, Simone; Torang, Arezo; Zwager, Liselotte W.; Koelink, Pim J.; Koster, Jan; Bastiaansen, Barbara A. J.; Lammers, Veerle; Longobardi, Ciro; Roodhart, Jeanine M. L.; van Krieken, J. Han; Sarasqueta, Arantza Farina; Dekker, Evelien; Medema, Jan Paul</t>
  </si>
  <si>
    <t>Consensus molecular subtype transition during progression of colorectal cancer</t>
  </si>
  <si>
    <t>JOURNAL OF PATHOLOGY</t>
  </si>
  <si>
    <t>adenoma; colorectal cancer; gene expression profiling; molecular stratification; consensus molecular subtypes; mutational profiling</t>
  </si>
  <si>
    <t>SERRATED POLYPS; CARCINOMA; ADENOMAS; METHYLATION; MUTATIONS; PATHWAYS; BRAF</t>
  </si>
  <si>
    <t>The consensus molecular subtype (CMS) classification divides colorectal cancer (CRC) into four distinct subtypes based on RNA expression profiles. The biological differences between CMSs are already present in CRC precursor lesions, but not all CMSs pose the same risk of malignant transformation. To fully understand the path to malignant transformation and to determine whether CMS is a fixed entity during progression, genomic and transcriptomic data from two regions of the same CRC lesion were compared: the precursor region and the carcinoma region. In total, 24 patients who underwent endoscopic removal of T1-2 CRC were included. Regions were subtyped for CMS and DNA mutation analysis was performed. Additionally, a set of 85 benign adenomas was CMS-subtyped. This analysis revealed that almost all benign adenomas were classified as CMS3 (91.8%). In contrast, CMS2 was the most prevalent subtype in precursor regions (66.7%), followed by CMS3 (29.2%). CMS4 was absent in precursor lesions and originated at the carcinoma stage. Importantly, CMS switching occurred in a substantial number of cases and almost all (six out of seven) CMS3 precursor regions showed a shift to a different subtype in the carcinoma part of the lesion, which in four cases was classified as CMS4. In conclusion, our data indicate that CMS3 is related to a more indolent type of precursor lesion that less likely progresses to CRC and when this occurs, it is often associated with a subtype change that includes the more aggressive mesenchymal CMS4. In contrast, an acquired CMS2 signature appeared to be rather fixed during early CRC development. Combined, our data show that subtype changes occur during progression and that CMS3 switching is related to changes in the genomic background through acquisition of a novel driver mutation (TP53) or selective expansion of a clone, but also occurred independently of such genetic changes. &amp; COPY; 2023 The Authors. The Journal of Pathology published by John Wiley &amp; Sons Ltd on behalf of The Pathological Society of Great Britain and Ireland.</t>
  </si>
  <si>
    <t>[van de Weerd, Simone; Torang, Arezo; Koster, Jan; Lammers, Veerle; Longobardi, Ciro; Medema, Jan Paul] Univ Amsterdam, Ctr Expt &amp; Mol Med, Canc Ctr Amsterdam, Amsterdam UMC, Meibergdreef 9, NL-1105 AZ Amsterdam, Netherlands; [van de Weerd, Simone; van Krieken, J. Han] Radboud Univ Nijmegen Med Ctr, Dept Pathol, Nijmegen, Netherlands; [van de Weerd, Simone; Torang, Arezo; Lammers, Veerle; Longobardi, Ciro; Medema, Jan Paul] Univ Amsterdam, Oncode Inst, Amsterdam UMC, Amsterdam, Netherlands; [Zwager, Liselotte W.; Bastiaansen, Barbara A. J.; Dekker, Evelien] Univ Amsterdam, Canc Ctr Amsterdam, Dept Gastroenterol &amp; Hepatol, Amsterdam UMC,Locat AMC, Amsterdam, Netherlands; [Zwager, Liselotte W.; Bastiaansen, Barbara A. J.; Dekker, Evelien] Univ Amsterdam, Amsterdam Gastroenterol &amp; Metab, Amsterdam, Netherlands; [Koelink, Pim J.] Univ Amsterdam, Tytgat Inst Liver &amp; Intestinal Res, Amsterdam Gastroenterol &amp; Metab, Amsterdam UMC, Amsterdam, Netherlands; [Roodhart, Jeanine M. L.] Univ Utrecht, Univ Med Ctr Utrecht, Dept Med Oncol, Utrecht, Netherlands; [Sarasqueta, Arantza Farina] Univ Amsterdam, Dept Pathol, Amsterdam UMC, Amsterdam, Netherlands</t>
  </si>
  <si>
    <t>Vrije Universiteit Amsterdam; University of Amsterdam; Radboud University Nijmegen; University of Amsterdam; Vrije Universiteit Amsterdam; University of Amsterdam; University of Amsterdam; University of Amsterdam; Utrecht University; Utrecht University Medical Center; University of Amsterdam</t>
  </si>
  <si>
    <t>Medema, JP (corresponding author), Univ Amsterdam, Ctr Expt &amp; Mol Med, Canc Ctr Amsterdam, Amsterdam UMC, Meibergdreef 9, NL-1105 AZ Amsterdam, Netherlands.</t>
  </si>
  <si>
    <t>j.p.medema@amsterdamumc.nl</t>
  </si>
  <si>
    <t>van de Weerd, Simone/0000-0001-8145-8651</t>
  </si>
  <si>
    <t>This project was funded by the Dutch Cancer Society, Alpe damp;apos;HuZes, grant number UvA2013-6331, and Oncode. The funders had no role in the design of the study; in the collection, analyses, or interpretation of data; in the writing of the manuscript;; Dutch Cancer Society; Alpe damp;apos;HuZes; [UvA2013-6331]</t>
  </si>
  <si>
    <t>This project was funded by the Dutch Cancer Society, Alpe damp;apos;HuZes, grant number UvA2013-6331, and Oncode. The funders had no role in the design of the study; in the collection, analyses, or interpretation of data; in the writing of the manuscript;; Dutch Cancer Society(KWF Kankerbestrijding); Alpe damp;apos;HuZes;</t>
  </si>
  <si>
    <t>This project was funded by the Dutch Cancer Society, Alpe d &amp; apos;HuZes, grant number UvA2013-6331, and Oncode. The funders had no role in the design of the study; in the collection, analyses, or interpretation of data; in the writing of the manuscript; or in the decision to publish the results.</t>
  </si>
  <si>
    <t>0022-3417</t>
  </si>
  <si>
    <t>1096-9896</t>
  </si>
  <si>
    <t>J PATHOL</t>
  </si>
  <si>
    <t>J. Pathol.</t>
  </si>
  <si>
    <t>10.1002/path.6176</t>
  </si>
  <si>
    <t>Q8XD0</t>
  </si>
  <si>
    <t>WOS:001060284900001</t>
  </si>
  <si>
    <t>Wan, MY; Tang, YZ; Tan, YH; Li, YL; Wang, FX; Liao, J; Wang, LJ</t>
  </si>
  <si>
    <t>Wan, Ming-Yang; Tang, Yun-Zhi; Tan, Yu-Hui; Li, Yi-Luo; Wang, Fang-Xin; Liao, Juan; Wang, Li-Juan</t>
  </si>
  <si>
    <t>Chiral Substitution on Spaced Cations Lead to Improved Properties and Reversible Phase Transition, Broadband Emission in Parent Compound (3APr)PbBr4</t>
  </si>
  <si>
    <t>Broadband emission; Chiral modification; Hybrids; Phase transition; Semiconductors</t>
  </si>
  <si>
    <t>TIN BROMIDE; PEROVSKITE</t>
  </si>
  <si>
    <t>Hybrid organic-inorganic perovskites (HOIP) due to their excellent optoelectronic properties and flexible structure have attracted enthusiastic interest. In particular, introducing chirality is a method to enhance compound performance. Herein, we report a multifunctional compound: (3APr)PbBr4 (1) (3APr=3-Pyrrolidinamine) and corresponding enantiomer R and S-(3APr)PbBr4 (R/S-2). Compound 1 show reversible solid-state phase transition, step-like dielectric anomaly and broadband yellow emission under uv light excitation. Accompany with phase transition, structure dimension transition from 2D to 1D without space group change. Through introduce chirality, the R/S-2 display mirror image 1D structural relationship, increased quantum yield from 3.43 % (1) to 13.65 % (R/S-2) and exhibits corresponding CD signals. Then combine to first-principles analysis, it was found that fluorescence is attributed to the formation of instantaneous defects during excitation, leading to the formation of self-trapped excitons (STEs). This finding will further promote the development of multifunctional compound and the study of chiral substitution enhance compound properties.</t>
  </si>
  <si>
    <t>[Wan, Ming-Yang; Tang, Yun-Zhi; Tan, Yu-Hui; Li, Yi-Luo; Wang, Fang-Xin; Liao, Juan; Wang, Li-Juan] Jiangxi Univ Sci &amp; Technol, Jiangxi Prov Key Lab Funct Mol Mat Chem, 156 Hakka Ave, Ganzhou 341000, Jiangxi, Peoples R China</t>
  </si>
  <si>
    <t>Jiangxi University of Science &amp; Technology</t>
  </si>
  <si>
    <t>Tang, YZ; Tan, YH (corresponding author), Jiangxi Univ Sci &amp; Technol, Jiangxi Prov Key Lab Funct Mol Mat Chem, 156 Hakka Ave, Ganzhou 341000, Jiangxi, Peoples R China.</t>
  </si>
  <si>
    <t>tangyunzhi75@163.com; tyxcn@163.com</t>
  </si>
  <si>
    <t>National Natural Science Foundation of China [21671086, 21761013]; Key Research and Development Program of Jiangxi Province [20224BBE51045, 20212BBE51018]; Key Fund of Jiangxi Natural Science Foundation [20202ACB202001]</t>
  </si>
  <si>
    <t>National Natural Science Foundation of China(National Natural Science Foundation of China (NSFC)); Key Research and Development Program of Jiangxi Province; Key Fund of Jiangxi Natural Science Foundation</t>
  </si>
  <si>
    <t>This work was supported by National Natural Science Foundation of China under research grant no. 21671086 and 21761013. The Key Research and Development Program of Jiangxi Province (No. 20224BBE51045 and 20212BBE51018) and Key Fund of Jiangxi Natural Science Foundation (20202ACB202001).</t>
  </si>
  <si>
    <t>e202300476</t>
  </si>
  <si>
    <t>10.1002/ejic.202300476</t>
  </si>
  <si>
    <t>R4JL0</t>
  </si>
  <si>
    <t>WOS:001064023900001</t>
  </si>
  <si>
    <t>Wang, C; Zhang, H; Cai, YY; Wang, QY; Zhou, B; Xu, XH; Yu, X</t>
  </si>
  <si>
    <t>Wang, Chao; Zhang, Hao; Cai, Yiyu; Wang, Qingyuan; Zhou, Bo; Xu, Xuhui; Yu, Xue</t>
  </si>
  <si>
    <t>Phonon-Assisted Negative Thermal Quenching in a One-Photon Up-Conversion Phosphor for Thermometry</t>
  </si>
  <si>
    <t>LASER &amp; PHOTONICS REVIEWS</t>
  </si>
  <si>
    <t>anti-Stokes emissions; luminescence thermometry; negative thermal quenchings; phonon assistances</t>
  </si>
  <si>
    <t>MEDIATED BOLTZMANN THERMOMETRY; LUMINESCENCE</t>
  </si>
  <si>
    <t>Thermal disturbance deteriorates the radiative transitions of up-conversion phosphor, leading to decreased emission intensity at high operation temperatures. In this work, a thermal-favored Yb3+/Nd3+ co-doped KGaGeO4 up-conversion phosphor with a negative thermal quenching behavior is explored. The as-developed phosphor performs a one-photon anti-Stokes emission and exhibits a remarkable enhancement for the rise of ambient temperature reaching 653 K. It is demonstrated that the fascinating thermal behavior of the up-conversion procedure is attributed to the enhanced energy transfer from the corresponding sensitizers to the activators by phonon assistance. Moreover, the microscopic dynamical process of phonon assistance and annihilation is revealed by introducing Er3+ ions as a probe. These results not only shed light on the phonon-assisted strategy to build a highly efficient anti-Stokes emission system but also open prospects for constructing phonon-favored transitions with nonthermally coupled emissions to realize luminescence thermometry for their distinct thermal responsivity. The participation of phonon energy during the anti-Stokes transition procedure endows lanthanide ions doped phosphors to exhibit fascinating negative thermal quenching. Here, a thermal-favorable Yb3+/Nd3+ co-doped KGaGeO4 up-conversion phosphor with drastically thermal-enhanced intensity is investigated in detail. This apparently anomalous phenomenon is demonstrated to be attributed to the enhanced energy transfer from the corresponding sensitizers to activators thanks to the effective phonon assistance. The results provide a strategy to construct phonon-favored transitions with nonthermally coupled emissions to realize effective luminescence thermometry.image</t>
  </si>
  <si>
    <t>[Wang, Chao; Wang, Qingyuan; Yu, Xue] Chengdu Univ, Inst Adv Mat Deformat &amp; Damage Multiscale, Sch Mech Engn, Chengdu 610106, Peoples R China; [Wang, Chao; Zhang, Hao; Cai, Yiyu; Xu, Xuhui] Kunming Univ Sci &amp; Technol, Coll Mat Sci &amp; Engn, Key Lab Adv Mat Yunnan Prov, Kunming 650093, Peoples R China; [Wang, Chao; Zhang, Hao; Zhou, Bo] South China Univ Technol, State Key Lab Luminescent Mat &amp; Devices, Guangdong Prov Key Lab Fiber Laser Mat &amp; Appl Tech, Guangzhou 510641, Peoples R China</t>
  </si>
  <si>
    <t>Chengdu University; Kunming University of Science &amp; Technology; South China University of Technology</t>
  </si>
  <si>
    <t>Yu, X (corresponding author), Chengdu Univ, Inst Adv Mat Deformat &amp; Damage Multiscale, Sch Mech Engn, Chengdu 610106, Peoples R China.;Xu, XH (corresponding author), Kunming Univ Sci &amp; Technol, Coll Mat Sci &amp; Engn, Key Lab Adv Mat Yunnan Prov, Kunming 650093, Peoples R China.</t>
  </si>
  <si>
    <t>xuxuh07@126.com; yuyu6593@126.com</t>
  </si>
  <si>
    <t>National Nature Science Foundation of China (NSFC) [61965012]; Yunnan Provincial Natural Science Foundation [202001AS070008]; Sichuan Provincial Natural Science Foundation [2022JDJQ0030]; Yunnan Ten Thousand Talents Plan Young &amp; Elite Talents Project [YNWR-QNBJ-2018-295]; Yunnan Major Scientific and Technological Projects [202202AG050004]; Excellent Youth Project of Yunnan Province Applied Basic Research Project [2019FI001]; Science and Technology Talents and Platform Program [202205AF150005]</t>
  </si>
  <si>
    <t>National Nature Science Foundation of China (NSFC)(National Natural Science Foundation of China (NSFC)); Yunnan Provincial Natural Science Foundation(Natural Science Foundation of Yunnan Province); Sichuan Provincial Natural Science Foundation; Yunnan Ten Thousand Talents Plan Young &amp; Elite Talents Project; Yunnan Major Scientific and Technological Projects; Excellent Youth Project of Yunnan Province Applied Basic Research Project; Science and Technology Talents and Platform Program</t>
  </si>
  <si>
    <t>This work was financially supported by the National Nature Science Foundation of China (NSFC) (61965012), Yunnan Provincial Natural Science Foundation (202001AS070008), Sichuan Provincial Natural Science Foundation (2022JDJQ0030), Yunnan Ten Thousand Talents Plan Young &amp; Elite Talents Project (YNWR-QNBJ-2018-295), Yunnan Major Scientific and Technological Projects (202202AG050004), the Excellent Youth Project of Yunnan Province Applied Basic Research Project (2019FI001), and the Science and Technology Talents and Platform Program (202205AF150005).</t>
  </si>
  <si>
    <t>1863-8880</t>
  </si>
  <si>
    <t>1863-8899</t>
  </si>
  <si>
    <t>LASER PHOTONICS REV</t>
  </si>
  <si>
    <t>Laser Photon. Rev.</t>
  </si>
  <si>
    <t>10.1002/lpor.202300499</t>
  </si>
  <si>
    <t>Optics; Physics, Applied; Physics, Condensed Matter</t>
  </si>
  <si>
    <t>Optics; Physics</t>
  </si>
  <si>
    <t>Q9AS0</t>
  </si>
  <si>
    <t>WOS:001060377900001</t>
  </si>
  <si>
    <t>Ying, A; Gong, SL</t>
  </si>
  <si>
    <t>Ying, Ao; Gong, Shaolong</t>
  </si>
  <si>
    <t>A Rising Star: Luminescent Carbene-Metal-Amide Complexes</t>
  </si>
  <si>
    <t>carbene-metal-amide (CMA); carbene ligand; coinage metal complex; organic light-emitting diode (OLED); thermally activated delayed fluorescence (TADF)</t>
  </si>
  <si>
    <t>LIGHT-EMITTING-DIODES; EXCITED-STATE; GOLD(III) COMPLEXES; QUANTUM EFFICIENCY; MOLECULAR DESIGN; EMISSION COLOR; CU-I; PHOSPHORESCENCE; PHOTOEMITTERS; DYNAMICS</t>
  </si>
  <si>
    <t>Coinage metal (gold, silver, and copper) complexes are attractive candidates to substitute the widely studied noble metal complexes, such as, iridium(III) and platinum(II), as luminescent materials in organic light-emitting diodes (OLEDs). However, the development of coinage metal complexes exhibiting high emission quantum yields and short exciton lifetimes is still a formidable challenge. In the past few years, coinage metal complexes featuring a carbene-metal-amide (CMA) motif have emerged as a new class of luminescent materials in OLEDs. Thanks to the coinage metal-bridged linear geometry, coplanar conformation, and the formation of excited states with dominant ligand-to-ligand charge transfer character and reduced metal d-orbital participation, most CMA complexes have high radiative rates via thermally activated delayed fluorescence. Currently, the family of CMA complexes have rapidly evolved and remarkable progresses in CMA-based OLEDs have been made. Here, a Concept article on CMA complexes is presented, with a focus on molecular design principles, the correlation between molecular structure/conformation and optoelectronic properties, as well as OLED performance. The future prospects of CMA complexes are also discussed. This concept article on luminescent carbene-metal-amide (CMA) complexes is presented in terms of molecular design strategies, structure-property correlations and their applications in organic light-emitting diodes (OLEDs). The future directions and opportunities for advancing the development of CMA complexes and the related OLEDs are proposed as well.image</t>
  </si>
  <si>
    <t>[Ying, Ao; Gong, Shaolong] Wuhan Univ, Dept Chem, Hubei Key Lab Organ &amp; Polymer Optoelect Mat, Wuhan 430072, Peoples R China</t>
  </si>
  <si>
    <t>Wuhan University</t>
  </si>
  <si>
    <t>Gong, SL (corresponding author), Wuhan Univ, Dept Chem, Hubei Key Lab Organ &amp; Polymer Optoelect Mat, Wuhan 430072, Peoples R China.</t>
  </si>
  <si>
    <t>slgong@whu.edu.cn</t>
  </si>
  <si>
    <t>Gong, Shaolong/C-6798-2016</t>
  </si>
  <si>
    <t>Gong, Shaolong/0000-0002-1166-9047</t>
  </si>
  <si>
    <t>Shaolong Gong gratefully acknowledges financial support from the National Natural Science Foundation of China (52022071 and 51873158). [51873158]; National Natural Science Foundation of China; [52022071]</t>
  </si>
  <si>
    <t>Shaolong Gong gratefully acknowledges financial support from the National Natural Science Foundation of China (52022071 and 51873158).(National Natural Science Foundation of China (NSFC)); National Natural Science Foundation of China(National Natural Science Foundation of China (NSFC));</t>
  </si>
  <si>
    <t>Shaolong Gong gratefully acknowledges financial support from the National Natural Science Foundation of China (52022071 and 51873158).</t>
  </si>
  <si>
    <t>10.1002/chem.202301885</t>
  </si>
  <si>
    <t>Q9BH4</t>
  </si>
  <si>
    <t>WOS:001060393400001</t>
  </si>
  <si>
    <t>Zhang, ML; Yu, XM; Sheng, MY; Chen, H</t>
  </si>
  <si>
    <t>Zhang, Meiling; Yu, Xiaoming; Sheng, Mengyi; Chen, Hua</t>
  </si>
  <si>
    <t>Mussel-inspired Self-assembly into Polymer Coatings of Different Molecular Weight Electrolytes for Enhanced Self-healing and Corrosion Properties</t>
  </si>
  <si>
    <t>Polymer Materials; Self-healing; Anti-corrosion; Electrochemical; Catechol</t>
  </si>
  <si>
    <t>COMPOSITE COATINGS; CATECHOL; NANOPARTICLES; PROTECTION</t>
  </si>
  <si>
    <t>Self-healing coatings offer tremendous application prospects in the field of preventing metal corrosion because of their superior functionality. The coordination of barrier performance and self-healing ability, however, continues to be difficult. Herein, a polymer coating based on polyethyleneimine (PEI) and polyacrylic acid (PAA) with self-repairing and barrier ability was designed. Introducing the catechol group into the anti-corrosion coating increases the adhesion and self-healing efficiency of the coating, providing a guarantee for the long-term stable bonding between the anti-corrosion coating and the metal substrate. Small molecular weight PAA polymers are added to polymer coatings to increase their self-healing capabilities and corrosion resistance. Because layer-by-layer assembly creates reversible hydrogen bonds and electrostatic bonds that help the coating repair itself when it is damaged, and because the traction of small molecular weight polyacrylic acid speeds up this process. When polyacrylic acid (PAA) with a molecular weight of 2000 was present in the coating at a concentration of 1.5 mg/mL, the coating's self-healing capability and corrosion resistance were at their peak. The PEI-C/PAA45W-PAA2000 coating completed the self-healing within 10 min, and the corrosion resistance efficiency (Pe) was as high as 90.1 %. The polarization resistance (Rp) was maintained at 7.67x104 &amp; omega; cm2 after immersion for more than 240 h. It was better than other samples in this work. The polymer provides a new idea for the prevention of metal corrosion. A polymer coating based on polyethyleneimine (PEI) and polyacrylic acid (PAA) with self-repairing and barrier ability was designed. Introducing the catechol group into the anti-corrosion coating increases the adhesion and self-healing efficiency of the coating, providing a guarantee for the long-term stable bonding between the anti-corrosion coating and the metal substrate. Small molecular weight PAA polymers are added to polymer coatings to increase their self-healing capabilities and corrosion resistance.image</t>
  </si>
  <si>
    <t>[Zhang, Meiling; Yu, Xiaoming; Sheng, Mengyi; Chen, Hua] Changchun Univ Technol, Sch Mat Sci &amp; Engn, Changchun 130012, Peoples R China; [Zhang, Meiling; Yu, Xiaoming; Sheng, Mengyi; Chen, Hua] Changchun Univ Technol, Key Lab Adv Struct Mat, Minist Educ, Changchun 130012, Peoples R China</t>
  </si>
  <si>
    <t>Changchun University of Technology; Changchun University of Technology</t>
  </si>
  <si>
    <t>Zhang, ML (corresponding author), Changchun Univ Technol, Sch Mat Sci &amp; Engn, Changchun 130012, Peoples R China.;Zhang, ML (corresponding author), Changchun Univ Technol, Key Lab Adv Struct Mat, Minist Educ, Changchun 130012, Peoples R China.</t>
  </si>
  <si>
    <t>Zhangml@hrbeu.edu.cn</t>
  </si>
  <si>
    <t>Zhang, Meiling/0000-0002-0996-9702</t>
  </si>
  <si>
    <t>National Natural Science Foundation of China (NSFC) [52001027]; Jilin Provincial Science and Technology Development Plan Project [20210101076JC, 20220201046GX]</t>
  </si>
  <si>
    <t>National Natural Science Foundation of China (NSFC)(National Natural Science Foundation of China (NSFC)); Jilin Provincial Science and Technology Development Plan Project</t>
  </si>
  <si>
    <t>This work was supported by National Natural Science Foundation of China (NSFC 52001027) and Jilin Provincial Science and Technology Development Plan Project (20210101076JC) and (20220201046GX).</t>
  </si>
  <si>
    <t>10.1002/asia.202300432</t>
  </si>
  <si>
    <t>Q9AM8</t>
  </si>
  <si>
    <t>WOS:001060372700001</t>
  </si>
  <si>
    <t>Babayan, M; Bidra, AS</t>
  </si>
  <si>
    <t>Babayan, Mikhail; Bidra, Avinash S.</t>
  </si>
  <si>
    <t>Management of bleeding during dental implant surgery using a novel implant with an abbreviated drilling protocol: A clinical report</t>
  </si>
  <si>
    <t>JOURNAL OF PROSTHODONTICS-IMPLANT ESTHETIC AND RECONSTRUCTIVE DENTISTRY</t>
  </si>
  <si>
    <t>dental implants; N1 implant; novel design; one drill; single drill; site preparation</t>
  </si>
  <si>
    <t>Coagulopathy is a well-recognized complication in dental surgery in patients who use oral anticoagulants or some dietary supplements. Proper pre-operative diagnosis, medical consultation, timely management, and conservative treatment can decrease the incidence of such complications. Management of bleeding during dental implant surgery commonly involves conventional methods such as discontinuation of anticoagulant use, compression, styptics, and local anesthetic administration containing vasoconstrictors. This clinical report describes the successful management of a patient with a history of coagulopathy who was rehabilitated with complete arch fixed implant-supported prostheses with immediate loading. A novel implant design with a significantly abbreviated single drill protocol for osteotomy preparation was used in an outpatient setting. The novel protocol successfully decreased the overall bleeding and significantly reduced the intraoperative time for the surgical procedure. Additional considerations related to the novel implant design and osteotomy protocol, supplementary applications, and advantages of the protocol are presented in this article.</t>
  </si>
  <si>
    <t>[Babayan, Mikhail] Univ Connecticut, Hlth Ctr, Div Periodont, Farmington, CT USA; [Bidra, Avinash S.] Univ Connecticut, Hlth Ctr, Dept Reconstruct Sci, Div Prosthodont, Farmington, CT USA; [Bidra, Avinash S.] Univ Connecticut, Dept Reconstruct Sci, Div Prosthodont, Hlth Ctr, 263 Farmington Ave,L7041, Farmington, CT 06030 USA</t>
  </si>
  <si>
    <t>University of Connecticut; University of Connecticut; University of Connecticut</t>
  </si>
  <si>
    <t>Bidra, AS (corresponding author), Univ Connecticut, Dept Reconstruct Sci, Div Prosthodont, Hlth Ctr, 263 Farmington Ave,L7041, Farmington, CT 06030 USA.</t>
  </si>
  <si>
    <t>avinashbidra@yahoo.com</t>
  </si>
  <si>
    <t>1059-941X</t>
  </si>
  <si>
    <t>1532-849X</t>
  </si>
  <si>
    <t>J PROSTHODONT</t>
  </si>
  <si>
    <t>J. Prosthodont.</t>
  </si>
  <si>
    <t>2023 SEP 7</t>
  </si>
  <si>
    <t>10.1111/jopr.13758</t>
  </si>
  <si>
    <t>Q8LA3</t>
  </si>
  <si>
    <t>WOS:001059970000001</t>
  </si>
  <si>
    <t>Canonica, GW; Agache, I; Schunemann, HJ; Roche, N; Price, D; del Giacco, S</t>
  </si>
  <si>
    <t>Canonica, G. Walter; Agache, Ioana; Schunemann, Holger J.; Roche, Nicolas; Price, David; del Giacco, Stefano</t>
  </si>
  <si>
    <t>Next generation health guidelines: The role of real-life data in evidence-based medicine</t>
  </si>
  <si>
    <t>ALLERGY</t>
  </si>
  <si>
    <t>[Canonica, G. Walter; Schunemann, Holger J.] Humanitas Univ, Dept Biomed Sci, Pieve Emanuele, Italy; [Canonica, G. Walter] Humanitas Clin &amp; Res Ctr IRCCS, Personalized Med Asthma &amp; Allergy, Rozzano, Italy; [Agache, Ioana] Transylvania Univ, Fac Med, Brasov, Romania; [Schunemann, Holger J.] Guidelines Int Network, Hamilton, ON, Canada; [Schunemann, Holger J.] McMaster Univ, Hamilton, ON, Canada; [Schunemann, Holger J.] GRADE Working Grp, Hamilton, ON, Canada; [Roche, Nicolas] Univ THOROS Thorax ORL Sommeil, AP HPCtr, Dept Med, Paris, France; [Roche, Nicolas] Univ Paris Cite, Inst Cochin, UMR 1016, Paris, France; [Price, David] Optimum Patient Care Global, Cambridge, England; [Price, David] Observat &amp; Pragmat Res Inst, Singapore, Singapore; [Price, David] Univ Aberdeen, Ctr Acad Primary Care, Div Appl Hlth Sci, Aberdeen, Scotland; [del Giacco, Stefano] Univ Cagliari, Dept Med Sci &amp; Publ Hlth, Cagliari, Italy; [del Giacco, Stefano] Univ Cagliari, Univ Hosp Duilio Casula, Unit Allergy &amp; Clin Immunol, Cagliari, Italy</t>
  </si>
  <si>
    <t>Humanitas University; Transylvania University of Brasov; McMaster University; Sanofi-Aventis; Sanofi France; UDICE-French Research Universities; Universite Paris Cite; Institut National de la Sante et de la Recherche Medicale (Inserm); University of Aberdeen; University of Cagliari; University of Cagliari</t>
  </si>
  <si>
    <t>Agache, I (corresponding author), Transylvania Univ, Fac Med, Brasov, Romania.</t>
  </si>
  <si>
    <t>ibrumaru@unitbv.ro</t>
  </si>
  <si>
    <t>; CANONICA, GIORGIO WALTER/ABF-2037-2020</t>
  </si>
  <si>
    <t>Price, David/0000-0002-9728-9992; Schunemann, Holger/0000-0003-3211-8479; CANONICA, GIORGIO WALTER/0000-0001-8467-2557</t>
  </si>
  <si>
    <t>0105-4538</t>
  </si>
  <si>
    <t>1398-9995</t>
  </si>
  <si>
    <t>Allergy</t>
  </si>
  <si>
    <t>10.1111/all.15887</t>
  </si>
  <si>
    <t>Allergy; Immunology</t>
  </si>
  <si>
    <t>R4EQ8</t>
  </si>
  <si>
    <t>WOS:001063899500001</t>
  </si>
  <si>
    <t>Chandel, N; Kapurderiya, M; Kanse, A; Rohini, R; Sreekumar, TV</t>
  </si>
  <si>
    <t>Chandel, Nishant; Kapurderiya, Mahesh; Kanse, Akash; Rohini, Rani; Sreekumar, T. V.</t>
  </si>
  <si>
    <t>Synergistic effect of single wall carbon nanotubes/graphene oxide hybrid nano-filler on thermal stabilization and tensile strength of polyacrylonitrile copolymer</t>
  </si>
  <si>
    <t>carbon nanotube; graphene oxide; hybrid nano-filler; polyacrylonitrile; thermal stabilization</t>
  </si>
  <si>
    <t>GRAPHENE OXIDE; MECHANICAL-PROPERTIES; NANOCOMPOSITES; CARBONIZATION; COMPOSITES; FIBER</t>
  </si>
  <si>
    <t>This study reports how hybrid nano-filler can enhance the tensile strength, electrical properties and thermal stabilization of PAN (polyacrylonitrile) nanocomposite films. The nano-fillers used are graphene oxide (GO), single-wall carbon nanotubes (SWCNT), and a hybrid of both. The combination of both nano-fillers was made by dispersing GO in DMAc (dimethyl acetamide) and then adding SWCNT to the solution. The solution was mixed well using ultrasonication and high-speed stirring. 1 wt% amount of nano-filler solutions was added to PAN liquid to make PAN nanocomposite films. The films were tested for mechanical properties, electrical resistivity, thermoxidative stabilization, and thermal stability. The results showed that adding nano-fillers to PAN significantly improved its tensile strength. GO increased the tensile strength by 42.9% (38.3 MPa), while SWCNT increased it by 57.3% (42.15 MPa). The combination of both (0.5 wt% SWCNT + 0.5 wt% GO) had a remarkable effect, increasing the tensile strength by 96% (52.53 MPa). This was because the combination of both prevented SWCNT from agglomerating together and made it interact better with the PAN, forming a complete network. The combination of both also made the PAN oxidize and stabilize early and efficiently during heating, which made its residual weight increase by similar to 5.5% more than pristine PAN in TGA. The electrical resistivity and SEM micrograph data correlate with the thermal analysis data, showing that PCG (1 wt% combination) reached the percolation threshold because of the benefits of both GO and SWCNT. The combination of both also showed 95.6% synergy in tensile strength compared to individual nano-fillers, indicating its potential for efficient reinforcement.</t>
  </si>
  <si>
    <t>[Chandel, Nishant; Kapurderiya, Mahesh; Kanse, Akash; Sreekumar, T. V.] Bombay Text Res Assoc, Carbon Fibre Lab, Mumbai 400086, India; [Chandel, Nishant; Rohini, Rani] Indian Inst Technol Jammu, Dept Mat Engn, Jammu 110016, India</t>
  </si>
  <si>
    <t>Indian Institute of Technology System (IIT System); Indian Institute of Technology (IIT) Jammu</t>
  </si>
  <si>
    <t>Sreekumar, TV (corresponding author), Bombay Text Res Assoc, Carbon Fibre Lab, Mumbai 400086, India.;Rohini, R (corresponding author), Indian Inst Technol Jammu, Dept Mat Engn, Jammu 110016, India.</t>
  </si>
  <si>
    <t>rani.rohini@iitjammu.ac.in; carbonfibre@btraindia.com</t>
  </si>
  <si>
    <t>The authors would like to express their sincere thanks to the National Technical Textile Mission for providing financial funding for this research work.</t>
  </si>
  <si>
    <t>10.1002/pc.27721</t>
  </si>
  <si>
    <t>R2WV2</t>
  </si>
  <si>
    <t>WOS:001063013400001</t>
  </si>
  <si>
    <t>Ehret, DEY; Gebremedhin, AD; Berhe, AH; Hailu, Y; Metaferia, G; Kessler, K; Kessler, R; Dunn, M; Golan, A; Stavel, M; Belava, J; Horbar, JD; Edwards, EM; Worku, B; Dunn, M; Abayneh, M</t>
  </si>
  <si>
    <t>Ehret, Danielle E. Y.; Gebremedhin, Asrat Demtse; Berhe, Amanuel Hadgu; Hailu, Yohanes; Metaferia, Gesit; Kessler, Kaitlin; Kessler, Ryan; Dunn, Marie; Golan, Agneta; Stavel, Miroslav; Belava, Jaroslava; Horbar, Jeffrey D.; Edwards, Erika M.; Worku, Bogale; Dunn, Michael; Abayneh, Mahlet</t>
  </si>
  <si>
    <t>High inter-rater reliability between physicians and nurses utilising modified Downes &amp; apos; scores in preterm respiratory distress</t>
  </si>
  <si>
    <t>continuous positive airway pressure; downes' score; neonatal mortality; neonatal nursing; respiratory distress syndrome</t>
  </si>
  <si>
    <t>INFANTS; CPAP</t>
  </si>
  <si>
    <t>Aim To assess the inter-rater reliability of modified Downes' scores assigned by physicians and nurses in the Ethiopian Neonatal Network and to calculate the concordance of score-based treatment for preterm infants with respiratory distress.Methods We included preterm infants admitted from June 2020 to July 2021 to four tertiary neonatal intensive care units (NICUs) of the Ethiopian Neonatal Network that presented with respiratory distress. We calculated the kappa statistic to determine the nurse and physician correlation for each component of the modified Downes' score and total score on admission and evaluated the concordance of scores above and below the treatment threshold of 4.Results Of the 1151 eligible infants admitted, 817 infants (71%) had scores reported concurrently and independently by nurse and physician. The kappa statistic for modified Downes' score components ranged from 0.88 to 0.92 and was 0.89 for the total score. There was 98% concordance for score-based treatment.Conclusion Incorporation of the modified Downes' score on admission for preterm infants with respiratory distress was feasible in tertiary NICUs in Ethiopia. The kappa statistics showed near-perfect agreement between nurse and physician assessments, translating to a very high degree of concordance in score-based treatment recommendations. These results highlight an opportunity for task-shifting assessments and empowering nurses.</t>
  </si>
  <si>
    <t>[Ehret, Danielle E. Y.; Horbar, Jeffrey D.; Edwards, Erika M.] Univ Vermont, Larner Coll Med, Dept Pediat, Burlington, VT USA; [Ehret, Danielle E. Y.; Horbar, Jeffrey D.; Edwards, Erika M.] Vermont Oxford Network, Burlington, VT USA; [Gebremedhin, Asrat Demtse] Coll Hlth Sci, Dept Pediat &amp; Child Hlth, Addis Ababa, Ethiopia; [Berhe, Amanuel Hadgu] Mekelle Univ, Dept Pediat &amp; Child Hlth, Mekelle, Ethiopia; [Hailu, Yohanes] Univ Gondar, Dept Pediat &amp; Child Hlth, Gondar, Ethiopia; [Metaferia, Gesit; Abayneh, Mahlet] St Pauls Hosp Millennium Med Coll, Dept Pediat &amp; Child Hlth, Addis Ababa, Ethiopia; [Kessler, Kaitlin; Kessler, Ryan] Univ Vermont, Med Ctr, Burlington, VT USA; [Dunn, Marie] St Michaels Hosp, Toronto, ON, Canada; [Golan, Agneta] Soroka Med Ctr, Beer Sheva, Israel; [Stavel, Miroslav] Royal Columbian Hosp, New Westminster, BC, Canada; [Belava, Jaroslava] Vancouver Coastal Hlth, Vancouver, BC, Canada; [Edwards, Erika M.] Univ Vermont, Coll Engn &amp; Math Sci, Burlington, VT USA; [Worku, Bogale] Ethiopian Pediat Soc, Addis Ababa, Ethiopia; [Dunn, Michael] Univ Toronto, Dept Paediat, Toronto, ON, Canada; [Ehret, Danielle E. Y.] 33 Kilburn St, Burlington, VT 05401 USA</t>
  </si>
  <si>
    <t>University of Vermont; Mekelle University; University of Gondar; University of Vermont; University of Vermont Medical Center; University of Toronto; Saint Michaels Hospital Toronto; Ben Gurion University; Soroka Medical Center; Vancouver Coastal Health Research Institute; University of Vermont; University of Toronto</t>
  </si>
  <si>
    <t>Ehret, DEY (corresponding author), 33 Kilburn St, Burlington, VT 05401 USA.</t>
  </si>
  <si>
    <t>dehret@vtoxford.org</t>
  </si>
  <si>
    <t>Bill and Melinda Gates Foundation [INV-002559]; Bill and Melinda Gates Foundation [INV-002559] Funding Source: Bill and Melinda Gates Foundation</t>
  </si>
  <si>
    <t>Bill and Melinda Gates Foundation(Bill &amp; Melinda Gates Foundation); Bill and Melinda Gates Foundation(Bill &amp; Melinda Gates Foundation)</t>
  </si>
  <si>
    <t>Bill and Melinda Gates Foundation, Grant/ Award Number: INV-002559</t>
  </si>
  <si>
    <t>10.1111/apa.16957</t>
  </si>
  <si>
    <t>R2QM6</t>
  </si>
  <si>
    <t>WOS:001062846900001</t>
  </si>
  <si>
    <t>Galassi, C; Klapp, V; Yamazaki, T; Galluzzi, L</t>
  </si>
  <si>
    <t>Galassi, Claudia; Klapp, Vanessa; Yamazaki, Takahiro; Galluzzi, Lorenzo</t>
  </si>
  <si>
    <t>Molecular determinants of immunogenic cell death elicited by radiation therapy</t>
  </si>
  <si>
    <t>IMMUNOLOGICAL REVIEWS</t>
  </si>
  <si>
    <t>ATP; calreticulin; HMGB1; immune checkpoint inhibitors; PD-L1; type I IFN</t>
  </si>
  <si>
    <t>CALRETICULIN EXPOSURE; MITOCHONDRIAL-DNA; APOPTOTIC CELLS; ENDOPLASMIC-RETICULUM; INCREASED EXPRESSION; CANCER PROGRESSION; IMMUNE-RESPONSES; DENDRITIC CELLS; POOR-PROGNOSIS; ATP SECRETION</t>
  </si>
  <si>
    <t>Cancer cells undergoing immunogenic cell death (ICD) can initiate adaptive immune responses against dead cell-associated antigens, provided that (1) said antigens are not perfectly covered by central tolerance (antigenicity), (2) cell death occurs along with the emission of immunostimulatory cytokines and damage-associated molecular patterns (DAMPs) that actively engage immune effector mechanisms (adjuvanticity), and (3) the microenvironment of dying cells is permissive for the initiation of adaptive immunity. Finally, ICD-driven immune responses can only operate and exert cytotoxic effector functions if the microenvironment of target cancer cells enables immune cell infiltration and activity. Multiple forms of radiation, including non-ionizing (ultraviolet) and ionizing radiation, elicit bona fide ICD as they increase both the antigenicity and adjuvanticity of dying cancer cells. Here, we review the molecular determinants of ICD as elicited by radiation as we critically discuss strategies to reinforce the immunogenicity of cancer cells succumbing to clinically available radiation strategies.</t>
  </si>
  <si>
    <t>[Galassi, Claudia; Yamazaki, Takahiro; Galluzzi, Lorenzo] Weill Cornell Med Coll, Dept Radiat Oncol, New York, NY 10065 USA; [Klapp, Vanessa] Luxembourg Inst Hlth, Dept Canc Res, Tumor Stroma Interact, Luxembourg, Luxembourg; [Klapp, Vanessa] Univ Luxembourg, Fac Sci Technol &amp; Med, Esch Sur Alzette, Luxembourg; [Galluzzi, Lorenzo] Sandra &amp; Edward Meyer Canc Ctr, New York, NY USA; [Galluzzi, Lorenzo] Caryl &amp; Israel Englander Inst Precis Med, New York, NY USA</t>
  </si>
  <si>
    <t>Cornell University; Weill Cornell Medicine; Luxembourg Institute of Health; University of Luxembourg</t>
  </si>
  <si>
    <t>Galassi, C; Galluzzi, L (corresponding author), Weill Cornell Med Coll, Dept Radiat Oncol, New York, NY 10065 USA.</t>
  </si>
  <si>
    <t>clg4005@med.cornell.edu; deadoc80@gmail.com</t>
  </si>
  <si>
    <t>Luxembourg National Research Fund (FNR) [PRIDE19/14254520/i2TRON]; Functional Genomics Initiative (New York, US); US DoD BCRP [W81XWH2120034]; Laura Ziskin Prize in Translational Research from the Stand Up to Cancer (SU2C) [ZP-6177]; Leukemia and Lymphoma Society (LLS); American Italian Cancer Foundation [223565-01]; Industrial collaborations with Lytix Biopharma (Oslo, Norway); Promontory (New York, US); Onxeo (Paris, France); Pre-SPORE grant; Sandra and Edward Meyer Cancer Center (New York, US); Luke Heller TECPR2 Foundation (Boston, US); Sotio a.s. (Prague, Czech Republic); Lytix Biopharma (Oslo, Norway); Ricerchiamo (Brescia, Italy); Noxopharm (Chatswood, Australia); NIH/ NCI by two Breakthrough Level 2 grants from the US DoD BCRP [CA271915, BC180476P1, BC210945]; STARR Cancer Consortium [I16-0064]; Dept. of Radiation Oncology at Weill Cornell Medicine (New York, US); NIH/NCI [CA274291]</t>
  </si>
  <si>
    <t>Luxembourg National Research Fund (FNR)(Luxembourg National Research Fund); Functional Genomics Initiative (New York, US); US DoD BCRP(United States Department of Defense); Laura Ziskin Prize in Translational Research from the Stand Up to Cancer (SU2C); Leukemia and Lymphoma Society (LLS)(Leukemia and Lymphoma Society); American Italian Cancer Foundation; Industrial collaborations with Lytix Biopharma (Oslo, Norway); Promontory (New York, US); Onxeo (Paris, France); Pre-SPORE grant; Sandra and Edward Meyer Cancer Center (New York, US); Luke Heller TECPR2 Foundation (Boston, US); Sotio a.s. (Prague, Czech Republic); Lytix Biopharma (Oslo, Norway); Ricerchiamo (Brescia, Italy); Noxopharm (Chatswood, Australia); NIH/ NCI by two Breakthrough Level 2 grants from the US DoD BCRP; STARR Cancer Consortium; Dept. of Radiation Oncology at Weill Cornell Medicine (New York, US); NIH/NCI(United States Department of Health &amp; Human ServicesNational Institutes of Health (NIH) - USANIH National Cancer Institute (NCI))</t>
  </si>
  <si>
    <t>Luxembourg National Research Fund (FNR), Grant/Award Number: PRIDE19/14254520/i2TRON; Rapid Response Grant from the Functional Genomics Initiative (New York, US); Transformative Breast Cancer Consortium Grant from the US DoD BCRP, Grant/ Award Number: #W81XWH2120034; 2019 Laura Ziskin Prize in Translational Research from the Stand Up to Cancer (SU2C), Grant/Award Number: #ZP-6177; A Mantle Cell Lymphoma Research Initiative (MCL-RI, PI: Chen-Kiang) grant from the Leukemia and Lymphoma Society (LLS); American Italian Cancer Foundation, Grant/Award Number: AICF; #223565-01; Industrial collaborations with Lytix Biopharma (Oslo, Norway), Promontory (New York, US) and Onxeo (Paris, France); Pre-SPORE grant (PI: Demaria, Formenti) and a Clinical Trials Innovation Grant from the Sandra and Edward Meyer Cancer Center (New York, US); Promontory (New York, US), the Luke Heller TECPR2 Foundation (Boston, US), Sotio a.s. (Prague, Czech Republic), Lytix Biopharma (Oslo, Norway), Onxeo (Paris, France), Ricerchiamo (Brescia, Italy), and Noxopharm (Chatswood, Australia).; R01 grant from the NIH/ NCI by two Breakthrough Level 2 grants from the US DoD BCRP, Grant/Award Number: # CA271915, #BC180476P1 and #BC210945; STARR Cancer Consortium, Grant/Award Number: #I16-0064; Startup funds from the Dept. of Radiation Oncology at Weill Cornell Medicine (New York, US); U54 grant (PI: Formenti, Weichselbaum, Deasy) from NIH/NCI, Grant/Award Number: #CA274291</t>
  </si>
  <si>
    <t>0105-2896</t>
  </si>
  <si>
    <t>1600-065X</t>
  </si>
  <si>
    <t>IMMUNOL REV</t>
  </si>
  <si>
    <t>Immunol. Rev.</t>
  </si>
  <si>
    <t>10.1111/imr.13271</t>
  </si>
  <si>
    <t>Immunology</t>
  </si>
  <si>
    <t>Q8QI0</t>
  </si>
  <si>
    <t>WOS:001060107800001</t>
  </si>
  <si>
    <t>Jafarzadeh, S; Farzaneh, A; Haddadi-Asl, V; Jouibari, IS</t>
  </si>
  <si>
    <t>Jafarzadeh, Shahabaldin; Farzaneh, Arman; Haddadi-Asl, Vahid; Jouibari, Iman Sahebi</t>
  </si>
  <si>
    <t>A review on electrically conductive polyurethane nanocomposites: From principle to application</t>
  </si>
  <si>
    <t>polyurethanes; composites; nanocomposite; fillers</t>
  </si>
  <si>
    <t>IN-SITU POLYMERIZATION; CARBON NANOTUBES; THERMOPLASTIC POLYURETHANE; BIODEGRADABLE POLYURETHANE; GRAPHENE NANOPLATELETS; THERMAL-CONDUCTIVITY; COMPOSITE FIBERS; PERFORMANCE; HYBRID; BLACK</t>
  </si>
  <si>
    <t>Polyurethanes (PUs) thanks to the occurrence of phase separation and biphasic structure prevail over other polymer matrixes for impregnation of conductive fillers and production of conductive composites. A number of carbonous fillers including carbon black, carbon fiber, carbon nanotube, graphite and its derivatives, and fullerene can be loaded into the PU matrixes to impart electrical conductivity. The properties of the carbonous fillers, the filler/PU interactions, and the method of compositing determine the conductive performance of the composite. It is possible to modulate the properties of the conductive PU composites and employ them for a number of electronic applications including but not limited to the strain sensors, electromagnetic interference shielding materials, supercapacitors, and tissue engineering scaffolds. In the present review, first, the distinctive properties of PU as a matrix of conductive composites have been discussed. Then, various carbon fillers loaded into the PU matrixes and their structural and conductive properties have been debated. Thereafter, the fabrication methods of the conductive composites as well as the influential parameters on the electrical properties of the composites have been reviewed to provide an insight into how fulfill a PU composite with the desired electrical performance. And finally, a number of applications of conductive PU composites have been put forward.HighlightsPolyurethanes are very capable matrixes for conductive composites.Carbonous fillers can be loaded into the PU matrixes to impart conductivity.Conductive PU composites are employed for a number of electronic applications.Herein, properties, fillers, and applications of PU composites are reviewed. Electrically conductive polyurethane nanocomposites with carbon based fillers.image</t>
  </si>
  <si>
    <t>[Jafarzadeh, Shahabaldin; Farzaneh, Arman; Haddadi-Asl, Vahid; Jouibari, Iman Sahebi] Amirkabir Univ Technol, Dept Polymer Engn &amp; Color Technol, Tehran Polytech, Tehran, Iran; [Haddadi-Asl, Vahid] Amirkabir Univ Technol, Dept Polymer Engn &amp; Color Technol, Tehran Polytech, Tehran 1591634311, Iran</t>
  </si>
  <si>
    <t>Amirkabir University of Technology; Amirkabir University of Technology</t>
  </si>
  <si>
    <t>Haddadi-Asl, V (corresponding author), Amirkabir Univ Technol, Dept Polymer Engn &amp; Color Technol, Tehran Polytech, Tehran 1591634311, Iran.</t>
  </si>
  <si>
    <t>haddadi@aut.ac.ir</t>
  </si>
  <si>
    <t>10.1002/pc.27706</t>
  </si>
  <si>
    <t>Q8KD3</t>
  </si>
  <si>
    <t>WOS:001059947000001</t>
  </si>
  <si>
    <t>Jin, RW; Li, YD; Shosted, RK; Xing, FX; Gilbert, I; Perry, JL; Woo, J; Liang, ZP; Sutton, BP</t>
  </si>
  <si>
    <t>Jin, Riwei; Li, Yudu; Shosted, Ryan K.; Xing, Fangxu; Gilbert, Imani; Perry, Jamie L.; Woo, Jonghye; Liang, Zhi-Pei; Sutton, Bradley P.</t>
  </si>
  <si>
    <t>Optimization of 3D dynamic speech MRI: Poisson-disc undersampling and locally higher-rank reconstruction through partial separability model with regional optimized temporal basis</t>
  </si>
  <si>
    <t>MAGNETIC RESONANCE IN MEDICINE</t>
  </si>
  <si>
    <t>dynamic MRI; linguistics; low rank reconstruction; speech MRI</t>
  </si>
  <si>
    <t>NASALIZATION; ARTICULATION</t>
  </si>
  <si>
    <t>Purpose To improve the spatiotemporal qualities of images and dynamics of speech MRI through an improved data sampling and image reconstruction approach.Methods For data acquisition, we used a Poisson-disc random under sampling scheme that reduced the undersampling coherence. For image reconstruction, we proposed a novel locally higher-rank partial separability model. This reconstruction model represented the oral and static regions using separate low-rank subspaces, therefore, preserving their distinct temporal signal characteristics. Regional optimized temporal basis was determined from the regional-optimized virtual coil approach. Overall, we achieved a better spatiotemporal image reconstruction quality with the potential of reducing total acquisition time by 50%.Results The proposed method was demonstrated through several 2-mm isotropic, 64 mm total thickness, dynamic acquisitions with 40 frames per second and compared to the previous approach using a global subspace model along with other k-space sampling patterns. Individual timeframe images and temporal profiles of speech samples were shown to illustrate the ability of the Poisson-disc under sampling pattern in reducing total acquisition time. Temporal information of sagittal and coronal directions was also shown to illustrate the effectiveness of the locally higher-rank operator and regional optimized temporal basis. To compare the reconstruction qualities of different regions, voxel-wise temporal SNR analysis were performed.Conclusion Poisson-disc sampling combined with a locally higher-rank model and a regional-optimized temporal basis can drastically improve the spatiotemporal image quality and provide a 50% reduction in overall acquisition time.</t>
  </si>
  <si>
    <t>[Jin, Riwei; Sutton, Bradley P.] Univ Illinois, Dept Bioengn, Urbana, IL 61801 USA; [Jin, Riwei; Li, Yudu; Liang, Zhi-Pei; Sutton, Bradley P.] Univ Illinois, Beckman Inst Adv Sci &amp; Technol, Urbana, IL 61801 USA; [Li, Yudu; Liang, Zhi-Pei; Sutton, Bradley P.] Univ Illinois, Natl Ctr Supercomp Applicat, Urbana, IL 61801 USA; [Shosted, Ryan K.] Univ Illinois, Dept Linguist, Urbana, IL 61801 USA; [Xing, Fangxu; Woo, Jonghye] Harvard Med Sch, Massachusetts Gen Hosp, Gordon Ctr Med Imaging, Dept Radiol, Boston, MA USA; [Gilbert, Imani; Perry, Jamie L.] East Carolina Univ, Dept Commun Sci &amp; Disorders, Greenville, NC USA; [Liang, Zhi-Pei] Univ Illinois, Dept Elect &amp; Comp Engn, Urbana, IL 61801 USA; [Sutton, Bradley P.] Univ Illinois, Carle Illinois Coll Med, Urbana, IL 61801 USA</t>
  </si>
  <si>
    <t>University of Illinois System; University of Illinois Urbana-Champaign; University of Illinois System; University of Illinois Urbana-Champaign; University of Illinois System; University of Illinois Urbana-Champaign; University of Illinois System; University of Illinois Urbana-Champaign; Harvard University; Harvard Medical School; Massachusetts General Hospital; University of North Carolina; East Carolina University; University of Illinois System; University of Illinois Urbana-Champaign; University of Illinois System; University of Illinois Urbana-Champaign</t>
  </si>
  <si>
    <t>Sutton, BP (corresponding author), Univ Illinois, Dept Bioengn, Urbana, IL 61801 USA.</t>
  </si>
  <si>
    <t>bsutton@illinois.edu</t>
  </si>
  <si>
    <t>Sutton, Bradley/A-4801-2008</t>
  </si>
  <si>
    <t>Sutton, Bradley/0000-0002-8443-0408</t>
  </si>
  <si>
    <t>National Institute of Dental and Craniofacial Research [R01DE027989]</t>
  </si>
  <si>
    <t>National Institute of Dental and Craniofacial Research(United States Department of Health &amp; Human ServicesNational Institutes of Health (NIH) - USANIH National Institute of Dental &amp; Craniofacial Research (NIDCR))</t>
  </si>
  <si>
    <t>National Institute of Dental and Craniofacial Research, Grant/Award Number: R01DE027989</t>
  </si>
  <si>
    <t>0740-3194</t>
  </si>
  <si>
    <t>1522-2594</t>
  </si>
  <si>
    <t>MAGN RESON MED</t>
  </si>
  <si>
    <t>Magn. Reson. Med.</t>
  </si>
  <si>
    <t>10.1002/mrm.29812</t>
  </si>
  <si>
    <t>R3FS8</t>
  </si>
  <si>
    <t>WOS:001063248700001</t>
  </si>
  <si>
    <t>Karoui, IJ; Terras, DS; Yeddes, W; Hammami, M; Abderrabba, M</t>
  </si>
  <si>
    <t>Karoui, Iness Jabri; Terras, Dorra Sfayhi; Yeddes, Walid; Hammami, Majdi; Abderrabba, Manef</t>
  </si>
  <si>
    <t>Formulation of pasta enriched with protein-rich lupine (Lupinus mutabilis Sweet) and wheat bran using mixture design approach</t>
  </si>
  <si>
    <t>JOURNAL OF FOOD SCIENCE</t>
  </si>
  <si>
    <t>pasta; protein; functional food; lupin flour; dietary fiber</t>
  </si>
  <si>
    <t>DIETARY-FIBER; FLOUR INCORPORATION; PHENOLIC-COMPOUNDS; QUALITY; INGREDIENTS; FOODS</t>
  </si>
  <si>
    <t>In recent years, as awareness of healthy diets has increased, consumers are becoming more aware of their food and are paying more attention to their diet. Nutritionists have recommended an increased consumption of dietary fiber in the daily diet to improve health. Within this context, this work aims to formulate spaghetti pasta enriched with lupin flour and wheat bran. For the formulation of the mixture of those flours, we used the NemrodW software to predict the optimal pasta formula. A physicochemical characterization, as well as the culinary quality of the pasta resulting from the different mixtures, was carried out to model each significant criterion and choose the optimal mixture that will be used in the pasta recipe. The evaluation of the physicochemical characteristics of the pasta showed that the addition of lupin flour and bran resulted in an improvement in the nutritional value of the enriched spaghetti. Following the results obtained, the software proposed an optimal mix and will be used for further study. This formula comprises 19.60% bran, 27.83% lupin flour, and 52.75% durum wheat semolina. The caloric value of the dough from the optimal mix was determined and compared to that of the standard dough. The results of our study indicated a significant improvement in the nutritional value of the enriched pasta compared to the standard pasta. The enriched pasta contained higher levels of protein, ash, lipids, polyphenols, and pigments and lower levels of sugars, which make it a more nutritious option for certain individuals, such as athletes or those following a protein or low-sugar diet.Practical ApplicationThe proposed method of substituting wheat semolina with lupine flour and wheat bran in spaghetti formulation has demonstrated a potential for producing protein-rich and nutritionally enriched pasta. This approach can be useful for developing similar functional food products that cater to the dietary requirements of athletes or individuals following a protein or low-sugar diet.</t>
  </si>
  <si>
    <t>[Karoui, Iness Jabri; Abderrabba, Manef] Univ Carthage, Preparatory Inst Sci &amp; Tech Studies, Lab Mat Mol &amp; Applicat, Tunis, Tunisia; [Terras, Dorra Sfayhi] Univ Carthage, Natl Agr Res Inst Tunisia INRAT, Field Crops Lab LR16INRAT02, Ariana, Tunisia; [Yeddes, Walid; Hammami, Majdi] Ctr Borj Cedria, Lab Med &amp; Aromat Plants Biotechnol, BP 901, Hammam Lif 2050, Tunisia</t>
  </si>
  <si>
    <t>Universite de Carthage; Universite de Carthage</t>
  </si>
  <si>
    <t>Hammami, M (corresponding author), Ctr Borj Cedria, Lab Med &amp; Aromat Plants Biotechnol, BP 901, Hammam Lif 2050, Tunisia.</t>
  </si>
  <si>
    <t>hammamimajdi@hotmail.com</t>
  </si>
  <si>
    <t>Hammami, Majdi/R-1185-2016</t>
  </si>
  <si>
    <t>Hammami, Majdi/0000-0002-4376-0638; jabri karoui, iness/0000-0002-0597-9460</t>
  </si>
  <si>
    <t>0022-1147</t>
  </si>
  <si>
    <t>1750-3841</t>
  </si>
  <si>
    <t>J FOOD SCI</t>
  </si>
  <si>
    <t>J. Food Sci.</t>
  </si>
  <si>
    <t>10.1111/1750-3841.16736</t>
  </si>
  <si>
    <t>R3JO3</t>
  </si>
  <si>
    <t>WOS:001063350100001</t>
  </si>
  <si>
    <t>Kassaw, E; Masresha, G; Asefa, M</t>
  </si>
  <si>
    <t>Kassaw, Eshete; Masresha, Getinet; Asefa, Mengesha</t>
  </si>
  <si>
    <t>Environment differentially affects the functional and phylogenetic structures of plant communities in a dry evergreen Afromontane tropical forest</t>
  </si>
  <si>
    <t>community assembly; ecological drivers; Ethiopia; functional traits; phylogenetic diversity; species abundance; trait diversity</t>
  </si>
  <si>
    <t>ASSEMBLY MECHANISMS; CHURCH FORESTS; SPATIAL SCALES; BETA DIVERSITY; TRAITS; ABUNDANCE; CONSERVATION; RELATEDNESS; CLIMATE; SIGNAL</t>
  </si>
  <si>
    <t>Testing how local environmental conditions influence plant community assembly is important to understand the underlying mechanisms that promote and/or maintain biodiversity. Functional traits are used to find the broad spectrum of resource use strategies that plants use to respond to environmental variation. The patterns and drivers of plant community assembly through the lens of traits and phylogeny; however, remain to be studied in a uniquely biodiversity rich but poorly known fragmented dry Afromontane forest of Ethiopia. Here, we combined trait and community phylogenetic data from thirty sampling plots of 20 x 20 m size to determine the functional and phylogenetic structures and their drivers in a fragmented, human-dominated dry evergreen Afromontane forest. We found phylogenetic and functional clustering of plants in which the effect of environment was found to be trait specific. A weak phylogenetic signal for traits was detected suggesting that species resource use strategies may not be inferred using species phylogenetic distance. Additionally, we found functional traits to be weak in predicting species abundance distribution. Overall, while this study shows a non-random community assembly pattern, it also highlights the importance of deterministic processes being trait specific.Abstract in Amharic is available with online material. ብዝሃ-ህይወት የሚጠብቁትን መሰረታዊ ስልቶች ለመረዳት፣ የአካባቢ ሁኔታዎች በእጽዋት ስርጭት ላይ እንዴት ተጽዕኖ እንደሚያሳድሩ ማጥናት አስፈላጊ ነው። ዘርፈ-ብዙ የሆነውን የእጽዋትንና አካባቢን መስተጋብር ለመረዳት የእጽዋቶች ባህሪያት (functional traits) ይጠቅማሉ:: በተራቆተው ነገር ግን በብዝሃ-ሂዎቱ በሚታወቀው በሰሜኑ የአትዮጵያ ክፍል የሚገኘው ደን የእጽዋት ስርጭትና ስርጭቱን የሚቆጣጠሩ ደንቢውች አልተጠኑም:: በዚህ ክፉኛ በተራቆተ አካባቢ ውስጥ በሚገኘው ደን እያንዳንዳቸው 20 x 20 ሜትር መጠን ባላቸው ሠላሳ የናሙና ቦታዎች በመውሰድ የደኑን ባህሪያት (functional traits) እና ዝምድና (phylogenetic relationships) መረጃ በመሰብሰብ, የ_x0012_ a5;ጽዋቶችን የቦታ አመራረጥና የደንቢወችን ተፅዕኖ አጥንተናል:: በጥናቱም የእጽዋቶችን ባህሪያት (functional traits) እና ዝምድና (phylogeny) ስርጭት በዘፈቀደ ሳይሆን ስልታዊ በሆነ ተመሳሳይ ፍላጎት ባላቸው እጽዋቶች መሰባሰብ ነው(clustering):: ነገር ግን የአካባቢው አፈር ተፅዕኖ በሁሉም የእጽዋት ባህሪያት (functional traits) ሳይሆን በተወሰኑ ብቻ ነው:: በተጨማሪም የእጽዋቶች አመጋገብ ስርዓት (resource use strategies) በመካከላቸው ባለው ዝምድና አይወሰንም:: ሩቅ ዝምድና ያላቸው እጽዋቶች ተመሳሳይ የአመጋገብ ፍላጎትና ስልት ሊኖራቸው ይችላል::ከዚህም በተጨማሪ የእጽዋቶች ባህሪያት (functional traits) የእጽዋቶችን የብዛት ስርጭት (Species abundance distribution) የመወሰን አቅማችው ደካማ ሆኖ ተገኝħ 7;ል::ባጠቃላይ ይህ ጥናት እጽዋቶች በዘፈቀደ ሳይሆን የተሰራጩት (random distribution)፣ የኣካባቢውን ሃብት (resource) መሰረት አድርገው መሆኑን አሳይቷል:: በተጨማሪም የአካባቢው ደንቢ ሁሉንም ባህሪያት(functional traits) እኩል ተፅዕኖ አላደረገም፣ ይልቁንም ባህሪያትን (traits) መሰረት ያደረገ ነው:: While trait and phylogenetic convergence of plant communities with trait-specific response to environmental factors was detected, traits were found to be weak in predicting species abundance distribution in a fragmented forest.image</t>
  </si>
  <si>
    <t>[Kassaw, Eshete; Masresha, Getinet; Asefa, Mengesha] Univ Gondar, Coll Nat &amp; Computat Sci, Dept Biol, Gondar 196, Ethiopia; [Asefa, Mengesha] Chinese Acad Sci, CAS Key Lab Trop Forest Ecol, Xishuangbanna Trop Bot Garden, Mengla, Peoples R China</t>
  </si>
  <si>
    <t>University of Gondar; Chinese Academy of Sciences; Xishuangbanna Tropical Botanical Garden, CAS</t>
  </si>
  <si>
    <t>Asefa, M (corresponding author), Univ Gondar, Coll Nat &amp; Computat Sci, Dept Biol, Gondar 196, Ethiopia.</t>
  </si>
  <si>
    <t>asefa_men@yahoo.com</t>
  </si>
  <si>
    <t>We would like to thank the University of Gondar for its financial support. Also, we are grateful to the Agricultural and Forestry Department of Maksegnet Woreda for the permission of this study to be conducted in this state-owned forest.; University of Gondar</t>
  </si>
  <si>
    <t>We would like to thank the University of Gondar for its financial support. Also, we are grateful to the Agricultural and Forestry Department of Maksegnet Woreda for the permission of this study to be conducted in this state-owned forest.</t>
  </si>
  <si>
    <t>10.1111/btp.13260</t>
  </si>
  <si>
    <t>Q8PY3</t>
  </si>
  <si>
    <t>WOS:001060098100001</t>
  </si>
  <si>
    <t>Lee, JH; Lee, YY; Choi, YS; Jang, HW</t>
  </si>
  <si>
    <t>Lee, Jae Hoon; Lee, Yun-Yeol; Choi, Yun-Sang; Jang, Hae Won</t>
  </si>
  <si>
    <t>Headspace stir-bar sorptive extraction combined with gas chromatography-mass spectrometry for trace analysis of volatile organic compounds in Schisandra chinensis Baillon (omija)</t>
  </si>
  <si>
    <t>gas chromatography-mass spectrometry; headspace stir-bar sorptive extraction; Schisandra chinensis Baillon; volatile organic compound</t>
  </si>
  <si>
    <t>AROMA-ACTIVE COMPOUNDS; WATER EXTRACT; ESSENTIAL OIL; ANTIOXIDANT; POLYSACCHARIDES; ANTIBACTERIAL; OPTIMIZATION; LIGNANS; PROFILE; MS</t>
  </si>
  <si>
    <t>Analyzing volatile organic compounds (VOCs) in food is crucial but challenging. Schisandra chinensis Baillon (omija) is an herbal plant with various functional health activities. Previous VOC analyses focused on S. chinensis fruit but not its leaves. Therefore, VOCs in S. chinensis fruit and leaves were analyzed using headspace stir-bar sorptive extraction (HS-SBSE)-GC-MS, and optimal conditions were established. Various factors, such as the sample preparation method, twister stir-bar type, sample amount, extraction temperature, and extraction time, expected to affect extraction were carefully optimized. Under the optimal conditions, 35 and 40 VOCs were identified in S. chinensis fruit and leaves, respectively. This HS-SBSE method is capable of rapid analysis and a low contamination rate without requiring organic solvents. These findings provide practical guidelines for HS-SBSE applications in various food matrices by providing analytical methods for VOC detection.</t>
  </si>
  <si>
    <t>[Lee, Jae Hoon; Lee, Yun-Yeol; Choi, Yun-Sang] Korea Food Res Inst, Wonju, South Korea; [Jang, Hae Won] Sungshin Womens Univ, Dept Food Sci &amp; Biotechnol, Seoul, South Korea; [Jang, Hae Won] Sungshin Womens Univ, Dept Food Sci &amp; Biotechnol, 55,76 ga gil, Seoul 01133, South Korea</t>
  </si>
  <si>
    <t>Korea Food Research Institute (KFRI); Sungshin Women's University; Sungshin Women's University</t>
  </si>
  <si>
    <t>Jang, HW (corresponding author), Sungshin Womens Univ, Dept Food Sci &amp; Biotechnol, 55,76 ga gil, Seoul 01133, South Korea.</t>
  </si>
  <si>
    <t>hwjang@sungshin.ac.kr</t>
  </si>
  <si>
    <t>Yun-Sang, Choi/AAR-6256-2021</t>
  </si>
  <si>
    <t>Yun-Sang, Choi/0000-0001-8060-6237</t>
  </si>
  <si>
    <t>National Research Foundation of Korea (NRF) - Korea government (Ministry of Science and ICT) [RS-2023-00213840]; Main Research Program [E0211200-03]; Ministry of Science and ICT (Korea)</t>
  </si>
  <si>
    <t>National Research Foundation of Korea (NRF) - Korea government (Ministry of Science and ICT)(National Research Foundation of KoreaMinistry of Science, ICT &amp; Future Planning, Republic of Korea); Main Research Program; Ministry of Science and ICT (Korea)(Ministry of Science, ICT &amp; Future Planning, Republic of Korea)</t>
  </si>
  <si>
    <t>This work was supported by the National Research Foundation of Korea (NRF) and a grant funded by the Korea government (Ministry of Science and ICT) (Grant number: RS-2023-00213840). This research was also supported by the Main Research Program [E0211200-03] of the Korea Food Research Institute (KFRI), funded by the Ministry of Science and ICT (Korea).</t>
  </si>
  <si>
    <t>10.1002/fsn3.3668</t>
  </si>
  <si>
    <t>R4EQ3</t>
  </si>
  <si>
    <t>WOS:001063899000001</t>
  </si>
  <si>
    <t>Ma, YQ; Zhang, XY; Zhao, SW; Li, D; Cai, MQ; Yang, H; Wang, XM; Xue, H</t>
  </si>
  <si>
    <t>Ma, Yan-Qing; Zhang, Xin-Yu; Zhao, Shi-Wei; Li, Dou; Cai, Min-Qin; Yang, Hui; Wang, Xiao-Ming; Xue, Hui</t>
  </si>
  <si>
    <t>Retinoic acid delays murine palatal shelf elevation by inhibiting Wnt5a-mediated noncanonical Wnt signaling and downstream Cdc-42/F-actin remodeling in mesenchymal cells</t>
  </si>
  <si>
    <t>BIRTH DEFECTS RESEARCH</t>
  </si>
  <si>
    <t>cleft palate; cytoskeleton; retinoic acid; Rho GTPase; Wnt signaling</t>
  </si>
  <si>
    <t>MORPHOGENESIS; EXPRESSION; RAC1; MECHANISMS</t>
  </si>
  <si>
    <t>Background: Mammalian palatal shelves erupted from maxillary prominences undergo vertical extention, transient elevation, and horizontal growth to fuse. Previous studies in mice reported that the retinoic acid (RA) contributed to cleft palate in high incidence by delaying the elevating procedure, but little was known about the underlying biological mechanisms. Methods: In this study, hematoxylin-eosin and immunofluorescence staining were employed to evaluate the phenotypes and the expression of related markers in the RA-treated mice model. In situ hybridization and RT-qPCR were used to detect the expression of genes involved in Wnt signaling pathway. The palatal mesenchymal cells were cultured in vitro, and stimulated with RA or CASIN, and co-treated with Foxy5. Wnt5a and Ccd42 expression were evaluated by immunofluorescence staining. Phalloidin was used to label the microfilament cytoskeleton (F-actin) in cultured cells. Results: We revealed that RA resulted in 100% incidence of cleft palate in mouse embryos, and the expression of genes responsible for Wnt5a-mediated noncanonical Wnt signal transduction were specifically downregulated in mesenchymal palatal shelves. The in vitro study of palatal mesenchymal cells indicated that RA treatment disrupted the organized remodeling of cytoskeleton, an indicative structure of cell migration regulated by the small Rho GTPase Cdc42. Moreover, we showed that the suppression of cytoskeleton and cell migration induced by RA was partially restored using the small molecule Foxy-5-mediated activation of Wnt5A, and this restoration was attenuated by CASIN (a selective GTPase Cdc42 inhibitor) again. Conclusions: These data identified a crucial mechanism for Wnt5a-mediated noncanonical Wnt signaling in acting downstream of Rho GTPase Cdc42 to regulate cytoskeletal remodeling and cell migration during the process of palate elevation. Our study provided a new explanation for the cause of cleft palate induced by RA.</t>
  </si>
  <si>
    <t>[Ma, Yan-Qing; Zhang, Xin-Yu; Zhao, Shi-Wei; Li, Dou; Cai, Min-Qin; Yang, Hui; Wang, Xiao-Ming] Lanzhou Univ, Sch Stomatol, Key Lab Dent Maxillofacial Reconstruct &amp; Biol Inte, Lanzhou 730000, Gansu, Peoples R China; [Ma, Yan-Qing; Zhang, Xin-Yu; Zhao, Shi-Wei; Li, Dou; Cai, Min-Qin; Yang, Hui; Wang, Xiao-Ming] Lanzhou Univ, Sch Stomatol, Dept Orthodont, Lanzhou 730000, Gansu, Peoples R China; [Xue, Hui] Nanjing Med Univ, Affiliated Suzhou Hosp, Suzhou Municipal Hosp, Gusu Sch,Dept Stomatol, Suzhou, Jiangsu, Peoples R China</t>
  </si>
  <si>
    <t>Lanzhou University; Lanzhou University; Nanjing Medical University</t>
  </si>
  <si>
    <t>Wang, XM (corresponding author), Lanzhou Univ, Sch Stomatol, Key Lab Dent Maxillofacial Reconstruct &amp; Biol Inte, Lanzhou 730000, Gansu, Peoples R China.;Xue, H (corresponding author), Nanjing Med Univ, Affiliated Suzhou Hosp, Suzhou Municipal Hosp, Gusu Sch,Dept Stomatol, Suzhou, Jiangsu, Peoples R China.</t>
  </si>
  <si>
    <t>wangxiaoming@lzu.edu.cn; huihui8277535@163.com</t>
  </si>
  <si>
    <t>fifth Gusu Outstanding Youth Medical Foundation of Suzhou, Jiangsu Province, China [GSWS2019062-GSWS2020077]; Fundamental Research Funds for the Central Universities [lzujbky-2021-41]; Open Subject Foundation of Key Laboratory of Dental Maxillofacial Reconstruction and Biological Intelligence Manufacturing [20JR10RA653 -ZDKF20210401]; School of Stomatology, Lanzhou University, Gansu Province; Suzhou Science and Technology Development Project, Jiangsu Province, China [SYS2020177-SYSD2020245]</t>
  </si>
  <si>
    <t>fifth Gusu Outstanding Youth Medical Foundation of Suzhou, Jiangsu Province, China; Fundamental Research Funds for the Central Universities(Fundamental Research Funds for the Central Universities); Open Subject Foundation of Key Laboratory of Dental Maxillofacial Reconstruction and Biological Intelligence Manufacturing; School of Stomatology, Lanzhou University, Gansu Province; Suzhou Science and Technology Development Project, Jiangsu Province, China</t>
  </si>
  <si>
    <t>the fifth Gusu Outstanding Youth Medical Foundation of Suzhou, Jiangsu Province, China (No. GSWS2019062-GSWS2020077);the Fundamental Research Funds for the Central Universities (NO: lzujbky-2021-41); the Open Subject Foundation of Key Laboratory of Dental Maxillofacial Reconstruction and Biological Intelligence Manufacturing (20JR10RA653 -ZDKF20210401), School of Stomatology, Lanzhou University, Gansu Province, Lanzhou 730000, PR China; the Suzhou Science and Technology Development Project, Jiangsu Province, China(SYS2020177-SYSD2020245)</t>
  </si>
  <si>
    <t>2472-1727</t>
  </si>
  <si>
    <t>BIRTH DEFECTS RES</t>
  </si>
  <si>
    <t>Birth Defects Res.</t>
  </si>
  <si>
    <t>10.1002/bdr2.2244</t>
  </si>
  <si>
    <t>Developmental Biology; Toxicology</t>
  </si>
  <si>
    <t>R3JL2</t>
  </si>
  <si>
    <t>WOS:001063347000001</t>
  </si>
  <si>
    <t>Mari, M; Voutyraki, C; Zacharioudaki, E; Delidakis, C; Filippidis, G</t>
  </si>
  <si>
    <t>Mari, Meropi; Voutyraki, Chrysanthi; Zacharioudaki, Eva; Delidakis, Christos; Filippidis, George</t>
  </si>
  <si>
    <t>Lipid content evaluation of Drosophila tumour associated haemocytes through Third Harmonic Generation measurements</t>
  </si>
  <si>
    <t>JOURNAL OF BIOPHOTONICS</t>
  </si>
  <si>
    <t>brain tumour; Drosophila; haemocytes; non-linear microscopy; phagocytosis; quantification of lipid droplets; third harmonic generation</t>
  </si>
  <si>
    <t>ECTOPIC FAT DEPOSITION; MORPHOGENETIC MOVEMENTS; MULTIPHOTON MICROSCOPY; CELLS; DROPLETS; CANCER; QUANTIFICATION; GROWTH; METABOLISM; BODIES</t>
  </si>
  <si>
    <t>Non-linear microscopy is a powerful imaging tool to examine structural properties and subcellular processes of various biological samples. The competence of Third Harmonic Generation (THG) includes the label free imaging with diffraction-limited resolution and three-dimensional visualization with negligible phototoxicity effects. In this study, THG records and quantifies the lipid content of Drosophila haemocytes, upon encountering normal or tumorigenic neural cells, in correlation with their shape or their state. We show that the lipid accumulations of adult haemocytes are similar before and after encountering normal cells. In contrast, adult haemocytes prior to their interaction with cancer cells have a low lipid index, which increases while they are actively engaged in phagocytosis only to decrease again when haemocytes become exhausted. This dynamic change in the lipid accrual of haemocytes upon encountering tumour cells could potentially be a useful tool to assess the phagocytic capacity or activation state of tumour-associated haemocytes.</t>
  </si>
  <si>
    <t>[Mari, Meropi; Filippidis, George] Fdn Res &amp; Technol Hellas, Inst Elect Struct &amp; Laser, Iraklion 71110, Greece; [Voutyraki, Chrysanthi; Zacharioudaki, Eva; Delidakis, Christos] Fdn Res &amp; Technol Hellas, Inst Mol Biol &amp; Biotechnol, Iraklion, Greece; [Mari, Meropi] Fdn Res &amp; Technol, Inst Elect Struct &amp; Laser, Iraklion 71110, Greece</t>
  </si>
  <si>
    <t>Foundation for Research &amp; Technology - Hellas (FORTH); Foundation for Research &amp; Technology - Hellas (FORTH)</t>
  </si>
  <si>
    <t>Mari, M (corresponding author), Fdn Res &amp; Technol, Inst Elect Struct &amp; Laser, Iraklion 71110, Greece.</t>
  </si>
  <si>
    <t>mmari@iesl.forth.gr</t>
  </si>
  <si>
    <t>Filippidis, George/A-2473-2014</t>
  </si>
  <si>
    <t>Filippidis, George/0000-0003-4748-5968; Mari, Meropi/0000-0002-5248-7485</t>
  </si>
  <si>
    <t>General Secretariat for Research and Technology (GSRT); LASERLAB EUROPE V [871124]</t>
  </si>
  <si>
    <t>General Secretariat for Research and Technology (GSRT)(Greek Ministry of Development-GSRT); LASERLAB EUROPE V</t>
  </si>
  <si>
    <t>General Secretariat for Research and Technology (GSRT); LASERLAB EUROPE V (871124)</t>
  </si>
  <si>
    <t>1864-063X</t>
  </si>
  <si>
    <t>1864-0648</t>
  </si>
  <si>
    <t>J BIOPHOTONICS</t>
  </si>
  <si>
    <t>J. Biophotonics</t>
  </si>
  <si>
    <t>e202300171</t>
  </si>
  <si>
    <t>10.1002/jbio.202300171</t>
  </si>
  <si>
    <t>Biochemical Research Methods; Biophysics; Optics</t>
  </si>
  <si>
    <t>Biochemistry &amp; Molecular Biology; Biophysics; Optics</t>
  </si>
  <si>
    <t>R4EQ1</t>
  </si>
  <si>
    <t>WOS:001063898800001</t>
  </si>
  <si>
    <t>Molent, L; Fox, MR</t>
  </si>
  <si>
    <t>Molent, Loris; Fox, Matthew R.</t>
  </si>
  <si>
    <t>Crack-like effectiveness of some discontinuities in AA2024</t>
  </si>
  <si>
    <t>FATIGUE &amp; FRACTURE OF ENGINEERING MATERIALS &amp; STRUCTURES</t>
  </si>
  <si>
    <t>AA2024; discontinuities; fatigue cracking; nucleation</t>
  </si>
  <si>
    <t>SHORT FATIGUE CRACKS; INITIATION; BEHAVIOR; GROWTH; SIZES</t>
  </si>
  <si>
    <t>Maintaining aircraft airworthiness to ensure the fleet's safe operation and maintain its readiness is critically dependent on accurate modelling and reliable predictions of fatigue crack growth. In this process, a knowledge of the representative initial discontinuity sizes that cause fatigue crack nucleation and early growth in aircraft is essential. Here the effective pre-crack size of aluminum alloy 2024, from samples of aircraft production material and tested under aircraft spectra, are considered. The equivalent crack-like size of nucleating discontinuities in AA2024 have been derived from many different full-scale and coupon level fatigue tests using representative in-service flight loading.The distribution of the crack-like sizes was shown to conform to a log-normal.</t>
  </si>
  <si>
    <t>[Molent, Loris] Molent Aerostructures, Melbourne, Vic, Australia; [Fox, Matthew R.] Natl Transportat Safety Board, Washington, DC USA</t>
  </si>
  <si>
    <t>National Academies of Sciences, Engineering &amp; Medicine</t>
  </si>
  <si>
    <t>Molent, L (corresponding author), Molent Aerostructures, Melbourne, Vic, Australia.</t>
  </si>
  <si>
    <t>clanmolent@bigpond.com</t>
  </si>
  <si>
    <t>8756-758X</t>
  </si>
  <si>
    <t>1460-2695</t>
  </si>
  <si>
    <t>FATIGUE FRACT ENG M</t>
  </si>
  <si>
    <t>Fatigue Fract. Eng. Mater. Struct.</t>
  </si>
  <si>
    <t>10.1111/ffe.14145</t>
  </si>
  <si>
    <t>Engineering, Mechanical; Materials Science, Multidisciplinary</t>
  </si>
  <si>
    <t>Engineering; Materials Science</t>
  </si>
  <si>
    <t>Q8KD0</t>
  </si>
  <si>
    <t>WOS:001059946700001</t>
  </si>
  <si>
    <t>Nakatani, A; Okumura, R; Ishibashi, A; Okamoto, S; Sakaki, K; Ito, Y; Okuzaki, D; Inohara, H; Takeda, K</t>
  </si>
  <si>
    <t>Nakatani, Ayaka; Okumura, Ryu; Ishibashi, Airi; Okamoto, Shota; Sakaki, Kei; Ito, Yuki; Okuzaki, Daisuke; Inohara, Hidenori; Takeda, Kiyoshi</t>
  </si>
  <si>
    <t>Differential dependence on microbiota of IL-23/IL-22-dependent gene expression between the small- and large-intestinal epithelia</t>
  </si>
  <si>
    <t>cell proliferation; gut microbiota; IL-23/IL-22 axis; intestinal epithelial cells; lipid metabolism</t>
  </si>
  <si>
    <t>STEM-CELLS; INTERLEUKIN-22; INNATE; PROMOTES; HOST; SEGREGATION; INDUCTION; CANCER; DAMAGE; MODEL</t>
  </si>
  <si>
    <t>In the intestine, interleukin (IL)-23 and IL-22 from immune cells in the lamina propria contribute to maintenance of the gut epithelial barrier through the induction of antimicrobial production and the promotion of epithelial cell proliferation. Several previous studies suggested that some of the functions of the IL-23/IL-22 axis on intestinal epithelial cells are shared between the small and large intestines. However, the similarities and differences of the IL-23/IL-22 axis on epithelial cells between these two anatomical sites remain unclear. Here, we comprehensively analyzed the gene expression of intestinal epithelial cells in the ileum and colon of germ-free, Il23(-/-), and Il22(-/-) mice by RNA-sequencing. We found that while the IL-23/IL-22 axis is largely dependent on gut microbiota in the small intestine, it is much less dependent on it in the large intestine. In addition, the negative regulation of lipid metabolism in the epithelial cells by IL-23 and IL-22 in the small intestine was revealed, whereas the positive regulation of epithelial cell proliferation by IL-23 and IL-22 in the large intestine was highlighted. These findings shed light on the intestinal site-specific role of the IL-23/IL-22 axis in maintaining the physiological functions of intestinal epithelial cells.</t>
  </si>
  <si>
    <t>[Nakatani, Ayaka; Okumura, Ryu; Ishibashi, Airi; Okamoto, Shota; Sakaki, Kei; Ito, Yuki; Takeda, Kiyoshi] Osaka Univ, Grad Sch Med, Dept Microbiol &amp; Immunol, Suita, Osaka, Japan; [Nakatani, Ayaka; Inohara, Hidenori] Osaka Univ, Grad Sch Med, Dept Otorhinolaryngol Head &amp; Neck Surg, Suita, Osaka, Japan; [Okumura, Ryu; Okuzaki, Daisuke; Takeda, Kiyoshi] Osaka Univ, WPI Immunol Frontier Res Ctr, Suita, Osaka, Japan; [Okuzaki, Daisuke; Takeda, Kiyoshi] Osaka Univ, Inst Open &amp; Transdisciplinary Res Initiat, Suita, Osaka, Japan; [Okuzaki, Daisuke] Osaka Univ, Res Inst Microbial Dis, Genome Informat Res Ctr, Suita, Osaka, Japan; [Okuzaki, Daisuke; Takeda, Kiyoshi] Osaka Univ, Ctr Infect Dis Educ &amp; Res, Suita, Osaka, Japan; [Takeda, Kiyoshi] Osaka Univ, Grad Sch Med, Dept Microbiol &amp; Immunol, Suita, Osaka 5650871, Japan</t>
  </si>
  <si>
    <t>Osaka University; Osaka University; Osaka University; Osaka University; Osaka University; Osaka University; Osaka University</t>
  </si>
  <si>
    <t>Takeda, K (corresponding author), Osaka Univ, Grad Sch Med, Dept Microbiol &amp; Immunol, Suita, Osaka 5650871, Japan.</t>
  </si>
  <si>
    <t>ktakeda@ongene.med.osaka-u.ac.jp</t>
  </si>
  <si>
    <t>We thank Y. Magota for technical assistance, Edanz Group for editing a draft of this manuscript, and C. Hidaka for secretarial assistance. This study was supported by grants from the Ministry of Education, Culture, Sports, Science and Technology of Japan ( [JP18K15187, JP21H050430]; Ministry of Education, Culture, Sports, Science and Technology of Japan [JP21gm1010004]; Japan Agency for Medical Research and Development; Uehara Memorial Foundation</t>
  </si>
  <si>
    <t>We thank Y. Magota for technical assistance, Edanz Group for editing a draft of this manuscript, and C. Hidaka for secretarial assistance. This study was supported by grants from the Ministry of Education, Culture, Sports, Science and Technology of Japan (; Ministry of Education, Culture, Sports, Science and Technology of Japan(Ministry of Education, Culture, Sports, Science and Technology, Japan (MEXT)); Japan Agency for Medical Research and Development(Japan Agency for Medical Research and Development (AMED)); Uehara Memorial Foundation(Uehara Memorial Foundation)</t>
  </si>
  <si>
    <t>We thank Y. Magota for technical assistance, Edanz Group for editing a draft of this manuscript, and C. Hidaka for secretarial assistance. This study was supported by grants from the Ministry of Education, Culture, Sports, Science and Technology of Japan (JP18K15187 [Ryu Okumura] and JP21H050430 [Kiyoshi Takeda]), the Japan Agency for Medical Research and Development (JP21gm1010004 [Kiyoshi Takeda]), and the Uehara Memorial Foundation (Ryu Okumura).</t>
  </si>
  <si>
    <t>10.1111/gtc.13065</t>
  </si>
  <si>
    <t>S3DW8</t>
  </si>
  <si>
    <t>WOS:001070019200001</t>
  </si>
  <si>
    <t>Scattolin, T; Tonon, G; Botter, E; Guillet, SG; Tzouras, NV; Nolan, SP</t>
  </si>
  <si>
    <t>Scattolin, Thomas; Tonon, Giovanni; Botter, Eleonora; Guillet, Sebastien G.; Tzouras, Nikolaos V.; Nolan, Steven P.</t>
  </si>
  <si>
    <t>Gold(I)-N-Heterocyclic Carbene Synthons in Organometallic Synthesis</t>
  </si>
  <si>
    <t>anticancer activity; gold complexes; luminescence; N-heterocyclic carbenes; organometallic synthesis; (photo)catalysis</t>
  </si>
  <si>
    <t>N-HETEROCYCLIC CARBENE; DINUCLEAR GOLD(I) COMPLEXES; OXIDATIVE ADDITION; BOND FORMATION; REDUCTIVE ELIMINATION; CATALYTIC-ACTIVITY; CRYSTAL-STRUCTURES; ALKYNYL COMPLEXES; LIGANDS SYNTHESIS; NHC</t>
  </si>
  <si>
    <t>The prominent role of gold-N-heterocyclic carbene (NHC) complexes in numerous research areas such as homogeneous (photo)catalysis, medicinal chemistry and materials science has prompted organometallic chemists to design gold-based synthons that permit access to target complexes through simple synthetic steps under mild conditions. In this review, the main gold-NHC synthons employed in organometallic synthesis are discussed. Mechanistic aspects involved in their synthesis and reactivity as well as applications of gold-NHC synthons as efficient pre-catalysts, antitumor agents and/or photo-emissive materials are presented.</t>
  </si>
  <si>
    <t>[Scattolin, Thomas] Univ Padua, Dipartimento Sci Chim, Via Marzolo 1, I-35131 Padua, Italy; [Tonon, Giovanni; Botter, Eleonora] Univ Ca Foscari, Dipartimento Sci Mol &amp; Nanosistemi, Campus Sci,Via Torino 155, I-30174 Venice, Italy; [Guillet, Sebastien G.; Tzouras, Nikolaos V.; Nolan, Steven P.] Univ Ghent, Dept Chem, Krijgslaan 281 S-3, B-9000 Ghent, Belgium; [Guillet, Sebastien G.; Tzouras, Nikolaos V.; Nolan, Steven P.] Univ Ghent, Ctr Sustainable Chem, Krijgslaan 281, S-3, B-9000 Ghent, Belgium</t>
  </si>
  <si>
    <t>University of Padua; Universita Ca Foscari Venezia; Ghent University; Ghent University</t>
  </si>
  <si>
    <t>Scattolin, T (corresponding author), Univ Padua, Dipartimento Sci Chim, Via Marzolo 1, I-35131 Padua, Italy.;Nolan, SP (corresponding author), Univ Ghent, Dept Chem, Krijgslaan 281 S-3, B-9000 Ghent, Belgium.;Nolan, SP (corresponding author), Univ Ghent, Ctr Sustainable Chem, Krijgslaan 281, S-3, B-9000 Ghent, Belgium.</t>
  </si>
  <si>
    <t>thomas.scattolin@unipd.it; steven.nolan@ugent.be</t>
  </si>
  <si>
    <t>Nolan, Steven/C-8465-2013</t>
  </si>
  <si>
    <t>Nolan, Steven/0000-0001-9024-2035</t>
  </si>
  <si>
    <t>Research Foundation - Flanders (FWO) [G0A6823N]; Fundamental Research PhD fellowship; iBOF C3 project</t>
  </si>
  <si>
    <t>Research Foundation - Flanders (FWO)(FWO); Fundamental Research PhD fellowship; iBOF C3 project</t>
  </si>
  <si>
    <t>The Research Foundation - Flanders (FWO) is acknowledged for a research grant (G0A6823N to SPN) and a Fundamental Research PhD fellowship to NVT (11I6921N). We are grateful to the BOF (senior grant to SPN) as well as the iBOF C3 project for financial support.</t>
  </si>
  <si>
    <t>10.1002/chem.202301961</t>
  </si>
  <si>
    <t>R3KW7</t>
  </si>
  <si>
    <t>WOS:001063384700001</t>
  </si>
  <si>
    <t>Shekhar, S; Kaw, R; Agrawal, A; Isogai, T; Lak, H; Mahalwar, G; Pampori, A; Reed, G; Menon, V; Kapadia, SR</t>
  </si>
  <si>
    <t>Shekhar, Shashank; Kaw, Roop; Agrawal, Ankit; Isogai, Toshiaki; Lak, Hassan; Mahalwar, Gauranga; Pampori, Adam; Reed, Grant; Menon, Venu; Kapadia, Samir R.</t>
  </si>
  <si>
    <t>Outcomes of obesity in cardiogenic shock patients requiring mechanical circulatory support</t>
  </si>
  <si>
    <t>CATHETERIZATION AND CARDIOVASCULAR INTERVENTIONS</t>
  </si>
  <si>
    <t>[Shekhar, Shashank; Agrawal, Ankit; Isogai, Toshiaki; Lak, Hassan; Mahalwar, Gauranga; Pampori, Adam; Reed, Grant; Menon, Venu; Kapadia, Samir R.] Cleveland Clin, Heart &amp; Vasc Inst, Dept Cardiovasc Med, Cleveland, OH USA; [Kaw, Roop] Cleveland Clin, Dept Hosp Med, Cleveland, OH USA; [Kaw, Roop] Cleveland Clin, Dept Anesthesiol Outcomes Res, Cleveland, OH USA; [Kapadia, Samir R.] Cleveland Clin, Heart &amp; Vasc Inst, Dept Cardiovasc Med, 9500 Euclid Ave J2-3, Cleveland, OH 44195 USA</t>
  </si>
  <si>
    <t>Cleveland Clinic Foundation; Cleveland Clinic Foundation; Cleveland Clinic Foundation; Cleveland Clinic Foundation</t>
  </si>
  <si>
    <t>Kapadia, SR (corresponding author), Cleveland Clin, Heart &amp; Vasc Inst, Dept Cardiovasc Med, 9500 Euclid Ave J2-3, Cleveland, OH 44195 USA.</t>
  </si>
  <si>
    <t>kapadis@ccf.org</t>
  </si>
  <si>
    <t>Kaw, Roop/A-7877-2009</t>
  </si>
  <si>
    <t>Kaw, Roop/0000-0001-7712-7729; LAK, HASSAN MEHMOOD/0000-0002-4778-5461; kapadia, samir/0000-0002-0026-3391</t>
  </si>
  <si>
    <t>This study was possible with a generous gift from Jennifer and Robert McNeil. The funders had no role in the design and conduct of the study, in the collection, analysis, and interpretation of the data, and in the preparation, review, or approval of the ma</t>
  </si>
  <si>
    <t>This study was possible with a generous gift from Jennifer and Robert McNeil. The funders had no role in the design and conduct of the study, in the collection, analysis, and interpretation of the data, and in the preparation, review, or approval of the manuscript.</t>
  </si>
  <si>
    <t>1522-1946</t>
  </si>
  <si>
    <t>1522-726X</t>
  </si>
  <si>
    <t>CATHETER CARDIO INTE</t>
  </si>
  <si>
    <t>Catheter. Cardiovasc. Interv.</t>
  </si>
  <si>
    <t>10.1002/ccd.30824</t>
  </si>
  <si>
    <t>R2YS2</t>
  </si>
  <si>
    <t>WOS:001063062500001</t>
  </si>
  <si>
    <t>Tang, LL; Li, J</t>
  </si>
  <si>
    <t>Tang, Linli; Li, Jun</t>
  </si>
  <si>
    <t>A nonparametric control chart for monitoring count data mean</t>
  </si>
  <si>
    <t>bootstrap; data categorization; nonparametric procedure; statistical process control</t>
  </si>
  <si>
    <t>PARAMETER-ESTIMATION; CUSUM CHART</t>
  </si>
  <si>
    <t>Count data monitoring has important applications in many fields. However, most of the existing control charts for monitoring count data are parametric. Parametric control charts can be problematic when the underlying parametric distributional assumption does not hold for the particular application. On the other hand, nonparametric control charts do not require such distributional assumptions, and are more desirable in real-world situations where the underlying distribution cannot be easily described using a parametric distribution. In this paper, we extend the nonparametric control chart for continuous data monitoring proposed by Li to count data monitoring. To guarantee a desired in-control performance, we further adopt the bootstrap procedure proposed by Gandy and Kvaloy to help determine the control limit of our proposed control chart. Our simulation studies and real data analysis show that the proposed control chart performs well across a variety of settings, and compares favorably with other existing nonparametric control charts for count data.</t>
  </si>
  <si>
    <t>[Tang, Linli; Li, Jun] Univ Calif Riverside, Dept Stat, Riverside, CA 92506 USA</t>
  </si>
  <si>
    <t>University of California System; University of California Riverside</t>
  </si>
  <si>
    <t>Li, J (corresponding author), Univ Calif Riverside, Dept Stat, Riverside, CA 92506 USA.</t>
  </si>
  <si>
    <t>jun.li@ucr.edu</t>
  </si>
  <si>
    <t>10.1002/qre.3440</t>
  </si>
  <si>
    <t>Q8EZ0</t>
  </si>
  <si>
    <t>WOS:001059812200001</t>
  </si>
  <si>
    <t>Tang, SC; Jin, ZC; Dai, FH; Zhang, Y; Liang, SJ; Lu, JH</t>
  </si>
  <si>
    <t>Tang, Shancheng; Jin, Zicheng; Dai, Fenghua; Zhang, Yin; Liang, Shaojun; Lu, Jianhui</t>
  </si>
  <si>
    <t>Progressive mask-oriented unsupervised fabric defect detection under background repair</t>
  </si>
  <si>
    <t>COLORATION TECHNOLOGY</t>
  </si>
  <si>
    <t>Detection of defects is an essential quality control method in fabric production. Unsupervised deep learning-based reconstruction algorithms have recently been deeply concerned owing to scarce fabric defect samples, high annotation cost, and deficient prior knowledge. Most unsupervised reconstruction models are prone to overfitting and poor generalisation performance, resulting in blurred images, residual defects, and uneven textures in the reconstruction results. On this account, an unsupervised fabric surface defect detection method using the Progressive Mask Repair Model (PMRM) has been developed. Specifically, PMRM with transformer architecture gathers detailed feature information. In order to pay closer attention to the textural properties of fabrics, the model incorporates structural similarity as a constraint in the training stage. In the detection stage, we designate the non-defective area of the fabric image as the background and the defective area as the foreground. Next, a progressive mask is applied to repair the background of the defective area, which avoids defect false detection resulting from the poor reconstruction effect of the traditional reconstruction model in the non-defective area. Finally, image processing methods such as image difference, frequency-tuned salient detection, and threshold binarisation are used to segment the defects. Relative to the other six unsupervised defect detection methods, the proposed scheme increases the F1 score and intersection over union (IoU) by at least 9.34% and 8.49%, respectively. According to the earlier results, PMRM is effective and exhibits superiority.</t>
  </si>
  <si>
    <t>[Tang, Shancheng; Jin, Zicheng; Zhang, Yin; Liang, Shaojun; Lu, Jianhui] Xian Univ Sci &amp; Technol, Coll Commun &amp; Informat Engn, Xian 710054, Shaanxi, Peoples R China; [Dai, Fenghua] CCCC Second Highway Engn Co Ltd, Technol &amp; Digitalizat Dept, Xian, Peoples R China</t>
  </si>
  <si>
    <t>Xi'an University of Science &amp; Technology</t>
  </si>
  <si>
    <t>Jin, ZC (corresponding author), Xian Univ Sci &amp; Technol, Coll Commun &amp; Informat Engn, Xian 710054, Shaanxi, Peoples R China.</t>
  </si>
  <si>
    <t>13738602238@163.com</t>
  </si>
  <si>
    <t>National Key Research and Development Programme of China [2018YFC0808300]; Shaanxi Science and Technology Plan Key Industry Innovation Chain (Group)-Project in Industrial Field [2020ZDLGY15-07]</t>
  </si>
  <si>
    <t>National Key Research and Development Programme of China; Shaanxi Science and Technology Plan Key Industry Innovation Chain (Group)-Project in Industrial Field</t>
  </si>
  <si>
    <t>National Key Research and Development Programme of China, Grant/AwardNumber: 2018YFC0808300; Shaanxi Science and Technology Plan Key Industry Innovation Chain (Group)-Project in Industrial Field, Grant/Award Number:2020ZDLGY15-07</t>
  </si>
  <si>
    <t>1472-3581</t>
  </si>
  <si>
    <t>1478-4408</t>
  </si>
  <si>
    <t>COLOR TECHNOL</t>
  </si>
  <si>
    <t>Color. Technol.</t>
  </si>
  <si>
    <t>10.1111/cote.12719</t>
  </si>
  <si>
    <t>Chemistry, Applied; Engineering, Chemical; Materials Science, Textiles</t>
  </si>
  <si>
    <t>Chemistry; Engineering; Materials Science</t>
  </si>
  <si>
    <t>Q9FY1</t>
  </si>
  <si>
    <t>WOS:001060514900001</t>
  </si>
  <si>
    <t>Terao, K; Kawai, K; Takei, I</t>
  </si>
  <si>
    <t>Terao, Kana; Kawai, Kazuhiro; Takei, Izumi</t>
  </si>
  <si>
    <t>Nodular amyloidosis presenting as multiple thin yellow plaques on the back</t>
  </si>
  <si>
    <t>TERM-FOLLOW-UP</t>
  </si>
  <si>
    <t>[Terao, Kana; Kawai, Kazuhiro] Kido Hosp, Dept Dermatol, Niigata, Japan; [Terao, Kana; Takei, Izumi] Niigata Univ, Grad Sch Med &amp; Dent Sci, Div Dermatol, Niigata, Japan; [Kawai, Kazuhiro] Kido Hosp, Dept Dermatol, 4-13-3 Takeo,Higashi ku, Niigata 9500862, Japan</t>
  </si>
  <si>
    <t>Niigata University</t>
  </si>
  <si>
    <t>Kawai, K (corresponding author), Kido Hosp, Dept Dermatol, 4-13-3 Takeo,Higashi ku, Niigata 9500862, Japan.</t>
  </si>
  <si>
    <t>kazkawai@m2.kufm.kagoshima-u.ac.jp</t>
  </si>
  <si>
    <t>Kawai, Kazuhiro/D-4998-2011</t>
  </si>
  <si>
    <t>Kawai, Kazuhiro/0000-0001-9375-0713</t>
  </si>
  <si>
    <t>We thank K. Gunshin for her technical assistance.</t>
  </si>
  <si>
    <t>10.1111/1346-8138.16958</t>
  </si>
  <si>
    <t>R4ER1</t>
  </si>
  <si>
    <t>WOS:001063899800001</t>
  </si>
  <si>
    <t>Yilmaz, T; Demir, EK; Basaran, ST; Çokgör, EU; Sahinkaya, E</t>
  </si>
  <si>
    <t>Yilmaz, Tulay; Demir, Emir Kasim; Basaran, Senem Teksoy; Cokgor, Emine Ubay; Sahinkaya, Erkan</t>
  </si>
  <si>
    <t>Specific ammonium oxidation and denitrification rates in an MBR treating real textile wastewater for simultaneous carbon and nitrogen removal</t>
  </si>
  <si>
    <t>intermittent aeration; nitrogen removal; specific denitrification rate; specific ammonium oxidation rate; membrane bioreactor</t>
  </si>
  <si>
    <t>INTERMITTENT AERATION; ACTIVATED-SLUDGE; MEMBRANE BIOREACTOR; SIMULTANEOUS NITRIFICATION; OPERATIONAL PARAMETERS; REACTOR; NITRITE; OXYGEN; BIODEGRADATION; OPTIMIZATION</t>
  </si>
  <si>
    <t>BACKGROUND: Dissolved oxygen (DO) and aeration on/off time are the determining parameters for simultaneous carbon and nitrogen removal in biological treatment processes. The most effective way to decide the optimum operational conditions, e.g. aeration on/off time or DO concentration during the aeration period, is to determine specific nitrification/denitrification rates. For this purpose, the effects of DO (6 and 3 mg L-1) and aeration on/off time (from 2/2 to 90/360 min) on the specific ammonium oxidation and denitritation/denitrification rates in a membrane bioreactor (MBR) treating real textile wastewater were deeply investigated. RESULTS: The highest specific ammonium oxidation, denitritation and denitrification rates were obtained as 5.4, 3.8, and 5.3 mg N g(-1) volatile suspended solids h(-1), respectively, at an aeration on/off time of 90/360 min, which corresponded to the increase in specific ammonium oxidation rates by 1.8 and 2.1 times compared to continuous aeration conditions where DO was 6 and 3 mg L-1, respectively. CONCLUSION: Higher specific ammonium oxidation and denitrification rates can be achieved with the intermittent aeration compared to continuous aeration. Hence existing treatment plants can be retrofitted for higher performance with reduced energy requirements. (C) 2023 The Authors. Journal of Chemical Technology and Biotechnology published by John Wiley &amp; Sons Ltd on behalf of Society of Chemical Industry (SCI).</t>
  </si>
  <si>
    <t>[Yilmaz, Tulay] Istanbul Tech Univ, Environm Engn Dept, TR-34469 Istanbul, Turkey; [Sahinkaya, Erkan] Istanbul Medeniyet Univ, Dept Bioengn, TR-34700 Istanbul, Turkey; [Yilmaz, Tulay; Cokgor, Emine Ubay] Istanbul Tech Univ, Environm Engn Dept, Istanbul, Turkey; [Yilmaz, Tulay; Demir, Emir Kasim; Basaran, Senem Teksoy; Sahinkaya, Erkan] Istanbul Medeniyet Univ, Sci &amp; Adv Technol Applicat &amp; Res Ctr BILTAM, Istanbul, Turkey; [Demir, Emir Kasim; Basaran, Senem Teksoy; Sahinkaya, Erkan] Istanbul Medeniyet Univ, Dept Bioengn, Istanbul, Turkey</t>
  </si>
  <si>
    <t>Istanbul Technical University; Istanbul Medeniyet University; Istanbul Technical University; Istanbul Medeniyet University; Istanbul Medeniyet University</t>
  </si>
  <si>
    <t>Yilmaz, T (corresponding author), Istanbul Tech Univ, Environm Engn Dept, TR-34469 Istanbul, Turkey.;Sahinkaya, E (corresponding author), Istanbul Medeniyet Univ, Dept Bioengn, TR-34700 Istanbul, Turkey.</t>
  </si>
  <si>
    <t>tulayylmaz@outlook.com; erkan.sahinkaya@medeniyet.edu.tr</t>
  </si>
  <si>
    <t>Istanbul Medeniyet University Research Fund [F-GAP-2021-1715]; Council of Higher Education (CoHE 100/2000 PhD Scholarship Program); TUBITAK (2211/A National PhD Scholarship Program)</t>
  </si>
  <si>
    <t>Istanbul Medeniyet University Research Fund(Istanbul Medeniyet University); Council of Higher Education (CoHE 100/2000 PhD Scholarship Program); TUBITAK (2211/A National PhD Scholarship Program)(Turkiye Bilimsel ve Teknolojik Arastirma Kurumu (TUBITAK))</t>
  </si>
  <si>
    <t>This research was funded by Istanbul Medeniyet University Research Fund (Project No. F-GAP-2021-1715). Tulay Yilmaz was supported financially by the Council of Higher Education (CoHE 100/2000 PhD Scholarship Program) and TUBITAK (2211/A National PhD Scholarship Program).</t>
  </si>
  <si>
    <t>10.1002/jctb.7492</t>
  </si>
  <si>
    <t>R3GQ1</t>
  </si>
  <si>
    <t>WOS:001063272400001</t>
  </si>
  <si>
    <t>Aimo, A; Vergaro, G; Emdin, M</t>
  </si>
  <si>
    <t>Aimo, Alberto; Vergaro, Giuseppe; Emdin, Michele</t>
  </si>
  <si>
    <t>Effects of tafamidis on heart failure hospitalization: the tale of the dog that did not bark. Letter regarding the article 'Improved long-term survival with tafamidis treatment in patients with transthyretin amyloid cardiomyopathy and severe heart failure symptoms'</t>
  </si>
  <si>
    <t>EUROPEAN JOURNAL OF HEART FAILURE</t>
  </si>
  <si>
    <t>[Aimo, Alberto; Vergaro, Giuseppe; Emdin, Michele] Scuola Super Sant Anna, Interdisciplinary Ctr Hlth Sci, Pisa, Italy; [Aimo, Alberto; Vergaro, Giuseppe; Emdin, Michele] Fdn Toscana Gabriele Monasterio, Pisa, Italy</t>
  </si>
  <si>
    <t>Scuola Superiore Sant'Anna</t>
  </si>
  <si>
    <t>Aimo, A (corresponding author), Scuola Super Sant Anna, Interdisciplinary Ctr Hlth Sci, Pisa, Italy.;Aimo, A (corresponding author), Fdn Toscana Gabriele Monasterio, Pisa, Italy.</t>
  </si>
  <si>
    <t>a.aimo@santannapisa.it</t>
  </si>
  <si>
    <t>1388-9842</t>
  </si>
  <si>
    <t>1879-0844</t>
  </si>
  <si>
    <t>EUR J HEART FAIL</t>
  </si>
  <si>
    <t>Eur. J. Heart Fail.</t>
  </si>
  <si>
    <t>2023 SEP 6</t>
  </si>
  <si>
    <t>10.1002/ejhf.3015</t>
  </si>
  <si>
    <t>R2PH8</t>
  </si>
  <si>
    <t>WOS:001062815300001</t>
  </si>
  <si>
    <t>Bartrim, K; Moyle, W; Wright, ORL; Ball, L</t>
  </si>
  <si>
    <t>Bartrim, Karly; Moyle, Wendy; Wright, Olivia R. L.; Ball, Lauren</t>
  </si>
  <si>
    <t>Australian dietitians' confidence in their knowledge and skills working with older adults in aged care: A national survey</t>
  </si>
  <si>
    <t>NUTRITION &amp; DIETETICS</t>
  </si>
  <si>
    <t>activities; aged care; confidence; dietitians; older adults; workforce</t>
  </si>
  <si>
    <t>LONG-TERM-CARE; COMMUNICATION; ATTITUDES</t>
  </si>
  <si>
    <t>Aim: This study aimed to describe dietitians' confidence in their knowledge and skills working with older adults in residential aged care facilities or home care services. Methods: A novel, quantitative online survey was distributed to aged care dietitians. Activities, knowledge, and skills areas outlined by the Dietitians Australia 'Older Persons and Aged Care Dietitian Role Statement' were included in the 23-item survey. Likert scales captured participant responses. Median responses (n, %) are presented. Associations between participants' confidence in their knowledge and skills and years of experience working in aged care were explored using Pearson's chi-squared tests. Results: Dietitians completed the survey (N = 125; age: 40 +/- 13 years [mean +/- SD]; 97.6% female). Dietitians reported they always worked collaboratively (n = 65%, 52%) and 'often' prescribed supplements (n = 52%, 41.6%) and utilised a food-first approach (n = 36%, 28.8%). Dietitians 'sometimes' conducted malnutrition screening (n = 28%, 22.4%), audits (n = 36%, 28.8%), nutrition education (n = 53%, 42.4%) and quality improvement activities (n = 28%, 22.4%). Dietitians 'rarely' utilised food service/standards (n = 38%, 30.4%) and nutrition/hydration procedures (n = 35%, 28.0%). Dietitians with =6 years of experience were more confident than dietitians with 0-5 years in providing support programs (p = 0.003), utilising healthcare policies (p = 0.013), interpreting quality assessment (p = 0.014) and communication skills (p = 0.047). Dietitians felt 'completely' or 'fairly' confident in all knowledge and skill areas, except for government and community support programs (n = 38%, 30.4%) rated 'somewhat' confident. Conclusion: Aged care dietitians are confident in most aspects of their role but have opportunities to be better supported. Developing the confidence of higher-level systems and communication in early career dietitians is warranted.</t>
  </si>
  <si>
    <t>[Bartrim, Karly; Ball, Lauren] Univ Queensland, Ctr Community Hlth &amp; Wellbeing, Brisbane, Qld 4072, Australia; [Bartrim, Karly; Ball, Lauren] Univ Queensland, Sch Human Movement &amp; Nutr Sci, Brisbane, Qld, Australia; [Moyle, Wendy] Griffith Univ, Sch Nursing &amp; Midwifery, Brisbane, Qld, Australia; [Moyle, Wendy] Griffith Univ, Menzies Hlth Inst Queensland, Brisbane, Qld, Australia; [Wright, Olivia R. L.] Univ Queensland, Sch Human Movement &amp; Nutr Sci, Brisbane, Australia</t>
  </si>
  <si>
    <t>University of Queensland; University of Queensland; Griffith University; Menzies Health Institute Queensland; Griffith University; University of Queensland</t>
  </si>
  <si>
    <t>Bartrim, K (corresponding author), Univ Queensland, Ctr Community Hlth &amp; Wellbeing, Brisbane, Qld 4072, Australia.</t>
  </si>
  <si>
    <t>k.bartrim@uq.edu.au</t>
  </si>
  <si>
    <t>Griffith University; National Health and Medical Research Council fellowship [117346]</t>
  </si>
  <si>
    <t>Griffith University(Griffith University); National Health and Medical Research Council fellowship(National Health and Medical Research Council (NHMRC) of Australia)</t>
  </si>
  <si>
    <t>A Griffith University Post Graduate Scholarship supported this research. At the time of this project, Lauren Ball's salary was supported by a National Health and Medical Research Council fellowship (APP ID 117346).</t>
  </si>
  <si>
    <t>1446-6368</t>
  </si>
  <si>
    <t>1747-0080</t>
  </si>
  <si>
    <t>NUTR DIET</t>
  </si>
  <si>
    <t>Nutr. Diet.</t>
  </si>
  <si>
    <t>10.1111/1747-0080.12837</t>
  </si>
  <si>
    <t>Nutrition &amp; Dietetics</t>
  </si>
  <si>
    <t>R3AX1</t>
  </si>
  <si>
    <t>WOS:001063120800001</t>
  </si>
  <si>
    <t>Chikaishi, W; Higashi, T; Hayashi, H; Hanamatsu, Y; Futamura, M; Matsuhashi, N; Saigo, C; Takeuchi, T</t>
  </si>
  <si>
    <t>Chikaishi, Wakana; Higashi, Toshiya; Hayashi, Hirokatsu; Hanamatsu, Yuki; Futamura, Manabu; Matsuhashi, Nobuhisa; Saigo, Chiemi; Takeuchi, Tamotsu</t>
  </si>
  <si>
    <t>Adiponectin-expressing Treg-containing T cell fraction inhibits tumor growth in orthotopically implanted triple-negative breast cancer</t>
  </si>
  <si>
    <t>THORACIC CANCER</t>
  </si>
  <si>
    <t>adiponectin; adoptive cell therapy; A-TregTF; cell-in-cell; triple-negative breast cancer</t>
  </si>
  <si>
    <t>LINES</t>
  </si>
  <si>
    <t>BackgroundIn our previous study, we identified a population of adiponectin expressing regulatory T cells (Tregs) residing within thymic nurse cell complexes, which were capable of inhibiting the development of breast cancer in vitro. Triple-negative breast cancer (TNBC) with no proper treatment at present is characterized by the absence of estrogen receptor, progesterone receptor, and human epidermal growth factor receptor-2. In this study, we aimed to investigate the potential of a cultured T cell fraction comprising adiponectin-expressing Tregs, referred to as A-TregTF (adiponectin-expressing Treg-containing T cell fraction), in inhibiting the progression of TNBC in vivo.MethodsThe efficacy of a spontaneously expanding T cell fraction comprising adiponectin-expressing Treg in inhibiting tumor growth was analyzed in a murine orthotopic 4 T1-Luc TNBC model.ResultsThe treatment with T cell fraction containing adiponectin-expressing Tregs significantly inhibited the growth and metastasis of orthotopically transplanted 4 T1-Luc tumor cells. Histopathological examination further revealed that the adiponectin-expressing Tregs infiltrated the tumor tissue via a cell-in-cell mechanism and were found to be specifically localized around the necrotic areas.ConclusionsBased on our findings, the T cell fraction comprising adiponectin-expressing Tregs, represents a potential candidate for adoptive cell therapy against TNBC.</t>
  </si>
  <si>
    <t>[Chikaishi, Wakana; Higashi, Toshiya; Hayashi, Hirokatsu; Matsuhashi, Nobuhisa] Gifu Univ, Grad Sch Med, Dept Gastroenterol Surg &amp; Pediat Surg, Gifu, Japan; [Hanamatsu, Yuki; Saigo, Chiemi; Takeuchi, Tamotsu] Gifu Univ, Grad Sch Med, Dept Pathol &amp; Translat Res, Gifu, Japan; [Futamura, Manabu] Gifu Univ Hosp, Dept Breast Surg, Gifu, Japan; [Saigo, Chiemi] Gifu Univ, United Grad Sch Drug Discovery &amp; Med Informat Sci, Gifu, Japan; [Saigo, Chiemi; Takeuchi, Tamotsu] Gifu Univ, Ctr One Med Innovat Translat Res, COMIT, Gifu, Japan; [Saigo, Chiemi] Gifu Univ, Grad Sch Med, Dept Pathol &amp; Translat Res, Yanagido 1-1, Gifu, Japan</t>
  </si>
  <si>
    <t>Gifu University; Gifu University; Gifu University; Gifu University; Gifu University; Gifu University</t>
  </si>
  <si>
    <t>Saigo, C (corresponding author), Gifu Univ, Grad Sch Med, Dept Pathol &amp; Translat Res, Yanagido 1-1, Gifu, Japan.</t>
  </si>
  <si>
    <t>gifuapthology@aol.com</t>
  </si>
  <si>
    <t>, Tamotsu/0000-0002-4264-3632</t>
  </si>
  <si>
    <t>We thank Mr Hitoshi Ohshika from Chubu Pathology Co. Ltd, Gifu, Japan, for his assistance in preparing the histopathological tissue specimens. We extend our gratitude to Dr Takashi Murakami from Saitama Medical University, Saitama, Japan, for providing the</t>
  </si>
  <si>
    <t>We thank Mr Hitoshi Ohshika from Chubu Pathology Co. Ltd, Gifu, Japan, for his assistance in preparing the histopathological tissue specimens. We extend our gratitude to Dr Takashi Murakami from Saitama Medical University, Saitama, Japan, for providing the 4?T1-Luc cells used in this study. Their contributions were instrumental in the successful execution of our research.</t>
  </si>
  <si>
    <t>1759-7706</t>
  </si>
  <si>
    <t>1759-7714</t>
  </si>
  <si>
    <t>THORAC CANCER</t>
  </si>
  <si>
    <t>Thorac. Cancer</t>
  </si>
  <si>
    <t>10.1111/1759-7714.15102</t>
  </si>
  <si>
    <t>Oncology; Respiratory System</t>
  </si>
  <si>
    <t>R2NP0</t>
  </si>
  <si>
    <t>WOS:001062769100001</t>
  </si>
  <si>
    <t>Gandionco, KA; Kim, J; Bekaert, L; Hubin, A; Lim, J</t>
  </si>
  <si>
    <t>Gandionco, Karl Adrian; Kim, Juwon; Bekaert, Lieven; Hubin, Annick; Lim, Jongwoo</t>
  </si>
  <si>
    <t>Single-atom catalysts for the electrochemical reduction of carbon dioxide into hydrocarbons and oxygenates</t>
  </si>
  <si>
    <t>CARBON ENERGY</t>
  </si>
  <si>
    <t>electrocatalysis; electrochemical CO2 reduction; hydrocarbons; oxygenates; single-atom catalysts</t>
  </si>
  <si>
    <t>HIGHLY EFFICIENT CO2; N-DOPED CARBON; ATOMICALLY DISPERSED FE; NICKEL-NITROGEN SITES; ACTIVE-SITES; SELECTIVE ELECTROREDUCTION; COORDINATION ENVIRONMENT; MECHANISTIC INSIGHTS; LARGE-SCALE; METAL</t>
  </si>
  <si>
    <t>The electrochemical reduction of carbon dioxide offers a sound and economically viable technology for the electrification and decarbonization of the chemical and fuel industries. In this technology, an electrocatalytic material and renewable energy-generated electricity drive the conversion of carbon dioxide into high-value chemicals and carbon-neutral fuels. Over the past few years, single-atom catalysts have been intensively studied as they could provide near-unity atom utilization and unique catalytic performance. Single-atom catalysts have become one of the state-of-the-art catalyst materials for the electrochemical reduction of carbon dioxide into carbon monoxide. However, it remains a challenge for single-atom catalysts to facilitate the efficient conversion of carbon dioxide into products beyond carbon monoxide. In this review, we summarize and present important findings and critical insights from studies on the electrochemical carbon dioxide reduction reaction into hydrocarbons and oxygenates using single-atom catalysts. It is hoped that this review gives a thorough recapitulation and analysis of the science behind the catalysis of carbon dioxide into more reduced products through single-atom catalysts so that it can be a guide for future research and development on catalysts with industry-ready performance for the electrochemical reduction of carbon dioxide into high-value chemicals and carbon-neutral fuels.</t>
  </si>
  <si>
    <t>[Gandionco, Karl Adrian; Kim, Juwon; Lim, Jongwoo] Seoul Natl Univ, Dept Chem, Seoul, South Korea; [Bekaert, Lieven; Hubin, Annick] Vrije Univ Brussel, Dept Mat &amp; Chem, Res Grp Electrochem &amp; Surface Engn SURF, Brussels, Belgium</t>
  </si>
  <si>
    <t>Seoul National University (SNU); Vrije Universiteit Brussel</t>
  </si>
  <si>
    <t>Lim, J (corresponding author), Seoul Natl Univ, Dept Chem, Seoul, South Korea.</t>
  </si>
  <si>
    <t>jwlim@snu.ac.kr</t>
  </si>
  <si>
    <t>National Research Foundation of Korea [2021R1C1C1013953, 2022K1A4A7A04094394, 2022K1A4A7A04095890]</t>
  </si>
  <si>
    <t>National Research Foundation of Korea(National Research Foundation of Korea)</t>
  </si>
  <si>
    <t>National Research Foundation of Korea, Grant/Award Numbers: 2021R1C1C1013953, 2022K1A4A7A04094394, 2022K1A4A7A04095890</t>
  </si>
  <si>
    <t>2637-9368</t>
  </si>
  <si>
    <t>Carbon Energy</t>
  </si>
  <si>
    <t>e410</t>
  </si>
  <si>
    <t>10.1002/cey2.410</t>
  </si>
  <si>
    <t>Chemistry, Physical; Energy &amp; Fuels; Nanoscience &amp; Nanotechnology; Materials Science, Multidisciplinary</t>
  </si>
  <si>
    <t>Chemistry; Energy &amp; Fuels; Science &amp; Technology - Other Topics; Materials Science</t>
  </si>
  <si>
    <t>R1ZM2</t>
  </si>
  <si>
    <t>WOS:001062391700001</t>
  </si>
  <si>
    <t>Guerrero-Vazquez, K; Del Rio, G; Brizuela, CA</t>
  </si>
  <si>
    <t>Guerrero-Vazquez, Karen; Del Rio, Gabriel; Brizuela, Carlos A.</t>
  </si>
  <si>
    <t>Cell-penetrating peptides predictors: A comparative analysis of methods and datasets</t>
  </si>
  <si>
    <t>MOLECULAR INFORMATICS</t>
  </si>
  <si>
    <t>cell-penetrating peptides; datasets; machine learning; peptide sequence similarity</t>
  </si>
  <si>
    <t>PROTEIN</t>
  </si>
  <si>
    <t>Cell-Penetrating Peptides (CPP) are emerging as an alternative to small-molecule drugs to expand the range of biomolecules that can be targeted for therapeutic purposes. Due to the importance of identifying and designing new CPP, a great variety of predictors have been developed to achieve these goals. To establish a ranking for these predictors, a couple of recent studies compared their performances on specific datasets, yet their conclusions cannot determine if the ranking obtained is due to the model, the set of descriptors or the datasets used to test the predictors. We present a systematic study of the influence of the peptide sequence's similarity of the datasets on the predictors' performance. The analysis reveals that the datasets used for training have a stronger influence on the predictors performance than the model or descriptors employed. We show that datasets with low sequence similarity between the positive and negative examples can be easily separated, and the tested classifiers showed good performance on them. On the other hand, a dataset with high sequence similarity between CPP and non-CPP will be a hard dataset, and it should be the one to be used for assessing the performance of new predictors. image</t>
  </si>
  <si>
    <t>[Guerrero-Vazquez, Karen; Brizuela, Carlos A.] CICESE Res Ctr, Dept Comp Sci, Ensenada 22860, Mexico; [Guerrero-Vazquez, Karen] Univ Galway, Sch Math &amp; Stat Sci, Galway, Ireland; [Del Rio, Gabriel] Univ Nacl Autonoma Mexico, Inst Fisiol Celular, Dept Biochem &amp; Struct Biol, Mexico City 04510, Mexico; [Brizuela, Carlos A.] CICESE Res Ctr, Dept Comp Sci, Ensenada 22860, Mexico; [Del Rio, Gabriel] Univ Nacl Autonoma Mexico, Inst Fisiol Celular, Dept Biochem &amp; Struct Biol, Mexico City 04510, Mexico</t>
  </si>
  <si>
    <t>CICESE - Centro de Investigacion Cientifica y de Educacion Superior de Ensenada; Ollscoil na Gaillimhe-University of Galway; Universidad Nacional Autonoma de Mexico; CICESE - Centro de Investigacion Cientifica y de Educacion Superior de Ensenada; Universidad Nacional Autonoma de Mexico</t>
  </si>
  <si>
    <t>Brizuela, CA (corresponding author), CICESE Res Ctr, Dept Comp Sci, Ensenada 22860, Mexico.;Del Rio, G (corresponding author), Univ Nacl Autonoma Mexico, Inst Fisiol Celular, Dept Biochem &amp; Struct Biol, Mexico City 04510, Mexico.</t>
  </si>
  <si>
    <t>gdelrio@ifc.unam.mx; cbrizuel@cicese.edu.mx</t>
  </si>
  <si>
    <t>Brizuela, Carlos/JFA-3640-2023</t>
  </si>
  <si>
    <t>Brizuela, Carlos/0000-0003-4621-0380</t>
  </si>
  <si>
    <t>To Dr. Maria Teresa Lara Ortiz for her technical assistance in the development of this work. This work was supported in part by grants from CONAHCyT A1-S-20638 to CAB and UNAM to GdR. KGV received a scholarship from CONAHCyT (488461) to develop her master [488461]; [A1-S-20638]</t>
  </si>
  <si>
    <t>To Dr. Maria Teresa Lara Ortiz for her technical assistance in the development of this work. This work was supported in part by grants from CONAHCyT A1-S-20638 to CAB and UNAM to GdR. KGV received a scholarship from CONAHCyT (488461) to develop her master;</t>
  </si>
  <si>
    <t>To Dr. Maria Teresa Lara Ortiz for her technical assistance in the development of this work. This work was supported in part by grants from CONAHCyT A1-S-20638 to CAB and UNAM to GdR. KGV received a scholarship from CONAHCyT (488461) to develop her master &amp; apos;s degree thesis, which is partially reported in this work.</t>
  </si>
  <si>
    <t>1868-1743</t>
  </si>
  <si>
    <t>1868-1751</t>
  </si>
  <si>
    <t>MOL INFORM</t>
  </si>
  <si>
    <t>Mol. Inf.</t>
  </si>
  <si>
    <t>10.1002/minf.202300104</t>
  </si>
  <si>
    <t>Chemistry, Medicinal; Computer Science, Interdisciplinary Applications; Mathematical &amp; Computational Biology</t>
  </si>
  <si>
    <t>Pharmacology &amp; Pharmacy; Computer Science; Mathematical &amp; Computational Biology</t>
  </si>
  <si>
    <t>Q7KB0</t>
  </si>
  <si>
    <t>WOS:001059264500001</t>
  </si>
  <si>
    <t>Katrapati, P; Bai, R</t>
  </si>
  <si>
    <t>Katrapati, Praneeth; Bai, Rong</t>
  </si>
  <si>
    <t>Freezing the left atrial posterior wall to make real icing on the cake</t>
  </si>
  <si>
    <t>ablation; atrial fibrillation; cryoballoon; posterior wall isolation</t>
  </si>
  <si>
    <t>PULMONARY VEIN ISOLATION; CATHETER ABLATION; FIBRILLATION; CRYOBALLOON</t>
  </si>
  <si>
    <t>[Katrapati, Praneeth; Bai, Rong] Univ Arizona, Coll Med, Banner Univ Med Ctr Phoenix, Div Cardiol, Phoenix, AZ USA; [Bai, Rong] Banner Univ Med Ctr Phoenix, 755 E McDowell Rd, Phoenix, AZ 85006 USA</t>
  </si>
  <si>
    <t>University of Arizona</t>
  </si>
  <si>
    <t>Bai, R (corresponding author), Banner Univ Med Ctr Phoenix, 755 E McDowell Rd, Phoenix, AZ 85006 USA.</t>
  </si>
  <si>
    <t>bairong74@gmail.com</t>
  </si>
  <si>
    <t>10.1111/jce.16049</t>
  </si>
  <si>
    <t>R2PT6</t>
  </si>
  <si>
    <t>WOS:001062827800001</t>
  </si>
  <si>
    <t>Lee, JC; Price, BE; Adams, CG; Rutkowski, E; Choi, MY</t>
  </si>
  <si>
    <t>Lee, Jana C.; Price, Briana E.; Adams, Chris G.; Rutkowski, Emily; Choi, Man-Yeon</t>
  </si>
  <si>
    <t>Erythritol sprays reduce Drosophila suzukii infestation without impacting honey bee visitation nor fruit quality</t>
  </si>
  <si>
    <t>PEST MANAGEMENT SCIENCE</t>
  </si>
  <si>
    <t>blueberry; cherry; IPM; non-nutritive sugar; spotted-wing drosophila; sucralose</t>
  </si>
  <si>
    <t>SPOTTED-WING DROSOPHILA; DIPTERA DROSOPHILIDAE; SUSCEPTIBILITY; POPULATIONS; WILD</t>
  </si>
  <si>
    <t>BACKGROUND: Spotted-wing drosophila, Drosophila suzukii, is an economic pest of small fruits and cherries. Insecticides primarily control this pest while alternative controls are in development. Laboratory studies show that erythritol is insecticidal to D. suzukii and other pests while approved for human consumption. Moreover, erythritol combined with sucrose or noncaloric sucralose can stimulate feeding and quicken mortality. Before growers can use erythritol, the impact on crop protection, non-target insects, and fruit quality need evaluation. RESULTS: In three blueberry and cherry field cage trials, oviposition on fruit sprayed with erythritol:sucrose or erythritol:sucralose formulations was lowered by 59%-81% compared with unsprayed controls. Fly infestation (larval or adult counts from fruit) was 90% lower in a greenhouse blueberry trial, and 49% lower in an open field blueberry trial with 2 M erythritol : 0.5 M sucrose. Infestation was also 57% lower in an open field cherry trial with 1.5 M erythritol:0.5 M sucrose. Other field trials with very low pest pressure or frequent rains revealed no differences from controls. Field trials consistently revealed that honey bees did not preferentially visit plants sprayed with either erythritol formulation, although yellow jackets visited plants sprayed with erythritol:sucrose more frequently. Erythritol formulations consistently led to more leaf spotting, but there was no reduction in the quality of treated blueberries or cherries in terms of mold development, firmness, diameter, epidermal penetration force, and Brix degrees (total soluble solids) at harvest. CONCLUSION: Eleven trials conducted over four years show that erythritol formulations can reduce D. suzukii pressure without attracting foraging honey bees nor negatively impacting fruit quality. (c) 2023 Society of Chemical Industry. This article has been contributed to by U.S. Government employees and their work is in the public domain in the USA.</t>
  </si>
  <si>
    <t>[Lee, Jana C.] USDA ARS, Hort Crops Dis &amp; Pest Management Res Unit, 3420 NW Orchard Ave, Corvallis, OR 97330 USA; [Lee, Jana C.; Price, Briana E.; Rutkowski, Emily; Choi, Man-Yeon] USDA ARS, Hort Crops Dis &amp; Pest Management Res Unit, Corvallis, OR USA; [Adams, Chris G.] Oregon State Univ, Midcolumbia Agr Res &amp; Extens Ctr, Hood River, OR USA</t>
  </si>
  <si>
    <t>United States Department of Agriculture (USDA); United States Department of Agriculture (USDA); Oregon State University</t>
  </si>
  <si>
    <t>Lee, JC (corresponding author), USDA ARS, Hort Crops Dis &amp; Pest Management Res Unit, 3420 NW Orchard Ave, Corvallis, OR 97330 USA.</t>
  </si>
  <si>
    <t>jana.lee@usda.gov</t>
  </si>
  <si>
    <t>Price, Bri/0000-0003-1962-8431</t>
  </si>
  <si>
    <t>NW Small Fruits Research grant; Oregon Sweet Cherry grant; USDA [CRIS 2072-22000-044-00D]</t>
  </si>
  <si>
    <t>NW Small Fruits Research grant; Oregon Sweet Cherry grant; USDA(United States Department of Agriculture (USDA))</t>
  </si>
  <si>
    <t>We thank Maggie Freeman, Maya Greydanus, Lauren Komnenus, Sam Mutschler-Aldine, Leo Morag, Catherine Raffin, Katerina Velasco Graham, Kassia Wallner, and Rachel Worley for assistance. We thank Scott Robbins, Dave Bryla and Scott Orr for access to experimental blackberry and blueberry plots, and Ramesh Sagili for access near their honey bee hives. This work was supported by the NW Small Fruits Research grant, Oregon Sweet Cherry grant, and USDA base funds CRIS 2072-22000-044-00D.</t>
  </si>
  <si>
    <t>1526-498X</t>
  </si>
  <si>
    <t>1526-4998</t>
  </si>
  <si>
    <t>PEST MANAG SCI</t>
  </si>
  <si>
    <t>Pest Manag. Sci.</t>
  </si>
  <si>
    <t>10.1002/ps.7701</t>
  </si>
  <si>
    <t>Agronomy; Entomology</t>
  </si>
  <si>
    <t>Agriculture; Entomology</t>
  </si>
  <si>
    <t>R1UL9</t>
  </si>
  <si>
    <t>WOS:001062261200001</t>
  </si>
  <si>
    <t>Manuzak, JA; Veazey, RS</t>
  </si>
  <si>
    <t>Manuzak, Jennifer A.; Veazey, Ronald S.</t>
  </si>
  <si>
    <t>Introduction</t>
  </si>
  <si>
    <t>JOURNAL OF MEDICAL PRIMATOLOGY</t>
  </si>
  <si>
    <t>[Manuzak, Jennifer A.; Veazey, Ronald S.] Tulane Natl Primate Res Ctr, Covington, LA 70433 USA</t>
  </si>
  <si>
    <t>Tulane University</t>
  </si>
  <si>
    <t>Manuzak, JA (corresponding author), Tulane Natl Primate Res Ctr, Covington, LA 70433 USA.</t>
  </si>
  <si>
    <t>The 39th Annual Symposium on Nonhuman Primate Models for AIDS was supported in part by the Office of Research Infrastructure Program (ORIP), National Institutes of Health (NIH) and by generous contribution from Emory Woodruff Health Sciences Center, ViiV H; Office of Research Infrastructure Program (ORIP), National Institutes of Health (NIH); Emory National Primate Research Center; Oregon National Primate Research Center</t>
  </si>
  <si>
    <t>The 39th Annual Symposium on Nonhuman Primate Models for AIDS was supported in part by the Office of Research Infrastructure Program (ORIP), National Institutes of Health (NIH) and by generous contribution from Emory Woodruff Health Sciences Center, ViiV H; Office of Research Infrastructure Program (ORIP), National Institutes of Health (NIH)(United States Department of Health &amp; Human ServicesNational Institutes of Health (NIH) - USA); Emory National Primate Research Center; Oregon National Primate Research Center</t>
  </si>
  <si>
    <t>The 39th Annual Symposium on Nonhuman Primate Models for AIDS was supported in part by the Office of Research Infrastructure Program (ORIP), National Institutes of Health (NIH) and by generous contribution from Emory Woodruff Health Sciences Center, ViiV Healthcare, Merck, 10x Genomics, Emory University Center for AIDS Research, IDA, BioLegend, NPRC Core Services, Sarstedt, ASA and Safety Supply. We are indebted to Emory National Primate Research Center and Oregon National Primate Research Center, the scientific members of the Organizing Committee and members of the Oregon National Primate Center who provided invaluable assistance for this meeting: Lisa Newbern, Meeting Coordinator, Yoko Hammond, Financial Oversight and Denise Wardlow, Administrative Support.</t>
  </si>
  <si>
    <t>0047-2565</t>
  </si>
  <si>
    <t>1600-0684</t>
  </si>
  <si>
    <t>J MED PRIMATOL</t>
  </si>
  <si>
    <t>J. Med. Primatol.</t>
  </si>
  <si>
    <t>10.1111/jmp.12672</t>
  </si>
  <si>
    <t>Veterinary Sciences; Zoology</t>
  </si>
  <si>
    <t>R4TW9</t>
  </si>
  <si>
    <t>WOS:001064295900001</t>
  </si>
  <si>
    <t>Nagura, Y; Suzuki, T; Matsuura, K; Ogawa, S; Kawamura, H; Kuno, K; Fujiwara, K; Nojiri, S; Nagaoka, K; Iio, E; Watanabe, T; Kataoka, H; Tanaka, Y</t>
  </si>
  <si>
    <t>Nagura, Yoshihito; Suzuki, Takanori; Matsuura, Kentaro; Ogawa, Shintaro; Kawamura, Hayato; Kuno, Kayoko; Fujiwara, Kei; Nojiri, Shunsuke; Nagaoka, Katsuya; Iio, Etsuko; Watanabe, Takehisa; Kataoka, Hiromi; Tanaka, Yasuhito</t>
  </si>
  <si>
    <t>Serum inducible protein 10 kDa/C-X-C motif chemokine 10 levels predict regression of M2BPGi-based liver fibrosis after hepatitis C virus eradication by direct-acting antiviral agentss</t>
  </si>
  <si>
    <t>HEPATOLOGY RESEARCH</t>
  </si>
  <si>
    <t>hepatitis C virus eradication; interferon-gamma inducible protein 10 kDa; mac-2 binding protein; glycosylation isomer; predictors of regression of fibrosis</t>
  </si>
  <si>
    <t>MAC-2 BINDING-PROTEIN; HEPATOCELLULAR-CARCINOMA; ASSOCIATION; HCV; INFECTION; RECOMBINANT; LYMPHOCYTES; EXPRESSION; CORRELATE; SEVERITY</t>
  </si>
  <si>
    <t>Aim: It is desirable to identify predictors of regression of liver fibrosis after achieving sustained virological response by anti-hepatitis C virus (anti-HCV) therapy. We retrospectively investigated the serum interferon-gamma inducible protein 10 kDa (IP- 10) level as a predictive indicator of regression of liver fibrosis after successful hepatitis C virus eradication by direct-acting antiviral agents (DAAs) therapy. Methods: The study participants were recruited from a historical cohort of 116 chronically hepatitis C virus-infected patients who had achieved sustained virological response by DAAs therapy and whose serum Mac-2 binding protein glycosylation isomer (M2BPGi) levels at baseline (before DAAs therapy) were =2.0 cut-off index. We defined patients with M2BPGi levels &lt;1.76 and =1.76 cut-off index at 2 years after the end of treatment (EOT) as the regression (n = 71) and non-regression (n = 45) groups, respectively. Results: Multivariate analyses revealed that the albumin-bilirubin score at baseline, and albumin-bilirubin score, Fibrosis-4 index at 24 weeks after the EOT, and serum IP-10 change from baseline to 24 weeks after the EOT (IP-10 change) were significantly associated with regression of M2BPGi-based liver fibrosis. In addition, IP-10 change was significantly associated with regression of M2BPGi-based liver fibrosis by a multivariate analysis, even when the serum M2BPGi levels were aligned by propensity score matching and in patients with advanced M2BPGi-based liver fibrosis: M2BPGi levels &gt;= 3.3 cut-off index at baseline. Conclusions: Serum IP-10 change from baseline to 24 weeks after the EOT is a feasible predictor of regression of M2BPGi-based liver fibrosis after achieving sustained virological response with DAA therapy.</t>
  </si>
  <si>
    <t>[Nagura, Yoshihito; Suzuki, Takanori; Matsuura, Kentaro; Kawamura, Hayato; Kuno, Kayoko; Fujiwara, Kei; Nojiri, Shunsuke; Kataoka, Hiromi] Nagoya City Univ, Grad Sch Med Sci, Dept Gastroenterol &amp; Metab, Nagoya, Japan; [Nagura, Yoshihito] Kasugai Municipal Hosp, Dept Cardiol, Kasugai, Japan; [Ogawa, Shintaro] Nagoya City Univ, Grad Sch Med Sci, Dept Virol, Nagoya, Japan; [Nagaoka, Katsuya; Iio, Etsuko; Watanabe, Takehisa; Tanaka, Yasuhito] Kumamoto Univ, Fac Life Sci, Dept Gastroenterol &amp; Hepatol, Kumamoto, Japan; [Matsuura, Kentaro] Nagoya City Univ, Dept Gastroenterol &amp; Metab, Grad Sch Med Sci, Nagoya 4678601, Japan</t>
  </si>
  <si>
    <t>Nagoya City University; Kumamoto University; Nagoya City University</t>
  </si>
  <si>
    <t>Matsuura, K (corresponding author), Nagoya City Univ, Dept Gastroenterol &amp; Metab, Grad Sch Med Sci, Nagoya 4678601, Japan.</t>
  </si>
  <si>
    <t>kmatsuura0528@gmail.com</t>
  </si>
  <si>
    <t>Nagaoka, Katsuya/0000-0002-7152-6101</t>
  </si>
  <si>
    <t>Japan Agency for Medical Research and Development [JP21fk0210058]; Japan Society for the Promotion of Science KAKENHI [JP17K09435, JP20K08314]</t>
  </si>
  <si>
    <t>Japan Agency for Medical Research and Development(Japan Agency for Medical Research and Development (AMED)); Japan Society for the Promotion of Science KAKENHI(Ministry of Education, Culture, Sports, Science and Technology, Japan (MEXT)Japan Society for the Promotion of ScienceGrants-in-Aid for Scientific Research (KAKENHI))</t>
  </si>
  <si>
    <t>Japan Agency for Medical Research and Development, Grant/Award Number: JP21fk0210058; The Japan Society for the Promotion of Science KAKENHI, Grant/Award Numbers: JP17K09435, JP20K08314</t>
  </si>
  <si>
    <t>1386-6346</t>
  </si>
  <si>
    <t>1872-034X</t>
  </si>
  <si>
    <t>HEPATOL RES</t>
  </si>
  <si>
    <t>Hepatol. Res.</t>
  </si>
  <si>
    <t>10.1111/hepr.13962</t>
  </si>
  <si>
    <t>R1RD1</t>
  </si>
  <si>
    <t>WOS:001062173900001</t>
  </si>
  <si>
    <t>Paredes, R; Vega, M</t>
  </si>
  <si>
    <t>Paredes, Rocio; Vega, Marco</t>
  </si>
  <si>
    <t>An internal fraud model for operational losses in retail banking</t>
  </si>
  <si>
    <t>APPLIED STOCHASTIC MODELS IN BUSINESS AND INDUSTRY</t>
  </si>
  <si>
    <t>dynamic model; internal fraud; operational risk; retail banking</t>
  </si>
  <si>
    <t>RISK; DETERMINANTS; SEVERITY</t>
  </si>
  <si>
    <t>This article presents a novel dynamic model for internal fraud losses in the retail banking sector, incorporating internal factors such as ethical quality of workers and bank risk controls. The model's parameters are calibrated for each bank in the Operational Riskdata eXchange (ORX) consortium, based only on publicly available exposure indicators. The model generates simulated internal operational losses, exhibiting standard stochastic properties and tail behavior that closely align with actual operational losses. At an aggregate level, the model endeavors to replicate the average frequency and severity of losses observed within the internal fraud-retail banking category. Moreover, we identify macro-environmental factors that exert influence over the severity and frequency of model-simulated losses, consistent with findings in the existing literature.</t>
  </si>
  <si>
    <t>[Paredes, Rocio] Ctr Catolica Grad Business Sch, Lima, Peru; [Paredes, Rocio; Vega, Marco] Pontificia Univ Catolica Peru, Lima, Peru; [Vega, Marco] Banco Cent Reserva Peru, Lima, Peru</t>
  </si>
  <si>
    <t>Pontificia Universidad Catolica del Peru</t>
  </si>
  <si>
    <t>Paredes, R (corresponding author), Ctr Catolica Grad Business Sch, Lima, Peru.</t>
  </si>
  <si>
    <t>rmparedes@pucp.edu.pe</t>
  </si>
  <si>
    <t>Vega, Marco/0000-0001-9632-8585</t>
  </si>
  <si>
    <t>1524-1904</t>
  </si>
  <si>
    <t>1526-4025</t>
  </si>
  <si>
    <t>APPL STOCH MODEL BUS</t>
  </si>
  <si>
    <t>Appl. Stoch. Models. Bus. Ind.</t>
  </si>
  <si>
    <t>10.1002/asmb.2814</t>
  </si>
  <si>
    <t>Operations Research &amp; Management Science; Mathematics, Interdisciplinary Applications; Statistics &amp; Probability</t>
  </si>
  <si>
    <t>Operations Research &amp; Management Science; Mathematics</t>
  </si>
  <si>
    <t>R2VX3</t>
  </si>
  <si>
    <t>Green Submitted</t>
  </si>
  <si>
    <t>WOS:001062989400001</t>
  </si>
  <si>
    <t>Peng, YQ; Deng, XH; Xu, ZB; Wu, ZC; Fu, QL</t>
  </si>
  <si>
    <t>Peng, Ya-Qi; Deng, Xiao-Hui; Xu, Zhi-Bin; Wu, Zi-Cong; Fu, Qing-Ling</t>
  </si>
  <si>
    <t>Mesenchymal stromal cells and their small extracellular vesicles in allergic diseases: From immunomodulation to therapy</t>
  </si>
  <si>
    <t>EUROPEAN JOURNAL OF IMMUNOLOGY</t>
  </si>
  <si>
    <t>Allergy; Immune cells; Immunomodulation; Mesenchymal stromal cells; Small extracellular vesicles</t>
  </si>
  <si>
    <t>STEM-CELLS; AIRWAY INFLAMMATION; MOUSE MODEL; ATOPIC-DERMATITIS; MACROPHAGE POLARIZATION; DENDRITIC CELLS; ASTHMATIC RATS; TNF-ALPHA; T-CELLS; ACTIVATION</t>
  </si>
  <si>
    <t>Mesenchymal stromal cells (MSCs) have long been considered a potential tool for treatment of allergic inflammatory diseases, owing to their immunomodulatory characteristics. In recent decades, the medical utility of MSCs has been evaluated both in vitro and in vivo, providing a foundation for therapeutic applications. However, the existing limitations of MSC therapy indicate the necessity for novel therapies. Notably, small extracellular vesicles (sEV) derived from MSCs have emerged rapidly as candidates instead of their parental cells. The acquisition of abundant and scalable MSC-sEV is an obstacle for clinical applications. The potential application of MSC-sEV in allergic diseases has attracted increasing attention from researchers. By carrying biological microRNAs or active proteins, MSC-sEV can modulate the function of various innate and adaptive immune cells. In this review, we summarise the recent advances in the immunomodulatory properties of MSCs in allergic diseases, the cellular sources of MSC-sEV, and the methods for obtaining high-quality human MSC-sEV. In addition, we discuss the immunoregulatory capacity of MSCs and MSC-sEV for the treatment of asthma, atopic dermatitis, and allergic rhinitis, with a special emphasis on their immunoregulatory effects and the underlying mechanisms of immune cell modulation. Mesenchymal stromal cells-derived small extracellular vesicle modulate the function of both innate and adaptive immunocytes via encapsulated nucleic acids, proteins, lipids, and other small molecules in small extracellular vesicle. Subsequently, the inflammatory cascade could be raised, such as inflammatory cytokines secretion, immune cell migration, expansion, polarization, and degranulation, which play a role in modulating the allergic response.image</t>
  </si>
  <si>
    <t>[Peng, Ya-Qi; Deng, Xiao-Hui; Xu, Zhi-Bin; Wu, Zi-Cong; Fu, Qing-Ling] Sun Yat Sen Univ, Otorhinolaryngol Hosp, Affiliated Hosp 1, Guangzhou, Peoples R China; [Peng, Ya-Qi] Southern Med Univ, Guangdong Prov Peoples Hosp, Guangdong Acad Med Sci, Dept Otolaryngol Head &amp; Neck Surg, Guangzhou, Peoples R China; [Deng, Xiao-Hui; Fu, Qing-Ling] Sun Yat Sen Univ, Key Lab Stem Cells &amp; Tissue Engn, Minist Educ, Guangzhou, Peoples R China</t>
  </si>
  <si>
    <t>Sun Yat Sen University; Southern Medical University - China; Guangdong Academy of Medical Sciences &amp; Guangdong General Hospital; Sun Yat Sen University</t>
  </si>
  <si>
    <t>Fu, QL (corresponding author), Sun Yat Sen Univ, Otorhinolaryngol Hosp, Affiliated Hosp 1, Guangzhou, Peoples R China.;Fu, QL (corresponding author), Sun Yat Sen Univ, Key Lab Stem Cells &amp; Tissue Engn, Minist Educ, Guangzhou, Peoples R China.</t>
  </si>
  <si>
    <t>fuqingl@mail.sysu.edu.cn</t>
  </si>
  <si>
    <t>Fu, Qing-Ling/0000-0002-5969-628X; Deng, xiaohui/0000-0003-0030-439X</t>
  </si>
  <si>
    <t>0014-2980</t>
  </si>
  <si>
    <t>1521-4141</t>
  </si>
  <si>
    <t>EUR J IMMUNOL</t>
  </si>
  <si>
    <t>Eur. J. Immunol.</t>
  </si>
  <si>
    <t>10.1002/eji.202149510</t>
  </si>
  <si>
    <t>Q7BO6</t>
  </si>
  <si>
    <t>WOS:001059041400001</t>
  </si>
  <si>
    <t>Qi, Y; Bu, WJ; Zheng, CG; Lin, XL; Jiao, KL</t>
  </si>
  <si>
    <t>Qi, Yan; Bu, Wen-Jun; Zheng, Chen-Guang; Lin, Xiao-Long; Jiao, Ke-Long</t>
  </si>
  <si>
    <t>New data on mitogenomes of Thienemanniella Kieffer, 1911 (Diptera: Chironomidae, Orthocladiinae)</t>
  </si>
  <si>
    <t>ARCHIVES OF INSECT BIOCHEMISTRY AND PHYSIOLOGY</t>
  </si>
  <si>
    <t>Chironomidae; mitogenome; phylogeny</t>
  </si>
  <si>
    <t>COMPLETE MITOCHONDRIAL GENOME; INSECTA-DIPTERA; CHINA DIPTERA; BOT FLIES; PROVINCE</t>
  </si>
  <si>
    <t>The mitochondrial genome (mitogenome) has been widely used as a powerful marker in phylogenetic and evolutionary studies of various Dipteran groups. However, only a few mitogenomes from the Thienemanniella genus have been reported till now. Furthermore, there is still indeterminacy in the phylogenetic relationships of the genus Thienemanniella. In this study, mitogenomes of five Thienemanniella species were sequenced and analyzed newly. Combined with the published mitogenome of Thienemanniella nipponica, the obtained results showed that mitogenomes of Thienemanniella were conserved in structure, and all genes were observed to be arranged in the same gene order as the ancestral mitogenome. Nucleotide composition varied significantly among different genes, and the control region displayed the highest A + T content. All protein coding genes are subjected to purification selection, and the fastest evolving gene is ATP8. Maximum likelihood and Bayesian inference analyses showed the phylogeny of Thienemanniella which was supported in five topologies. Our present study provides valuable insight into the phylogenetic relationships of Thienemanniella species.</t>
  </si>
  <si>
    <t>[Qi, Yan; Jiao, Ke-Long] Tianjin Agr Univ, Coll Hort &amp; Landscape, Dept Plant Protect, Tianjin, Peoples R China; [Bu, Wen-Jun; Zheng, Chen-Guang] Nankai Univ, Coll Life Sci, Tianjin, Peoples R China; [Lin, Xiao-Long] Shanghai Ocean Univ, Engn Res Ctr Environm DNA &amp; Ecol Water Hlth Assess, Shanghai, Peoples R China; [Lin, Xiao-Long] Shanghai Ocean Univ, Shanghai Univ Key Lab Marine Anim Taxon &amp; Evolut, Shanghai, Peoples R China; [Lin, Xiao-Long] Shanghai Ocean Univ, Engn Res Ctr Environm DNA &amp; Ecol Water Hlth Assess, Shanghai 201306, Peoples R China; [Jiao, Ke-Long] Tianjin Agr Univ, Coll Hort &amp; Landscape, Dept Plant Protect, Tianjin 300392, Peoples R China</t>
  </si>
  <si>
    <t>Tianjin Agricultural University; Nankai University; Shanghai Ocean University; Shanghai Ocean University; Shanghai Ocean University; Tianjin Agricultural University</t>
  </si>
  <si>
    <t>Lin, XL (corresponding author), Shanghai Ocean Univ, Engn Res Ctr Environm DNA &amp; Ecol Water Hlth Assess, Shanghai 201306, Peoples R China.;Jiao, KL (corresponding author), Tianjin Agr Univ, Coll Hort &amp; Landscape, Dept Plant Protect, Tianjin 300392, Peoples R China.</t>
  </si>
  <si>
    <t>lin880224@gmail.com; jiaokelong@163.com</t>
  </si>
  <si>
    <t>National Natural Science Foundation of China [31900344]</t>
  </si>
  <si>
    <t>National Natural Science Foundation of China, Grant/Award Number: 31900344</t>
  </si>
  <si>
    <t>0739-4462</t>
  </si>
  <si>
    <t>1520-6327</t>
  </si>
  <si>
    <t>ARCH INSECT BIOCHEM</t>
  </si>
  <si>
    <t>Arch. Insect Biochem. Physiol.</t>
  </si>
  <si>
    <t>e22051</t>
  </si>
  <si>
    <t>10.1002/arch.22051</t>
  </si>
  <si>
    <t>Biochemistry &amp; Molecular Biology; Entomology; Physiology</t>
  </si>
  <si>
    <t>R2CI2</t>
  </si>
  <si>
    <t>WOS:001062467400001</t>
  </si>
  <si>
    <t>Sjodahl, G; Eriksson, P; Holmsten, K; Abrahamsson, J; Hoglund, M; Bernardo, C; Ullen, A; Liedberg, F</t>
  </si>
  <si>
    <t>Sjodahl, Gottfrid; Eriksson, Pontus; Holmsten, Karin; Abrahamsson, Johan; Hoglund, Mattias; Bernardo, Carina; Ullen, Anders; Liedberg, Fredrik</t>
  </si>
  <si>
    <t>Metastasis and recurrence patterns in the molecular subtypes of urothelial bladder cancer</t>
  </si>
  <si>
    <t>bladder cancer; metastasis; molecular subtypes; organotropism; urothelial carcinoma</t>
  </si>
  <si>
    <t>NEOADJUVANT CHEMOTHERAPY; CARCINOMA; CLASSIFICATION; METHOTREXATE; VINBLASTINE; DOXORUBICIN; CISPLATIN; CELLS</t>
  </si>
  <si>
    <t>Urothelial cancer of the urinary bladder frequently metastasizes to lymph-nodes, lungs, liver and bone. A taxonomy for molecular classification exists, but it is unknown if molecular subtypes show tropism for different organs. Here, we study 146 patients with de novo metastatic disease or recurrence after curative treatment. We classify primary tumors using two transcriptomic methods and immunostaining and identify enrichment and depletion of metastatic sites in molecular subtypes using permutation tests. We observed significant depletion of bone metastases in the Basal/squamous molecular subtype, whereas the Urothelial-like subtype entailed an enrichment for metastases to bone. The Genomically unstable subtype was depleted of lung metastases, but enriched for atypical sites, including six out of seven patients with brain metastases. Stroma-rich primary tumor samples were associated with local recurrence, but not with distant sites. Additionally, the proportion with brain or testis metastases differed between systemic chemotherapy regimens (GC vs MVAC) suggesting a sanctuary effect. In conclusion, molecular subtypes of urothelial bladder cancer are significantly associated with specific metastatic sites, suggesting that subtype-specific molecular determinants could exist at various steps in the metastatic cascade.</t>
  </si>
  <si>
    <t>[Sjodahl, Gottfrid; Abrahamsson, Johan; Liedberg, Fredrik] Lund Univ, Dept Translat Med, Malmo, Sweden; [Sjodahl, Gottfrid; Abrahamsson, Johan; Liedberg, Fredrik] Skane Univ Hosp, Dept Urol, Malmo, Sweden; [Eriksson, Pontus; Hoglund, Mattias; Bernardo, Carina] Lund Univ, Dept Clin Sci, Div Oncol, Lund, Sweden; [Holmsten, Karin; Ullen, Anders] Karolinska Inst, Dept Oncol Pathol, Stockholm, Sweden; [Holmsten, Karin] Capio S T Goran Hosp, Dept Radiol, Stockholm, Sweden; [Ullen, Anders] Karolinska Univ Hosp, Dept Pelv Canc, Genitourinary Oncol &amp; Urol Unit, Stockholm, Sweden; [Sjodahl, Gottfrid] Lund Univ, SE-22381 Lund, Sweden</t>
  </si>
  <si>
    <t>Lund University; Lund University; Skane University Hospital; Lund University; Karolinska Institutet; Karolinska Institutet; Karolinska University Hospital; Lund University</t>
  </si>
  <si>
    <t>Sjodahl, G (corresponding author), Lund Univ, SE-22381 Lund, Sweden.</t>
  </si>
  <si>
    <t>gottfrid.sjodahl@med.lu.se</t>
  </si>
  <si>
    <t>Bernardo, Carina/K-5575-2017</t>
  </si>
  <si>
    <t>Bernardo, Carina/0000-0002-1667-6510; Liedberg, Fredrik/0000-0001-8193-0370; Sjodahl, Gottfrid/0000-0002-7869-0473</t>
  </si>
  <si>
    <t>Cancer Research Fund at Malmo General Hospital; Cancerfonden [2020/0709, 2020/0710, 2022/1971]; Cancerfoundation Kronoberg; Fru Berta Kamprads Stiftelse; Gosta Jonsson Research Foundation; Hillevi Fries Research Foundation; Lund Medical Faculty (ALF); Lund Medical Faculty the Foundation of Urological Research (Ove and Carin Carlsson bladder cancer donation); Marta Winkler Foundation for Medical Research; Skane County Council's Research and Development Foundation; Skane University Hospital Research Funds; Sten K Johnsons stiftelse; Bergqvist Foundation; Gunnar Nilsson Cancer Foundation; Hjelm Family Foundation for Medical research; Torsten Gester Research Foundation; Vetenskapsradet [2021-00859]; Swedish Research Council [2021-00859] Funding Source: Swedish Research Council</t>
  </si>
  <si>
    <t>Cancer Research Fund at Malmo General Hospital; Cancerfonden(Swedish Cancer Society); Cancerfoundation Kronoberg; Fru Berta Kamprads Stiftelse; Gosta Jonsson Research Foundation; Hillevi Fries Research Foundation; Lund Medical Faculty (ALF); Lund Medical Faculty the Foundation of Urological Research (Ove and Carin Carlsson bladder cancer donation); Marta Winkler Foundation for Medical Research; Skane County Council's Research and Development Foundation; Skane University Hospital Research Funds; Sten K Johnsons stiftelse; Bergqvist Foundation; Gunnar Nilsson Cancer Foundation; Hjelm Family Foundation for Medical research; Torsten Gester Research Foundation; Vetenskapsradet(Swedish Research Council); Swedish Research Council(Swedish Research Council)</t>
  </si>
  <si>
    <t>The Cancer Research Fund at Malmo General Hospital; Cancerfonden, Grant/Award Numbers: 2020/0709, 2020/0710, 2022/1971; Cancerfoundation Kronoberg; Fru Berta Kamprads Stiftelse; Gosta Jonsson Research Foundation; Hillevi Fries Research Foundation; Lund Medical Faculty (ALF); Lund Medical Faculty the Foundation of Urological Research (Ove and Carin Carlsson bladder cancer donation); Marta Winkler Foundation for Medical Research; Skane County Council's Research and Development Foundation; Skane University Hospital Research Funds; Sten K Johnsons stiftelse; The Bergqvist Foundation; The Gunnar Nilsson Cancer Foundation; The Hjelm Family Foundation for Medical research; Torsten Gester Research Foundation; Vetenskapsradet, Grant/Award Number: 2021-00859</t>
  </si>
  <si>
    <t>10.1002/ijc.34715</t>
  </si>
  <si>
    <t>R2PQ5</t>
  </si>
  <si>
    <t>WOS:001062824400001</t>
  </si>
  <si>
    <t>Wu, ZH; Wang, WJ; Zhang, K; Fan, MK; Lin, R</t>
  </si>
  <si>
    <t>Wu, Zenghong; Wang, Weijun; Zhang, Kun; Fan, Mengke; Lin, Rong</t>
  </si>
  <si>
    <t>The Global Burden of Disease Attributable to Diet High in Red Meat in 204 Countries and Territories, 1999-2019: An updated Analysis of the Global Burden of Disease Study</t>
  </si>
  <si>
    <t>MOLECULAR NUTRITION &amp; FOOD RESEARCH</t>
  </si>
  <si>
    <t>ASR; DALYs; deaths; GBD; red meat</t>
  </si>
  <si>
    <t>DOSE-RESPONSE METAANALYSIS; BREAST-CANCER; RISK-FACTORS; CONSUMPTION; METABOLISM; PRODUCTS</t>
  </si>
  <si>
    <t>ScopeThe study aims to estimates of the deaths and disability-adjusted life year rates (DALYs) of a diet high in red meat from 1999 to 2019.Methods and resultsThe deaths and disability-adjusted life year rates (DALYs) attributable to diet high in red meat were analyzed by sex, age, and geographical location and by Socio-demographic Index (SDI) from 1999 to 2019.ResultsGlobally, deaths and DALYs attributable to diets high in red meat have steadily increased between 1999 and 2019. The global deaths attributable to diet high in red meat have increased from 319,338 (95% UI 190,418 to 441,406) in 1999 to 411,066 (95% UI 250,993 to 573,864) in 2019 for females, and have increased from 335,711 (95% UI 183,491 to 472,091) in 1999 to 484,608 (95% UI 282,347 to 686,919) in 2019 for males. The global DALYs attributable to diet high in red meat have increased from 7,763,803 (95% UI 5,023,428 to 10,370,477) in 1999 to 10,164,451 (95% UI 6,816,205 to 13,348,860) in 2019 for females, and have increased from 9,564,377 (95% UI 5,528,491 to 13,231,311) in 1999 to 13,696,622 (95% UI 8,669,245 to 18,725,223) in 2019 for males.ConclusionGlobally, since 1999, deaths and DALYs caused by diets high in red meat have steadily increased. It is necessary to clarify the burden of a diet high in red meat on a global scale. Globally, since 1999, deaths and DALYs caused by diets high in red meat have steadily increased. In addition, globally, between 1999 and 2019, the ASR of diets high in red meat related deaths rate decreases by 3.07% for males and by 3.59% for females, and the ASR of diets high in red meat-related DALYs rate decreases by 54.1% for males and by 62.95% for females.image</t>
  </si>
  <si>
    <t>[Wu, Zenghong; Wang, Weijun; Zhang, Kun; Fan, Mengke; Lin, Rong] Huazhong Univ Sci &amp; Technol, Union Hosp, Tongji Med Coll, Div Gastroenterol, Wuhan, Peoples R China</t>
  </si>
  <si>
    <t>Lin, R (corresponding author), Huazhong Univ Sci &amp; Technol, Union Hosp, Tongji Med Coll, Div Gastroenterol, Wuhan, Peoples R China.</t>
  </si>
  <si>
    <t>linrong@hust.edu.cn</t>
  </si>
  <si>
    <t>National Natural Science Foundation of China [81974068]</t>
  </si>
  <si>
    <t>This work was supported by the National Natural Science Foundation of China (81974068).</t>
  </si>
  <si>
    <t>1613-4125</t>
  </si>
  <si>
    <t>1613-4133</t>
  </si>
  <si>
    <t>MOL NUTR FOOD RES</t>
  </si>
  <si>
    <t>Mol. Nutr. Food Res.</t>
  </si>
  <si>
    <t>10.1002/mnfr.202300144</t>
  </si>
  <si>
    <t>Q7JX5</t>
  </si>
  <si>
    <t>WOS:001059261000001</t>
  </si>
  <si>
    <t>Aly, NAM; El-Shanawany, SM; Ghanem, M; Fayad, EA; Lotfy, WM</t>
  </si>
  <si>
    <t>Aly, Nagah Abd El-Fattah Mohamed; El-Shanawany, Safaa M.; Ghanem, Maha; Fayad, Elham Abd El Kader; Lotfy, Wael M.</t>
  </si>
  <si>
    <t>Effect of caring leadership intervention program for first-line nurse managers on their managerial actions and nurse outcomes</t>
  </si>
  <si>
    <t>JOURNAL OF ADVANCED NURSING</t>
  </si>
  <si>
    <t>actions; caring; leadership; management; nurse; outcomes</t>
  </si>
  <si>
    <t>STAFF</t>
  </si>
  <si>
    <t>Aim: The aim of the study was to examine the effect of a caring leadership intervention program for first-line nurse managers (FLNM) on their caring knowledge and managerial actions as well as nurses' perceived FLNM caring behaviours and nurse outcomes.DesignA quasi-experimental study design was implemented on two groups; study and control, including 30 FLNM and 150 nurses for each.Methods: Self-report questionnaires about FLNMs' knowledge of caring behaviours and their managerial actions, nurses perceived line nurse managers' caring behaviours and nurses' outcomes (job satisfaction and work engagement) were utilized to collect study data from 1 July 2022 to 30 December 2022.Results: A statistically significant difference and changes were revealed between the study and control groups in FLNMs' caring knowledge and their managerial actions, and nurses' perceived FLNMs' caring behaviours, nurses' job satisfaction and nurses' work engagement during post-test in comparison to pre-test. Higher total mean scores of post-test in the study group were recorded compared to those of control group regarding FLNMs' caring knowledge and their managerial actions as well as nurses 'perceived FLNMs' caring behaviour, job satisfaction and work engagement.Conclusion: The caring leadership intervention program for FLNMs was highly effective in enhancing their caring knowledge and managerial actions as well as nurses' perceived FLNM caring behaviours and nurse outcomes.Implications for the Profession: Caring leadership can help FLNMs to create a healthy environment, resulting in a positive outcome for nurse staff, patients and healthcare organizations.</t>
  </si>
  <si>
    <t>[Aly, Nagah Abd El-Fattah Mohamed] Matrouh Univ, Fac Nursing, Nursing Adm, Matrouh, Egypt; [El-Shanawany, Safaa M.; Ghanem, Maha] Alexandria Univ, Fac Med, Forens Med &amp; Clin Toxicol, Alexandria, Egypt; [Fayad, Elham Abd El Kader] Alexandria Univ, Fac Nursing, Psychiat Nursing &amp; Mental Hlth, Alexandria, Egypt; [Lotfy, Wael M.] Matrouh Univ, Community Hlth Nursing, Fac Nursing, Matrouh, Egypt</t>
  </si>
  <si>
    <t>Matrouh University; Egyptian Knowledge Bank (EKB); Alexandria University; Egyptian Knowledge Bank (EKB); Alexandria University; Matrouh University</t>
  </si>
  <si>
    <t>Aly, NAM (corresponding author), Matrouh Univ, Fac Nursing, Nursing Adm, Matrouh, Egypt.</t>
  </si>
  <si>
    <t>eldaghar.nagah199@gmail.com</t>
  </si>
  <si>
    <t>The authors are thankful to all the participants who helped us in this study.</t>
  </si>
  <si>
    <t>0309-2402</t>
  </si>
  <si>
    <t>1365-2648</t>
  </si>
  <si>
    <t>J ADV NURS</t>
  </si>
  <si>
    <t>J. Adv. Nurs.</t>
  </si>
  <si>
    <t>2023 SEP 5</t>
  </si>
  <si>
    <t>10.1111/jan.15848</t>
  </si>
  <si>
    <t>Nursing</t>
  </si>
  <si>
    <t>S6PP6</t>
  </si>
  <si>
    <t>WOS:001072365300001</t>
  </si>
  <si>
    <t>Bapna, T; Valles, J; Leng, SMT; Pacilli, M; Nataraja, RM</t>
  </si>
  <si>
    <t>Bapna, Tanay; Valles, John; Leng, Samantha; Pacilli, Maurizio; Nataraja, Ramesh Mark</t>
  </si>
  <si>
    <t>Eye-tracking in surgery: a systematic review</t>
  </si>
  <si>
    <t>ANZ JOURNAL OF SURGERY</t>
  </si>
  <si>
    <t>eye-tracking; gaze-tracking; surgery; surgical innovation; surgical training</t>
  </si>
  <si>
    <t>QUIET EYE; SKILLS ASSESSMENT; EXPERT SURGEONS; GAZE BEHAVIOR; OBJECTIVE ASSESSMENT; TRAINING IMPROVES; AUGMENTED-REALITY; TECHNICAL SKILLS; VISUAL CONTROL; TOOL-MOTION</t>
  </si>
  <si>
    <t>Background: Surgery is constantly evolving with the assistance of rapidly developing novel technology. Eye-tracking devices provide opportunities to monitor the acquisition of surgical skills, gain insight into performance, and enhance surgical practice. The aim of this review was to consolidate the available evidence for the use of eye-tracking in the surgical disciplines. Methods: A systematic literature review was conducted in accordance with PRISMA guidelines. A search of OVID Medline, EMBASE, Cochrane library, Scopus, and Science Direct was conducted January 2000 until December 2022. Studies involving eye-tracking in surgical training, assessment and technical innovation were included in the review. Non-surgical procedures, animal studies, and studies not involving surgical participants were excluded from the review. Results: The search returned a total of 12 054 articles, 80 of which were included in the final analysis and review. Seventeen studies involved eye-tracking in surgical training, 48 surgical assessment, and 20 were focussing on technical aspects of this technology. Twenty-six different eye-tracking devices were used in the included studies. Metrics such as the number of fixations, duration of fixations, dwell time, and cognitive workload were able to differentiate between novice and expert performance. Eight studies demonstrated the effectiveness of gaze-training for improving surgical skill. Conclusion: The current literature shows a broad range of utility for a variety of eye-tracking devices in surgery. There remains a lack of standardization for metric parameters and gaze analysis techniques. Further research is required to validate its use to establish reliability and create uniform practices.</t>
  </si>
  <si>
    <t>[Bapna, Tanay; Valles, John; Leng, Samantha; Pacilli, Maurizio; Nataraja, Ramesh Mark] Monash Childrens Hosp, Dept Paediat Surg &amp; Surg Simulat, Melbourne, Vic, Australia; [Pacilli, Maurizio; Nataraja, Ramesh Mark] Monash Univ, Dept Paediat, Sch Clin Sci, Fac Med Nursing &amp; Hlth Sci, Melbourne, Vic, Australia; [Pacilli, Maurizio; Nataraja, Ramesh Mark] Monash Univ, Fac Med Nursing &amp; Hlth Sci, Sch Clin Sci, Dept Surg, Melbourne, Vic, Australia; [Nataraja, Ramesh Mark] Monash Childrens Hosp, Dept Paediat Surg, 246 Clayton Rd, Melbourne, Vic 3168, Australia; [Nataraja, Ramesh Mark] Monash Univ, Monash Childrens Hosp, 246 Clayton Rd, Melbourne, Vic 3168, Australia</t>
  </si>
  <si>
    <t>Monash University; Monash University; Monash University</t>
  </si>
  <si>
    <t>Nataraja, RM (corresponding author), Monash Childrens Hosp, Dept Paediat Surg, 246 Clayton Rd, Melbourne, Vic 3168, Australia.;Nataraja, RM (corresponding author), Monash Univ, Monash Childrens Hosp, 246 Clayton Rd, Melbourne, Vic 3168, Australia.</t>
  </si>
  <si>
    <t>ram.nataraja@monashhealth.org</t>
  </si>
  <si>
    <t>Leng, Samantha/0000-0002-1229-5526</t>
  </si>
  <si>
    <t>1445-1433</t>
  </si>
  <si>
    <t>1445-2197</t>
  </si>
  <si>
    <t>ANZ J SURG</t>
  </si>
  <si>
    <t>ANZ J. Surg.</t>
  </si>
  <si>
    <t>10.1111/ans.18686</t>
  </si>
  <si>
    <t>Q6GF4</t>
  </si>
  <si>
    <t>WOS:001058479500001</t>
  </si>
  <si>
    <t>Brisacier-Porchon, L; Hammami, O</t>
  </si>
  <si>
    <t>Brisacier-Porchon, Lorraine; Hammami, Omar</t>
  </si>
  <si>
    <t>Defense program quality-cost-delay optimization: architecture framework, a bridge between program management and system engineering</t>
  </si>
  <si>
    <t>SYSTEMS ENGINEERING</t>
  </si>
  <si>
    <t>architecture frameworks; NAF; operation research; system engineering</t>
  </si>
  <si>
    <t>DESIGN</t>
  </si>
  <si>
    <t>Military program management and system engineering re quire the expression of costs and delay trade-off with respect to system architecture. If architecture frameworks (AF) such as NATO (NAF) were designed to fill this common need, their current state is essentially descriptive. As it turns out, building defense systems architectures using those frameworks in a properly anticipated cost/delay budget envelope would require to have all system engineering already solved, because the architecture frameworks are designed to provide an explicit representation of the operational domain that can be used in analysis, for articulation of issues and requirements, as support to planning, and as a means of solution design and validation, among other things. Thus Quality-Resource-Time optimality in a regularly evolving environment cannot be represented in acceptable delay without automated optimization assistance. Our contribution in this article explores coupling architecture framework with operation research (OR) models to enable computer assisted design and evaluation of heterogeneous views in NATO Architecture Framework (NAF). Our illustrative example is a Linear Programming based bridge between program management and system engineering to anticipate optimal trade-offs. This article presents promising results, with which we hope to show how OR and AF will be indivisible in architecture evaluation process.</t>
  </si>
  <si>
    <t>[Brisacier-Porchon, Lorraine; Hammami, Omar] Inst Polytech Paris, ENSTA, U2IS, Blvd Marechaux, Palaiseau, France; [Brisacier-Porchon, Lorraine] ENSTA Paris, U2IS,826,Blvd Marechaux, F-91120 Palaiseau, France</t>
  </si>
  <si>
    <t>Institut Polytechnique de Paris; Institut Polytechnique de Paris</t>
  </si>
  <si>
    <t>Brisacier-Porchon, L (corresponding author), ENSTA Paris, U2IS,826,Blvd Marechaux, F-91120 Palaiseau, France.</t>
  </si>
  <si>
    <t>lorraine.brisacier@ensta-paris.fr</t>
  </si>
  <si>
    <t>This research was founded by Nexter Systems.; Nexter Systems</t>
  </si>
  <si>
    <t>This research was founded by Nexter Systems.</t>
  </si>
  <si>
    <t>1098-1241</t>
  </si>
  <si>
    <t>1520-6858</t>
  </si>
  <si>
    <t>SYSTEMS ENG</t>
  </si>
  <si>
    <t>Syst. Eng.</t>
  </si>
  <si>
    <t>10.1002/sys.21720</t>
  </si>
  <si>
    <t>Engineering, Industrial; Operations Research &amp; Management Science</t>
  </si>
  <si>
    <t>Q6RA4</t>
  </si>
  <si>
    <t>WOS:001058764600001</t>
  </si>
  <si>
    <t>Evrendilek, GA; Turgut, BK</t>
  </si>
  <si>
    <t>Evrendilek, Gulsun Akdemir; Turgut, Bengi Karaoguz</t>
  </si>
  <si>
    <t>Processing and preservation of apple juice by pulsed electric fields combined with cinnamon essential oils: Exploring the effect of synergism</t>
  </si>
  <si>
    <t>JOURNAL OF FOOD SAFETY</t>
  </si>
  <si>
    <t>PLANT ESSENTIAL OILS; ANTIOXIDANT; TEMPERATURE; COMPONENTS; TIME; PEF</t>
  </si>
  <si>
    <t>Apple juice samples were treated by pulsed electric field (PEF) alone and in combination with cinnamon essential oils (CEO) at 0.0005, 0.003, and 0.06 &amp; mu;L mL-1 concentrations as a function of treatment time. Results revealed 11 different compounds with the highest concentrations of 44.79% 3-propenal 3-phenyl, 34.98% trans-cinnamaldehyde, and 10.18% 4-propenal 3-phenyl in CEO. pH and total soluble solids of the apple juice samples significantly decreased; whereas total phenolic substance content of the samples significantly increased by added CEO. The same process parameters caused 3.26 &amp; PLUSMN; 0.19 and 3.83 &amp; PLUSMN; 0.16 log reductions on TAMB and TMY, revealing no detectable numbers after PEF treatment. Similarly, maximum 5.13 and 3.87 log reductions on Escherichia coli O157:H7 and Listeria monocytogenes were obtained on 0.06 &amp; mu;L mL-1 CEO added samples treated after 604 &amp; mu;s. Moreover, increased CEO concentration, when treatment time was constant, caused significantly more microbial inactivation. Increase in treatment time resulted in an incline on &amp; UDelta;H of the samples. Response optimization revealed that 604 &amp; mu;s treatment time and 0.06 &amp; mu;L mL-1 concentration were the optimal treatment parameters with 0.63 composite desirability. Processing of apple juice supplemented with cinnamon essential oils in three different concentrations and processed by pulsed electric field by increased treatment time provided inactivation of endogenous and pathogenic bacteria without adversely affecting the physical, and bioactive properties with an increase in &amp; UDelta;H in thermal properties.image</t>
  </si>
  <si>
    <t>[Evrendilek, Gulsun Akdemir; Turgut, Bengi Karaoguz] Bolu Abant Izzet Baysal Univ, Fac Engn, Dept Food Engn, Bolu, Turkiye; [Turgut, Bengi Karaoguz] Zonguldak Directorate Prov Agr &amp; Forestry, Food &amp; Feed Dept, Zonguldak, Turkiye; [Evrendilek, Gulsun Akdemir] Bolu Abant Izzet Baysal Univ, Fac Engn, Dept Food Engn, Golkoy Campus, Bolu, Turkiye</t>
  </si>
  <si>
    <t>Abant Izzet Baysal University; Abant Izzet Baysal University</t>
  </si>
  <si>
    <t>Evrendilek, GA (corresponding author), Bolu Abant Izzet Baysal Univ, Fac Engn, Dept Food Engn, Golkoy Campus, Bolu, Turkiye.</t>
  </si>
  <si>
    <t>gevrendilek@ibu.edu.tr</t>
  </si>
  <si>
    <t>Financial support is provided by TUBITAK (Project no: 104O585) and apple juice concentrates were kindly provided by Dimes Gida San ve Tic A.S. (Tokat, Tuuml;rkiye).; TUBITAK [104O585]</t>
  </si>
  <si>
    <t>Financial support is provided by TUBITAK (Project no: 104O585) and apple juice concentrates were kindly provided by Dimes Gida San ve Tic A.S. (Tokat, Tuuml;rkiye).; TUBITAK(Turkiye Bilimsel ve Teknolojik Arastirma Kurumu (TUBITAK))</t>
  </si>
  <si>
    <t>TUBITAK, Grant/Award Number: 104O585</t>
  </si>
  <si>
    <t>0149-6085</t>
  </si>
  <si>
    <t>1745-4565</t>
  </si>
  <si>
    <t>J FOOD SAFETY</t>
  </si>
  <si>
    <t>J. Food Saf.</t>
  </si>
  <si>
    <t>10.1111/jfs.13083</t>
  </si>
  <si>
    <t>Biotechnology &amp; Applied Microbiology; Food Science &amp; Technology</t>
  </si>
  <si>
    <t>Q6SP3</t>
  </si>
  <si>
    <t>WOS:001058805700001</t>
  </si>
  <si>
    <t>Hajji, M; Haouas, A; Abad, N; Guerfel, T</t>
  </si>
  <si>
    <t>Hajji, Melek; Haouas, Amel; Abad, Nadeem; Guerfel, Taha</t>
  </si>
  <si>
    <t>The Unconventional Noncovalent Interactions Control: Crystallographic and Theoretical Analyses of the Crystalline Structure of 1,1'-(1-Chloro-4-methoxyphenyl)dibenzene as a Case Study</t>
  </si>
  <si>
    <t>Unconventional Noncovalent Interactions; Hydrogen Bonding; Halogen-halogen contacts; X-ray crystallography; Density Functional Theory (DFT)</t>
  </si>
  <si>
    <t>HIRSHFELD SURFACE-ANALYSIS; HYDROGEN-BONDS; INTERMOLECULAR INTERACTIONS; CONTACTS; VISUALIZATION; COMPLEXES; ENERGIES; PROGRAM; SYSTEMS</t>
  </si>
  <si>
    <t>Unconventional noncovalent interactions are ubiquitous in molecular crystals, supramolecular systems, and biomolecules, but their significance has often been overshadowed by stronger intermolecular interactions such as hydrogen bonding and pstacking. This study aims to emphasize the significance of nonclassical noncovalent interactions in crystal packing. The crystal structure of 1,1'-(1-chloro-4-methoxyphenyl)dibenzene was reported as a representative case. A network of weak interactions governs the arrangement of the molecules within the crystal, encompassing C H center dot center dot center dot X hydrogen bonding (where X= O, Cl, or p), weak Cl center dot center dot center dot Cl symmetrical bonding (classified as Type I halogen-halogen bonding), and C H.H C homopolar dihydrogen contacts (dH.H= 2.348 A). The nature, energetics, and cooperativity of these interactions were evaluated using computational calculations based on dispersion-corrected density functional theory (DFT/wB97X-D/aug-cc-pVTZ). Our findings contribute to a comprehensive understanding of unconventional noncovalent interactions and their role in crystal packing. The methods and concepts employed are likely to be applicable to other molecular systems in biology, chemistry, and materials science.</t>
  </si>
  <si>
    <t>[Hajji, Melek; Guerfel, Taha] Univ Kairouan, Res Unit Electrochem Mat &amp; Environm, Kairouan 3100, Tunisia; [Haouas, Amel] Northern Border Univ, Fac Sci, Dept Chem, Ar Ar, Saudi Arabia; [Abad, Nadeem] Al Baydha Univ, Fac Educ &amp; Sci, Dept Biochem, Al Bayda, Yemen</t>
  </si>
  <si>
    <t>Universite de Kairouan; Northern Border University</t>
  </si>
  <si>
    <t>Hajji, M (corresponding author), Univ Kairouan, Res Unit Electrochem Mat &amp; Environm, Kairouan 3100, Tunisia.</t>
  </si>
  <si>
    <t>melek.hajji@ipeik.u-kairouan.tn</t>
  </si>
  <si>
    <t>Hajji, Melek/U-6243-2019</t>
  </si>
  <si>
    <t>Hajji, Melek/0000-0002-6145-2858</t>
  </si>
  <si>
    <t>The authors extend their appreciation to the Deanship of Scientific Research at Northern Border University, Arar, KSA for funding this research work through the project number NBU-FFR-2023-0086.; Deanship of Scientific Research at Northern Border University, Arar, KSA</t>
  </si>
  <si>
    <t>The authors extend their appreciation to the Deanship of Scientific Research at Northern Border University, Arar, KSA for funding this research work through the project number NBU-FFR-2023-0086.</t>
  </si>
  <si>
    <t>SEP 5</t>
  </si>
  <si>
    <t>e202302624</t>
  </si>
  <si>
    <t>10.1002/slct.202302624</t>
  </si>
  <si>
    <t>Q2HO3</t>
  </si>
  <si>
    <t>WOS:001055780700001</t>
  </si>
  <si>
    <t>Kim, CS; Chiu, CH; Boehm, TK</t>
  </si>
  <si>
    <t>Kim, Clara S.; Chiu, Ching-Hsiu; Boehm, Tobias K.</t>
  </si>
  <si>
    <t>Developing students' collaboration and critical thinking skills via oral examination</t>
  </si>
  <si>
    <t>clinical skills/topics; diagnosis/treatment planning; education; periodontal disease; periodontics; preclinical skills/topics; teaching; teaching assessment; undergraduate dental</t>
  </si>
  <si>
    <t>[Kim, Clara S.; Chiu, Ching-Hsiu; Boehm, Tobias K.] Western Univ Hlth Sci, Coll Dent Med, 309 E Second St, Pomona, CA 91766 USA</t>
  </si>
  <si>
    <t>Western University of Health Sciences</t>
  </si>
  <si>
    <t>Kim, CS (corresponding author), Western Univ Hlth Sci, Coll Dent Med, 309 E Second St, Pomona, CA 91766 USA.</t>
  </si>
  <si>
    <t>cskim@westernu.edu</t>
  </si>
  <si>
    <t>10.1002/jdd.13368</t>
  </si>
  <si>
    <t>R2CP1</t>
  </si>
  <si>
    <t>WOS:001062474600001</t>
  </si>
  <si>
    <t>Kinzi, J; Hussner, J; Schafer, AM; Treyer, A; Seibert, I; Tillmann, A; Mueller, V; Gherardi, C; Vonwyl, C; Hamburger, M; zu Schwabedissen, HEM</t>
  </si>
  <si>
    <t>Kinzi, Jonny; Hussner, Janine; Schafer, Anima M.; Treyer, Andrea; Seibert, Isabell; Tillmann, Annika; Mueller, Vanessa; Gherardi, Clarisse; Vonwyl, Celina; Hamburger, Matthias; zu Schwabedissen, Henriette E. Meyer</t>
  </si>
  <si>
    <t>Influence of Slco2b1-knockout and SLCO2B1-humanization on coproporphyrin I and III levels in rats</t>
  </si>
  <si>
    <t>coproporphyrin; drug transporter; humanized; in vivo; knockout; rat</t>
  </si>
  <si>
    <t>TRANSPORT; BILE; EXPRESSION; MARKERS; PLASMA; URINE; GUIDE</t>
  </si>
  <si>
    <t>Background and Purpose: Coproporphyrin (CP) I and III are byproducts of haem synthesis currently investigated as biomarkers for drug-drug interactions involving hepatic organic anion transporting polypeptide (OATP) 1B transporters. Another hepatically expressed OATP-member is OATP2B1. The aim of this study was to test the impact of OATP2B1, which specifically transports CPIII, on CP serum levels, applying novel rat models.Experimental Approach: CPIII transport kinetics and the interplay between OATP2B1 and multidrug resistance-associated proteins (MRPs) were determined in vitro using the vTF7 expression system. Novel rSlco2b1(-/-) and SLCO2B1(+/+) rat models were characterized for physiological parameters and for CP serum levels. Hepatic and renal expression of transporters involved in CP disposition were determined by real-time qPCR, Western blot analysis, and immunohistochemistry.Key Results: In vitro experiments revealed differences in transport kinetics comparing human and rat OATP2B1 and showed a consistent, species-specific interplay with hMRP3/rMRP3. Deletion of rOATP2B1 was associated with a trend towards lower CPI serum levels compared with wildtype rats, while CPIII remained unchanged. Comparing SLCO2B1(+/+) with knockout rats revealed an effect of sex: only in females the genetic modification influenced CP serum levels. Analysis of hepatic and renal transporters revealed marginal, but in part, statistically significant differences in rMRP2 abundance, which may contribute to the observed changes in CP serum levels.Conclusion and Implications: Our findings support that factors other than OATP1B transporters are of relevance for basal CP levels. Only in female rats, humanization of SLCO2B1 affects basal CPI and CPIII serum levels, despite isomer selectivity of OATP2B1.</t>
  </si>
  <si>
    <t>[Kinzi, Jonny; Hussner, Janine; Schafer, Anima M.; Seibert, Isabell; Tillmann, Annika; Mueller, Vanessa; Gherardi, Clarisse; Vonwyl, Celina; zu Schwabedissen, Henriette E. Meyer] Univ Basel, Dept Pharmaceut Sci, Biopharm, Klingelbergstr 50, CH-4056 Basel, Switzerland; [Treyer, Andrea; Hamburger, Matthias] Univ Basel, Dept Pharmaceut Sci, Pharmaceut Biol, Basel, Switzerland</t>
  </si>
  <si>
    <t>University of Basel; University of Basel</t>
  </si>
  <si>
    <t>zu Schwabedissen, HEM (corresponding author), Univ Basel, Dept Pharmaceut Sci, Biopharm, Klingelbergstr 50, CH-4056 Basel, Switzerland.</t>
  </si>
  <si>
    <t>h.meyerzuschwabedissen@unibas.ch</t>
  </si>
  <si>
    <t>Kinzi, Jonny/0000-0003-2830-2126</t>
  </si>
  <si>
    <t>Universitat Basel</t>
  </si>
  <si>
    <t>We thank Dr. Nadine Naegele from the Zurich Integrative Rodent Physiology at the University of Zurich for her support in determining the rats' blood parameters. Selected experiments presented in this study were content of master theses of Annika Tillmann, Vanessa Mueller, Clarisse Gherardi and Celina Vonwyl. This manuscript will be part of the doctoral thesis of Jonny Kinzi. Open access funding provided by Universitat Basel.</t>
  </si>
  <si>
    <t>10.1111/bph.16205</t>
  </si>
  <si>
    <t>R2IP1</t>
  </si>
  <si>
    <t>WOS:001062635500001</t>
  </si>
  <si>
    <t>Oi, Y; Nakamura, K; Obata, A; Tamura, T; Kasuga, T</t>
  </si>
  <si>
    <t>Oi, Yuki; Nakamura, Keita; Obata, Akiko; Tamura, Tomoyuki; Kasuga, Toshihiro</t>
  </si>
  <si>
    <t>Solubility of 15MgO-15CaO-5P(2)O(5)-10SiO(2) glass</t>
  </si>
  <si>
    <t>invert glass; magnesium ion; orthophosphate; silicate ion; solubility</t>
  </si>
  <si>
    <t>BIOACTIVE GLASS; SUPERHYDROPHOBIC SURFACES; PHOSPHATE-GLASSES; ZINC PHOSPHATE; XPS; NMR</t>
  </si>
  <si>
    <t>Mg2+ and silicate ions are important ionic species in bone formation. Previously, the authors' group reported a 15MgO-15CaO-8P(2)O(5)-4SiO(2) glass (silicophosphate invert glass [spIG]) containing orthophosphate and orthosilicate structures. Mg2+ and Ca2+ ions in the glass preferentially formed Si-O-Mg and P-O-Ca bonds, respectively, suppressing the release amount of silicate ions in a tris-HCl buffer solution (TBS). In this study, a new 15MgO-15CaO-5P(2)O(5)- 10SiO(2) invert glass without a silicate 3D-network structure was prepared via a melt-quenching method. The new glass exhibits an improved silicate-ion release ability that promotes bone formation. The dissolution amounts of Ca2+ and phosphate ions from the glass into a TBS were similar to those of spIG, but the amounts of Mg2+ and silicate ions increased by similar to 2 and similar to 5 times, respectively. P-31 and Si-29 magic-angle spinning nuclear magnetic resonance spectroscopic analyses showed that the glass was composed of orthophosphate and chain silicate structures. Even when the silica content exceeded that of spIG, the formation of a silicate 3D-network was suppressed. The O1s X-ray photoelectron spectra indicated that (Si, P)-O-Mg bonds contribute to the glass formation. In a glass model based on classical molecular dynamics, the oxygen coordination numbers of Mg and Ca were determined as 4-7 and 5-8, respectively. Mg2+ ions are predominantly responsible for bridging the silicate/phosphate structures in this glass and play an important role in tuning the glass formation and the release amount of silicate ions.</t>
  </si>
  <si>
    <t>[Oi, Yuki; Nakamura, Keita; Obata, Akiko; Kasuga, Toshihiro] Nagoya Inst Technol, Div Adv Ceram, Gokiso Cho,Showa Ku, Nagoya 4668555, Japan; [Tamura, Tomoyuki] Nagoya Inst Technol, Div Appl Phys, Gokiso Cho,Showa Ku, Nagoya 4668555, Japan</t>
  </si>
  <si>
    <t>Nagoya Institute of Technology; Nagoya Institute of Technology</t>
  </si>
  <si>
    <t>Kasuga, T (corresponding author), Nagoya Inst Technol, Div Adv Ceram, Gokiso Cho,Showa Ku, Nagoya 4668555, Japan.;Tamura, T (corresponding author), Nagoya Inst Technol, Div Appl Phys, Gokiso Cho,Showa Ku, Nagoya 4668555, Japan.</t>
  </si>
  <si>
    <t>tamura.tomoyuki@nitech.ac.jp; kasuga.toshihiro@nitech.ac.jp</t>
  </si>
  <si>
    <t>Japan Society for Promotion of Science [20H00304, 22H01808]</t>
  </si>
  <si>
    <t>Japan Society for Promotion of Science(Ministry of Education, Culture, Sports, Science and Technology, Japan (MEXT)Japan Society for the Promotion of Science)</t>
  </si>
  <si>
    <t>Japan Society for Promotion of Science, Grant/Award Numbers: 20H00304, 22H01808</t>
  </si>
  <si>
    <t>10.1111/jace.19425</t>
  </si>
  <si>
    <t>R0SY7</t>
  </si>
  <si>
    <t>WOS:001061539600001</t>
  </si>
  <si>
    <t>Pernichelle, FG; Alves, ETM; Serafim, RAM; Ferreira, EI</t>
  </si>
  <si>
    <t>Pernichelle, Filipe Gomes; Alves, Erick Tavares Marcelino; Serafim, Ricardo Augusto Massarico; Ferreira, Elizabeth Igne</t>
  </si>
  <si>
    <t>The Importance of the Piperazine Ring for the Development of Trypanomicide Compounds</t>
  </si>
  <si>
    <t>Antiprotozoal agents; Chagas disease; Enzymes inhibitors; Medicinal Chemistry; Nitrogen heterocyclic.</t>
  </si>
  <si>
    <t>CYSTEINE PROTEASE INHIBITOR; ANTI-TRYPANOSOMA-CRUZI; TRYPANOTHIONE REDUCTASE; 2-AMINO DIPHENYLSULFIDES; STRUCTURAL-BASIS; P-GLYCOPROTEIN; BINDING MODE; POTENCY; DESIGN; TARGET</t>
  </si>
  <si>
    <t>Chagas disease (CD) is one of extremely Neglected Tropical Diseases (NTD) that have been challenging the health of billions of people in the world. Despite being a threat worldwide many of these diseases have a scarce chemotherapeutic armamentarium and the drugs currently used are not effective because of several reason, such as drug resistance, serious side-effects, among others. Only two drugs are currently available for CD therapeutics, and they are not active in the chronic phase of the diseases. Considering the huge necessity of drugs for this parasitosis, the search for either new or better drugs than those used, many research groups have been involved in this investigation. New scaffolds can be used with this purpose and piperazine is one of them. Since it has many chemical, pharmacological and pharmacokinetics advantages, including multitarget activity, this group has been often used in CD. In this review, which the role of piperazine group in the structure-activity of some important targets for T. cruzi, as cruzain, trypanothione reductase, Fe-superoxide dismutase, and nitroreductase as well, is comprehended, several examples have been given to inspire researchers to optimize either hit or lead compounds against T. cruzi. Piperazine has been used in many therapeutical classes, including tropical neglected diseases, as Chagas disease. This review summarized and exemplified the role of this linker interacting with some of the targets that have been studied for the development of trypanomicide drugs, as nitroreductase, cruzain, trypanothione reductase, Cyp51 and Fe-superoxide dismutase. The examples could inspire authors who works on the design of trypanomicide drugs.image</t>
  </si>
  <si>
    <t>[Pernichelle, Filipe Gomes; Alves, Erick Tavares Marcelino; Ferreira, Elizabeth Igne] Univ Sao Paulo, Sch Pharmaceut Sci, Dept Pharm, Av Prof Lineu Prestes,580 Bl13-15, BR-05508000 Sao Paulo, SP, Brazil; [Serafim, Ricardo Augusto Massarico] Eberhard Karls Univ Tuebingen, Dept Pharmaceut Med Chem, Morgenstelle 8, D-72076 Tubingen, Germany</t>
  </si>
  <si>
    <t>Universidade de Sao Paulo; Eberhard Karls University of Tubingen; Eberhard Karls University Hospital</t>
  </si>
  <si>
    <t>Ferreira, EI (corresponding author), Univ Sao Paulo, Sch Pharmaceut Sci, Dept Pharm, Av Prof Lineu Prestes,580 Bl13-15, BR-05508000 Sao Paulo, SP, Brazil.</t>
  </si>
  <si>
    <t>elizabeth.igne@gmail.com</t>
  </si>
  <si>
    <t>We thanks the support of FAPESP for Filipe Gomes Pernichelle scholarship (2020/13347-2), Erick Tavares Marcelino Alves (2021/04778-2) and CNPq for Elizabeth Igne Ferreira fellowship(CNPq 303206/2019-5). [2021/04778]; FAPESP [CNPq 303206/2019-5]; Erick Tavares Marcelino Alves; CNPq; [2020/13347-2]</t>
  </si>
  <si>
    <t>We thanks the support of FAPESP for Filipe Gomes Pernichelle scholarship (2020/13347-2), Erick Tavares Marcelino Alves (2021/04778-2) and CNPq for Elizabeth Igne Ferreira fellowship(CNPq 303206/2019-5).; FAPESP(Fundacao de Amparo a Pesquisa do Estado de Sao Paulo (FAPESP)); Erick Tavares Marcelino Alves; CNPq(Conselho Nacional de Desenvolvimento Cientifico e Tecnologico (CNPQ));</t>
  </si>
  <si>
    <t>We thanks the support of FAPESP for Filipe Gomes Pernichelle scholarship (2020/13347-2), Erick Tavares Marcelino Alves (2021/04778-2) and CNPq for Elizabeth Igne Ferreira fellowship(CNPq 303206/2019-5).</t>
  </si>
  <si>
    <t>e202302697</t>
  </si>
  <si>
    <t>10.1002/slct.202302697</t>
  </si>
  <si>
    <t>Q5TG0</t>
  </si>
  <si>
    <t>WOS:001058140000001</t>
  </si>
  <si>
    <t>Sachidanandan, K; Niu, B; Laulhe, S</t>
  </si>
  <si>
    <t>Sachidanandan, Krishnakumar; Niu, Ben; Laulhe, Sebastien</t>
  </si>
  <si>
    <t>An Overview of a-Aminoalkyl Radical Mediated Halogen-Atom Transfer</t>
  </si>
  <si>
    <t>CHEMCATCHEM</t>
  </si>
  <si>
    <t>Halogen Atom Transfer; &amp; alpha;-Aminoalkyl Radical; Alkyl Halide; Photoredox Catalysis</t>
  </si>
  <si>
    <t>PHOTOREDOX CATALYSIS; CARBON; GENERATION; REACTIVITY; DEUTERIUM; EFFICIENT; ALCOHOLS; METALS; STOCKS; ALKYL</t>
  </si>
  <si>
    <t>The merging of photocatalysis with halogen-atom transfer (XAT) processes has proven to be a versatile tool for the generation of carbon-centered radicals in organic synthesis. XAT processes are unique in that they generate radicals without requiring the use of strong reductants necessary for the traditional single electron transfer (SET) activation of halides. Pathways to achieve XAT in synthetic applications can be categorized into three major sections: i) heteroatom-based activators, ii) metal-based activators, and iii) carbon-based activators among which a-aminoalkyl radicals have taken the center stage. Access to these a-aminoalkyl radicals as XAT reagents has gained significant attention in the past few years due to the robustness of the reactions, the simplicity of the reagents required, and the broadness of their applications. Generation of these a-aminoalkyl radicals is simply achieved through the single electron oxidation of tertiary amines, which after deprotonation at the a-position generates the a-aminoalkyl radicals. Due to the wide scope of tertiary amines available and the tunable nucleophilicity of a-aminoalkyl radical formed, this strategy has become an attractive alternative to heteroatom/metal-based radicals for XAT. In this minireview, we focus our attention on recent (2020-2023) developments and uses of this robust technology to mediate XAT processes.</t>
  </si>
  <si>
    <t>[Sachidanandan, Krishnakumar; Niu, Ben; Laulhe, Sebastien] Indiana Univ Purdue Univ Indianapolis, Dept Chem &amp; Chem Biol, Indianapolis, IN 46202 USA</t>
  </si>
  <si>
    <t>Indiana University System; Indiana University-Purdue University Indianapolis</t>
  </si>
  <si>
    <t>Laulhe, S (corresponding author), Indiana Univ Purdue Univ Indianapolis, Dept Chem &amp; Chem Biol, Indianapolis, IN 46202 USA.</t>
  </si>
  <si>
    <t>slaulhe@iupui.edu</t>
  </si>
  <si>
    <t>National Science Foundation [2239235]</t>
  </si>
  <si>
    <t>This material is based upon work supported by the National Science Foundation under Grant No. [2239235].</t>
  </si>
  <si>
    <t>1867-3880</t>
  </si>
  <si>
    <t>1867-3899</t>
  </si>
  <si>
    <t>ChemCatChem</t>
  </si>
  <si>
    <t>e202300860</t>
  </si>
  <si>
    <t>10.1002/cctc.202300860</t>
  </si>
  <si>
    <t>Chemistry, Physical</t>
  </si>
  <si>
    <t>R0TY8</t>
  </si>
  <si>
    <t>WOS:001061565900001</t>
  </si>
  <si>
    <t>Scott, KA; Elliott, KC; Lincoln, J; Flynn, MA; Hill, R; Hall, DM</t>
  </si>
  <si>
    <t>Scott, Kenneth A.; Elliott, K. C.; Lincoln, Jennifer; Flynn, Michael A.; Hill, Ryan; Hall, Diane M.</t>
  </si>
  <si>
    <t>Rural health and rural industries: Opportunities for partnership and action</t>
  </si>
  <si>
    <t>JOURNAL OF RURAL HEALTH</t>
  </si>
  <si>
    <t>occupational health; occupational health services; rural health; rural health services; social determinants of health</t>
  </si>
  <si>
    <t>OCCUPATIONAL INJURY MORTALITY; HEAT-RELATED ILLNESS; UNITED-STATES; SUBSTANCE USE; RISK-FACTORS; FATALITIES; ADULTS; OIL; CRASHES; ACCESS</t>
  </si>
  <si>
    <t>[Scott, Kenneth A.] Natl Inst Occupat Safety &amp; Hlth, Denver, CO USA; [Elliott, K. C.] Natl Inst Occupat Safety &amp; Hlth, Anchorage, AK USA; [Lincoln, Jennifer; Flynn, Michael A.] Natl Inst Occupat Safety &amp; Hlth, Cincinnati, OH USA; [Hill, Ryan] Natl Inst Occupat Safety &amp; Hlth, Spokane, WA USA; [Hall, Diane M.] CDCP, Off Rural Hlth, Atlanta, GA USA; [Scott, Kenneth A.] NIOSH, Western States Div, POB 25226, Denver, CO 80225 USA</t>
  </si>
  <si>
    <t>Centers for Disease Control &amp; Prevention - USA; National Institute for Occupational Safety &amp; Health (NIOSH); Centers for Disease Control &amp; Prevention - USA; National Institute for Occupational Safety &amp; Health (NIOSH); Centers for Disease Control &amp; Prevention - USA; National Institute for Occupational Safety &amp; Health (NIOSH); Centers for Disease Control &amp; Prevention - USA; National Institute for Occupational Safety &amp; Health (NIOSH); Centers for Disease Control &amp; Prevention - USA; Centers for Disease Control &amp; Prevention - USA; National Institute for Occupational Safety &amp; Health (NIOSH)</t>
  </si>
  <si>
    <t>Scott, KA (corresponding author), NIOSH, Western States Div, POB 25226, Denver, CO 80225 USA.</t>
  </si>
  <si>
    <t>kscott4@cdc.gov</t>
  </si>
  <si>
    <t>Flynn, Michael A/S-4556-2017</t>
  </si>
  <si>
    <t>Flynn, Michael A/0000-0001-5338-5360; Elliott, KC/0000-0002-4054-573X</t>
  </si>
  <si>
    <t>0890-765X</t>
  </si>
  <si>
    <t>1748-0361</t>
  </si>
  <si>
    <t>J RURAL HEALTH</t>
  </si>
  <si>
    <t>J. Rural Health</t>
  </si>
  <si>
    <t>10.1111/jrh.12791</t>
  </si>
  <si>
    <t>Health Care Sciences &amp; Services; Health Policy &amp; Services; Public, Environmental &amp; Occupational Health</t>
  </si>
  <si>
    <t>Health Care Sciences &amp; Services; Public, Environmental &amp; Occupational Health</t>
  </si>
  <si>
    <t>R1UP1</t>
  </si>
  <si>
    <t>WOS:001062264400001</t>
  </si>
  <si>
    <t>Song, CQ; Xu, WF; Li, SH; Liu, H; Chu, CJ; He, B; Chen, XZ; Piao, SL; Lu, HB; Ma, MN; Yuan, WP</t>
  </si>
  <si>
    <t>Song, Chaoqing; Xu, Wenfang; Li, Shihua; Liu, Hui; Chu, Chengjin; He, Bin; Chen, Xiuzhi; Piao, Shilong; Lu, Haibo; Ma, Minna; Yuan, Wenping</t>
  </si>
  <si>
    <t>Differential tree demography mediated by water stress and functional traits in a moist tropical forest</t>
  </si>
  <si>
    <t>FUNCTIONAL ECOLOGY</t>
  </si>
  <si>
    <t>fast-growing species; hydraulic safety; moist tropical forest; plant functional traits; resource acquisition and allocation; survival; tree demography; water stress</t>
  </si>
  <si>
    <t>FAST-SLOW CONTINUUM; WOOD DENSITY; CLIMATE-CHANGE; TRADE-OFFS; MORTALITY; RECRUITMENT; DROUGHT; GROWTH; RATES; HYDRAULICS</t>
  </si>
  <si>
    <t>Climate-induced changes in tree mortality, recruitment and growth have been extensively observed in forests worldwide. However, there is still a lack of quantitative understanding regarding how tree demography responds to environmental factors, particularly different water conditions, and how plant functional traits contribute to interspecific differences in this response. Using data collected from a forest monitoring plot, meteorological observations and trait measurements on Barro Colorado Island in Panama-one of the most studied sites, we investigated the mortality, recruitment, growth and population dynamics of 165 tree species from 1990 to 2014 and examined the influence of functional traits in determining the interspecific differences in tree demography. We also employed parametric accelerated failure time models to assess the impact of environmental conditions, functional traits and individual tree characteristics on tree survival time. We find that water stress drives the temporal dynamics of tree demography. During the high water stress period, the increase in mortality rates and decrease in recruitment rates caused negative population changes for species. In contrast, the increase in recruitment rates and decline in mortality rates during the low water stress period positively affected the population of species. Wood density and P50 (xylem water potential at 50% loss of maximum hydraulic conductivity) are significantly correlated with species-level mortality, recruitment and growth rates, indicating that traits related to resource allocation and hydraulic safety dictate the interspecific differences in demographic rates. Our results demonstrate that water stress and traits related to resource allocation and hydraulic safety jointly mediate tree demography in this tropical forest. High mortality and low recruitment under high water stress may especially cause a decline in fast-growing species. Therefore, timely recovery of recruitment under favourable water conditions is crucial for the forest dynamics.Read the free Plain Language Summary for this article on the Journal blog.</t>
  </si>
  <si>
    <t>[Song, Chaoqing; Li, Shihua; Chen, Xiuzhi; Ma, Minna; Yuan, Wenping] Sun Yat Sen Univ, Sch Atmospher Sci, Southern Marine Sci &amp; Engn Guangdong Lab Zhuhai, Zhuhai, Peoples R China; [Xu, Wenfang; Liu, Hui] Chinese Acad Sci, Key Lab Vegetat Restorat &amp; Management Degraded Eco, Guangdong Prov Key Lab Appl Bot, South China Bot Garden, Guangzhou, Peoples R China; [Chu, Chengjin] Sun Yat Sen Univ, Dept Ecol, State Key Lab Biocontrol, Guangzhou, Peoples R China; [Chu, Chengjin] Sun Yat Sen Univ, Sch Life Sci, Guangzhou, Peoples R China; [He, Bin] Beijing Normal Univ, Coll Global Change &amp; Earth Syst Sci, State Key Lab Earth Surface Proc &amp; Resource Ecol, Beijing, Peoples R China; [Piao, Shilong] Peking Univ, Sino French Inst Earth Syst Sci, Coll Urban &amp; Environm Sci, Beijing, Peoples R China; [Lu, Haibo] Beijing Normal Univ, Fac Arts &amp; Sci, Dept Geog, Zhuhai, Peoples R China</t>
  </si>
  <si>
    <t>Sun Yat Sen University; Southern Marine Science &amp; Engineering Guangdong Laboratory; Southern Marine Science &amp; Engineering Guangdong Laboratory (Zhuhai); Chinese Academy of Sciences; South China Botanical Garden, CAS; Sun Yat Sen University; Sun Yat Sen University; Beijing Normal University; Peking University; Beijing Normal University</t>
  </si>
  <si>
    <t>Yuan, WP (corresponding author), Sun Yat Sen Univ, Sch Atmospher Sci, Southern Marine Sci &amp; Engn Guangdong Lab Zhuhai, Zhuhai, Peoples R China.</t>
  </si>
  <si>
    <t>yuanwp3@mail.sysu.edu.cn</t>
  </si>
  <si>
    <t>Liu, Hui/AAF-8803-2021</t>
  </si>
  <si>
    <t>Liu, Hui/0000-0003-4027-499X</t>
  </si>
  <si>
    <t>Key Project of National Natural Science Foundation of China [31930072]; National Science Fund for Distinguished Young Scholars [41925001]; Young Scientists Fund of National Natural Science Foundation of China [42201055]</t>
  </si>
  <si>
    <t>Key Project of National Natural Science Foundation of China(National Natural Science Foundation of China (NSFC)); National Science Fund for Distinguished Young Scholars(National Natural Science Foundation of China (NSFC)National Science Fund for Distinguished Young Scholars); Young Scientists Fund of National Natural Science Foundation of China(National Natural Science Foundation of China (NSFC))</t>
  </si>
  <si>
    <t>Key Project of National Natural Science Foundation of China, Grant/Award Number: 31930072; National Science Fund for Distinguished Young Scholars, Grant/Award Number: 41925001; Young Scientists Fund of National Natural Science Foundation of China, Grant/ Award Number: 42201055</t>
  </si>
  <si>
    <t>0269-8463</t>
  </si>
  <si>
    <t>1365-2435</t>
  </si>
  <si>
    <t>FUNCT ECOL</t>
  </si>
  <si>
    <t>Funct. Ecol.</t>
  </si>
  <si>
    <t>10.1111/1365-2435.14424</t>
  </si>
  <si>
    <t>R1NG3</t>
  </si>
  <si>
    <t>WOS:001062072600001</t>
  </si>
  <si>
    <t>Vandevander, J; Warner, A; Kazemi, E; Fahmie, T</t>
  </si>
  <si>
    <t>Vandevander, Jessica; Warner, Allison; Kazemi, Ellie; Fahmie, Tara</t>
  </si>
  <si>
    <t>Creating a reference range of common problem behaviors and replacement behaviors in neurotypical children</t>
  </si>
  <si>
    <t>BEHAVIORAL INTERVENTIONS</t>
  </si>
  <si>
    <t>behavior analysis; neurotypical; problem behavior; rates of behavior; replacement behavior</t>
  </si>
  <si>
    <t>YOUNG-CHILDREN; AUTISM; SYSTEM</t>
  </si>
  <si>
    <t>There are limited resources outlining age-referenced rates of problem behavior displayed by neurotypical children. Such information is important for practitioners as a basis for social comparison when they are targeting behavior reduction goals for neurodivergent clients. We distributed a survey to parents of children aged 1-10 years without a developmental diagnosis in which parents reported frequency of five problem behaviors across a 24-h period, as well as commonly targeted replacement behaviors. Problem behavior was reported across all age groups to varying degrees based on topography and age. Replacement behaviors, such as waiting and tolerating denials generally improved as children increased in age but still largely remained below 80% of opportunities. The present study may serve as a reference for researchers and clinicians to set goals that are developmentally appropriate.</t>
  </si>
  <si>
    <t>[Vandevander, Jessica; Warner, Allison] Achieving True Self Inc, Irwin, PA 15642 USA; [Kazemi, Ellie] Calif State Univ, Northridge, CA USA; [Fahmie, Tara] Univ Nebraska Med Ctr, Omaha, NE USA</t>
  </si>
  <si>
    <t>California State University System; California State University Northridge; University of Nebraska System; University of Nebraska Medical Center</t>
  </si>
  <si>
    <t>Vandevander, J (corresponding author), Achieving True Self Inc, Irwin, PA 15642 USA.</t>
  </si>
  <si>
    <t>jvandevander@achievingtrueself.com</t>
  </si>
  <si>
    <t>1072-0847</t>
  </si>
  <si>
    <t>1099-078X</t>
  </si>
  <si>
    <t>BEHAV INTERVENT</t>
  </si>
  <si>
    <t>Behav. Intervent.</t>
  </si>
  <si>
    <t>10.1002/bin.1978</t>
  </si>
  <si>
    <t>Psychology, Clinical</t>
  </si>
  <si>
    <t>R2BE3</t>
  </si>
  <si>
    <t>WOS:001062435900001</t>
  </si>
  <si>
    <t>Wang, CY; Li, TQ; Chen, KQ; Niu, HZ; Bai, YW; Liu, JC; Wang, YL; Ju, SG; Yao, W; Zhao, GR; Xiong, B; Zhou, GF</t>
  </si>
  <si>
    <t>Wang, Chaoyang; Li, Tongqiang; Chen, Kequan; Niu, Huanzhang; Bai, Yaowei; Liu, Jiacheng; Wang, Yingliang; Ju, Shuguang; Yao, Wei; Zhao, Guorui; Xiong, Bin; Zhou, Guofeng</t>
  </si>
  <si>
    <t>Reversion of liver cirrhosis after endovascular treatment in Chinese patients with Budd-Chiari syndrome</t>
  </si>
  <si>
    <t>Budd-Chiari syndrome; endovascular; liver cirrhosis; reversion</t>
  </si>
  <si>
    <t>INTRAHEPATIC PORTOSYSTEMIC SHUNT; CLINICAL-PRACTICE GUIDELINES; PERCUTANEOUS RECANALIZATION; THERAPY; PATENCY; TARGET; WEST</t>
  </si>
  <si>
    <t>Aims: To investigate the impact of endovascular (EV) treatment on liver cirrhosis in Chinese patients with Budd-Chiari syndrome (BCS). Methods: From September 2011 to March 2022, 97 patients from four hospitals in China who were diagnosed with primary BCS complicated with liver cirrhosis and received EV treatment were retrospectively enrolled in this study for clinical analysis. In addition, liver tissues for basic research were acquired from 25 patients between June 2022 and March 2023, including six with benign liver tumors, 11 with BCS before EV treatment, and eight with EV-treated BCS. Liver cirrhosis was assessed by clinical outcomes, histological studies, and the expression of related genes at the mRNA and protein levels. Results: The patients with BCS had better liver function after EV treatment, evidenced by an increased albumin level and reduced total bilirubin, ALT, and AST. The imaging findings suggested an amelioration of liver cirrhosis and portal hypertension, including increased portal vein velocity (13.52 +/- 8.89 cm/s vs. 17.51 +/- 6.67 cm/s, p &lt; 0.001) and decreased liver stiffness (30.37 +/- 6.39 kPa vs. 23.70 +/- 7.99 kPa, p &lt; 0.001), portal vein diameter (14.97 +/- 3.42 mm vs. 13.36 +/- 2.89 mm, p &lt; 0.001), and spleen volume (870.00 +/- 355.61 cm(3) vs. 771.36 +/- 277.45 cm(3), p &lt; 0.001). Furthermore, histological studies revealed that EV treatment resulted in a restoration of liver architecture with reduced extracellular matrix deposition. Meanwhile, hepatic angiogenesis and inflammation, which have a close relationship with cirrhosis, were also inhibited. In addition, the state of hepatocytes switches from apoptosis to proliferation after EV treatment. Conclusions: BCS-induced liver cirrhosis could be reversed by EV treatment from macroscopic to microscopic dimensions. Our study may provide further insights into understanding BCS and treating cirrhosis.</t>
  </si>
  <si>
    <t>[Wang, Chaoyang; Bai, Yaowei; Liu, Jiacheng; Wang, Yingliang; Ju, Shuguang; Zhou, Guofeng] Huazhong Univ Sci &amp; Technol, Union Hosp, Tongji Med Coll, Dept Radiol, Wuhan, Peoples R China; [Li, Tongqiang; Xiong, Bin] Guangzhou Med Univ, Dept Pediat, Affiliated Hosp 1, Guangzhou, Peoples R China; [Chen, Kequan] Guangzhou Med Univ, Dept Pediat, Affiliated Hosp 1, Guangzhou, Peoples R China; [Niu, Huanzhang] Henan Univ Sci &amp; Technol, Dept Neurol, Affiliated Hosp 1, Luoyang, Peoples R China; [Zhao, Guorui] Henan Infect Dis Hosp, Dept Infect Dis, Zhengzhou 450000, Henan, Peoples R China; [Xiong, Bin] Guangzhou Med Univ, Dept Intervent Radiol, Affiliated Hosp 1, Ave 151, Guangzhou 51000, Jiangxi, Peoples R China; [Zhou, Guofeng] Huazhong Univ Sci &amp; Technol, Union Hosp, Tongji Med Coll, Dept Radiol, Jiefang Ave 1277, Wuhan 430022, Peoples R China</t>
  </si>
  <si>
    <t>Huazhong University of Science &amp; Technology; Guangzhou Medical University; Guangzhou Medical University; Henan University of Science &amp; Technology; Guangzhou Medical University; Huazhong University of Science &amp; Technology</t>
  </si>
  <si>
    <t>Xiong, B (corresponding author), Guangzhou Med Univ, Dept Intervent Radiol, Affiliated Hosp 1, Ave 151, Guangzhou 51000, Jiangxi, Peoples R China.;Zhou, GF (corresponding author), Huazhong Univ Sci &amp; Technol, Union Hosp, Tongji Med Coll, Dept Radiol, Jiefang Ave 1277, Wuhan 430022, Peoples R China.</t>
  </si>
  <si>
    <t>herr_xiong@126.com; zgfunion@126.com</t>
  </si>
  <si>
    <t>Liu, Jiacheng/0000-0002-7786-9957</t>
  </si>
  <si>
    <t>National Natural Science Foundation of China [81873917]</t>
  </si>
  <si>
    <t>National Natural Science Foundation of China, Grant/Award Number: 81873917</t>
  </si>
  <si>
    <t>10.1111/hepr.13960</t>
  </si>
  <si>
    <t>R0TQ7</t>
  </si>
  <si>
    <t>WOS:001061557700001</t>
  </si>
  <si>
    <t>Yang, LX; Lai, YH; Cheung, CI; Ye, Z; Huang, TC; Wang, YC; Chin, YC; Chia, ZC; Chen, YJ; Li, MJ; Tseng, HY; Tsai, YT; Zhang, ZB; Chen, KH; Tsai, BY; Shieh, DB; Lee, NY; Tsai, PJ; Huang, CC</t>
  </si>
  <si>
    <t>Yang, Li-Xing; Lai, Yi-Hsin; Cheung, Chun In; Ye, Zhi; Huang, Tzu-Chi; Wang, Yu-Chin; Chin, Yu-Cheng; Chia, Zi-Chun; Chen, Ya-Jyun; Li, Meng-Jia; Tseng, Hsiu-Ying; Tsai, Yi-Tseng; Zhang, Zhi-Bin; Chen, Kuan-Hsu; Tsai, Bo-Yang; Shieh, Dar-Bin; Lee, Nan-Yao; Tsai, Pei-Jane; Huang, Chih-Chia</t>
  </si>
  <si>
    <t>Novel metal peroxide nanoboxes restrain Clostridioides difficile infection beyond the bactericidal and sporicidal activity</t>
  </si>
  <si>
    <t>BIOENGINEERING &amp; TRANSLATIONAL MEDICINE</t>
  </si>
  <si>
    <t>AgAu; AgCl; Clostridioides difficile infection; peroxide; spore</t>
  </si>
  <si>
    <t>SILVER NANOPARTICLES; REPLACEMENT REACTION; ESCHERICHIA-COLI; ACUTE TOXICITY; ANTIBACTERIAL; RESISTANCE; INHIBITOR; EFFICACY; THERAPY; DISEASE</t>
  </si>
  <si>
    <t>Clostridioides difficile spores are considered as the major source responsible for the development of C. difficile infection (CDI), which is associated with an increased risk of death in patients and has become an important issue in infection control of nosocomial infections. Current treatment against CDI still relies on antibiotics, which also damage normal flora and increase the risk of CDI recurrence. Therefore, alternative therapies that are more effective against C. difficile bacteria and spores are urgently needed. Here, we designed an oxidation process using H2O2 containing PBS solution to generate Cl- and peroxide molecules that further process Ag and Au ions to form nanoboxes with Ag-Au peroxide coat covering Au shell and AgCl core (AgAu-based nanoboxes). The AgAu-based nanoboxes efficiently disrupted the membrane structure of bacteria/spores of C. difficile after 30-45 min exposure to the highly reactive Ag/Au peroxide surface of the nano structures. The Au-enclosed AgCl provided sustained suppression of the growth of 2 x 10(7 )pathogenic Escherichia coli for up to 19 days. In a fecal bench ex vivo test and in vivo CDI murine model, biocompatibility and therapeutic efficacy of the AuAg nanoboxes to attenuate CDI was demonstrated by restoring the gut microbiota and colon mucosal structure. The treatment successfully rescued the CDI mice from death and prevented their recurrence mediated by vancomycin treatment. The significant outcomes indicated that the new peroxide-derived AgAu-based nanoboxes possess great potential for future translation into clinical application as a new alternative therapeutic strategy against CDI.</t>
  </si>
  <si>
    <t>[Yang, Li-Xing; Cheung, Chun In; Huang, Tzu-Chi; Chin, Yu-Cheng; Chia, Zi-Chun; Chen, Ya-Jyun; Tsai, Yi-Tseng; Zhang, Zhi-Bin; Chen, Kuan-Hsu; Huang, Chih-Chia] Natl Cheng Kung Univ, Dept Photon, Tainan, Taiwan; [Yang, Li-Xing; Shieh, Dar-Bin] Natl Cheng Kung Univ, Sch Dent, Tainan, Taiwan; [Yang, Li-Xing; Shieh, Dar-Bin] Natl Cheng Kung Univ, Inst Oral Med, Tainan, Taiwan; [Lai, Yi-Hsin; Li, Meng-Jia; Tsai, Bo-Yang; Shieh, Dar-Bin; Tsai, Pei-Jane] Natl Cheng Kung Univ, Inst Basic Med, Tainan, Taiwan; [Ye, Zhi; Wang, Yu-Chin; Tseng, Hsiu-Ying; Tsai, Pei-Jane] Natl Cheng Kung Univ, Dept Med Lab Sci &amp; Biotechnol, Tainan, Taiwan; [Shieh, Dar-Bin; Huang, Chih-Chia] Natl Cheng Kung Univ, Ctr Appl Nanomed, Tainan, Taiwan; [Shieh, Dar-Bin; Huang, Chih-Chia] Natl Cheng Kung Univ, Core Facil Ctr, Tainan, Taiwan; [Shieh, Dar-Bin] Natl Sci &amp; Technol Council, iMANI Ctr Natl Core Facil Biopharmaceut, Taipei, Taiwan; [Shieh, Dar-Bin] Natl Cheng Kung Univ Hosp, Dept Stomatol, Tainan, Taiwan; [Lee, Nan-Yao] Natl Cheng Kung Univ, Dept Med, Tainan, Taiwan; [Lee, Nan-Yao] Natl Cheng Kung Univ Hosp, Dept Internal Med, Div Infect Dis, Tainan, Taiwan; [Lee, Nan-Yao] Natl Cheng Kung Univ Hosp, Ctr Infect Control, Tainan, Taiwan; [Tsai, Pei-Jane] Natl Cheng Kung Univ, Res Ctr Infect Dis &amp; Signaling, Tainan, Taiwan; [Tsai, Pei-Jane] Natl Cheng Kung Univ, Natl Cheng Kung Univ Hosp, Coll Med, Dept Pathol, Tainan, Taiwan; [Tsai, Pei-Jane] Natl Cheng Kung Univ, Dept Med Lab Sci &amp; Biotechnol, Tainan 70101, Taiwan; [Huang, Chih-Chia] Natl Cheng Kung Univ, Dept Photon, Tainan 70101, Taiwan</t>
  </si>
  <si>
    <t>National Cheng Kung University; National Cheng Kung University; National Cheng Kung University; National Cheng Kung University; National Cheng Kung University; National Cheng Kung University; National Cheng Kung University; National Cheng Kung University; National Cheng Kung University Hospital; National Cheng Kung University; National Cheng Kung University; National Cheng Kung University Hospital; National Cheng Kung University; National Cheng Kung University Hospital; National Cheng Kung University; National Cheng Kung University; National Cheng Kung University Hospital; National Cheng Kung University; National Cheng Kung University</t>
  </si>
  <si>
    <t>Tsai, PJ (corresponding author), Natl Cheng Kung Univ, Dept Med Lab Sci &amp; Biotechnol, Tainan 70101, Taiwan.;Huang, CC (corresponding author), Natl Cheng Kung Univ, Dept Photon, Tainan 70101, Taiwan.</t>
  </si>
  <si>
    <t>peijtsai@mail.ncku.edu.tw; huang.chihchia@gmail.com</t>
  </si>
  <si>
    <t>Ministry of Science and Technology, Taiwan [110-2314-B006-117-MY3, 111-2113-M-006-015, 111-2218-E-006-019, 111-2320-B006-042-MY3, 111-2320-B-006-046-MY3, 111-2320-B-006-064, 111-2327-B-006-007]; Center of Applied Nanomedicine, National Cheng Kung University (NCKU); Ministry of Education (MOE) in Taiwan</t>
  </si>
  <si>
    <t>Ministry of Science and Technology, Taiwan(Ministry of Science and Technology, Taiwan); Center of Applied Nanomedicine, National Cheng Kung University (NCKU); Ministry of Education (MOE) in Taiwan(Ministry of Education, Taiwan)</t>
  </si>
  <si>
    <t>Ministry of Science and Technology, Taiwan, Grant/Award Numbers: 110-2314-B006-117-MY3, 111-2113-M-006-015, 111-2218-E-006-019, 111-2320-B006-042-MY3, 111-2320-B-006-046-MY3, 111-2320-B-006-064, 111-2327-B-006-007; Center of Applied Nanomedicine, National Cheng Kung University (NCKU); Ministry of Education (MOE) in Taiwan</t>
  </si>
  <si>
    <t>2380-6761</t>
  </si>
  <si>
    <t>BIOENG TRANSL MED</t>
  </si>
  <si>
    <t>Bioeng. Transl. Med.</t>
  </si>
  <si>
    <t>e10593</t>
  </si>
  <si>
    <t>10.1002/btm2.10593</t>
  </si>
  <si>
    <t>Biotechnology &amp; Applied Microbiology; Engineering, Biomedical; Pharmacology &amp; Pharmacy</t>
  </si>
  <si>
    <t>Biotechnology &amp; Applied Microbiology; Engineering; Pharmacology &amp; Pharmacy</t>
  </si>
  <si>
    <t>R1LX2</t>
  </si>
  <si>
    <t>WOS:001062036800001</t>
  </si>
  <si>
    <t>Yele, SR; Patel, MR; Park, TJ; Kailasa, SK</t>
  </si>
  <si>
    <t>Yele, Sandesh Ravindra; Patel, Mayurkumar Revabhai; Park, Tae Jung; Kailasa, Suresh Kumar</t>
  </si>
  <si>
    <t>Lipoic Acid Functionalized Silver Nanoprisms for Colorimetric Sensing of ?-Aminobutyric Acid, Selenite and Myoglobin</t>
  </si>
  <si>
    <t>Biofluids; Biomarkers; Colorimetry; Lipoic acid; Silver nanoprisms</t>
  </si>
  <si>
    <t>CDS QUANTUM DOTS; ELECTROCHEMICAL SYNTHESIS; SENSITIVE DETECTION; NANOPARTICLES; SURFACE; IMMUNOASSAY; GLUTAMATE; CITRATE; SENSOR; ASSAY</t>
  </si>
  <si>
    <t>Silver nanoprisms (AgNPRs) are synthesized by silver nitrate through chemical reduction method using sodium borohydride and hydrogen peroxide. AgNPRs were functionalized with lipoic acid (LA) and successfully integrated with UV-visible spectrophotometry for simultaneous detection of multiple biomarkers such as &amp; gamma;-aminobutyric acid (GABA), selenite, and myoglobin. The as-prepared LA-AgNPRs exhibited surface plasmon resonance (SPR) characteristic peak at 660 nm. The SPR band of LA-AgNPRs was blue-shifted to 439, 390, and 479 nm upon the addition of GABA, selenite, and myoglobin, respectively. The limits of detection are 6.32, 0.35 and 20.40 nM for GABA, selenite, and myoglobin, respectively. The LA-AgNPRs sensor displays potential prospect to detect three biomarkers GABA, selenite, and myoglobin in biofluid samples. Lipoic acid was functionalized on the surfaces of silver nanoprisms for colorimetric sensing of GABA, selenite and myoglobin with different spectral characteristics. This method exhibited the detection limits of 6.32, 0.35 and 20.40 nM for GABA, selenite, and myoglobin, respectively. This method was successfully applied to quantify three three biomarkers GABA, selenite, and myoglobin in biofluids.image</t>
  </si>
  <si>
    <t>[Yele, Sandesh Ravindra; Patel, Mayurkumar Revabhai; Kailasa, Suresh Kumar] Sardar Vallabhbhai Natl Inst Technol, Dept Chem, Surat 395007, Gujarat, India; [Park, Tae Jung] Chung Ang Univ, Res Inst Chembio Diagnost Technol, Dept Chem, 84 Heukseok Ro, Seoul 06974, South Korea</t>
  </si>
  <si>
    <t>National Institute of Technology (NIT System); Sardar Vallabhbhai National Institute of Technology; Chung Ang University</t>
  </si>
  <si>
    <t>Kailasa, SK (corresponding author), Sardar Vallabhbhai Natl Inst Technol, Dept Chem, Surat 395007, Gujarat, India.</t>
  </si>
  <si>
    <t>sureshkumarchem@gmail.com</t>
  </si>
  <si>
    <t>This research work was financially supported by the Department of Science and Technology (DST), Government of India (EMR/2016/002621/IPC). SRY acknowledges the Director, SVNIT, Surat for financial support for M.Sc dissertation work.; Department of Science and Technology (DST), Government of India; SVNIT, Surat; [EMR/2016/002621/IPC]</t>
  </si>
  <si>
    <t>This research work was financially supported by the Department of Science and Technology (DST), Government of India (EMR/2016/002621/IPC). SRY acknowledges the Director, SVNIT, Surat for financial support for M.Sc dissertation work.; Department of Science and Technology (DST), Government of India(Department of Science &amp; Technology (India)); SVNIT, Surat;</t>
  </si>
  <si>
    <t>This research work was financially supported by the Department of Science and Technology (DST), Government of India (EMR/2016/002621/IPC). SRY acknowledges the Director, SVNIT, Surat for financial support for M.Sc dissertation work.</t>
  </si>
  <si>
    <t>e202204179</t>
  </si>
  <si>
    <t>10.1002/slct.202204179</t>
  </si>
  <si>
    <t>Q2HO2</t>
  </si>
  <si>
    <t>WOS:001055780600001</t>
  </si>
  <si>
    <t>Almeida, RLJ; Santos, NC; Ferreira, ILD; Pedro, MD; Morais, JRF; de Oliveira, AP; Ribeiro, VHD; Silva, VMD; de Lima, TLB; de Moraes, MS; Silva, SD; Freire, VD; Galdino, PO; Silva, RD</t>
  </si>
  <si>
    <t>Almeida, Raphael Lucas Jacinto; Santos, Newton Carlos; Ferreira, Ieda Leticia de Souza; Pedro, Marcelo da Silva; Morais, Jessica Renaly Fernandes; de Oliveira, Adolfo Pinheiro; Ribeiro, Victor Herbert de Alcantara; Silva, Virginia Mirtes de Alcantara; de Lima, Thalis Leandro Bezerra; de Moraes, Maria Suiane; Silva, Semirames do Nascimento; Freire, Vitoria de Andrade; Galdino, Pablicia Oliveira; Silva, Rebeca de Almeida</t>
  </si>
  <si>
    <t>Impact of Treatment with Superheated Steam on the Structural, Thermal, and Functional Characteristics of Quinoa Starch</t>
  </si>
  <si>
    <t>Chenopodium quinoa; modification method; starch structure; superheated steam</t>
  </si>
  <si>
    <t>WATER SORPTION ISOTHERMS; RHEOLOGICAL PROPERTIES; POTATO STARCH; RICE; DIGESTIBILITY; TEMPERATURES; ADSORPTION; CASSAVA; FLOUR</t>
  </si>
  <si>
    <t>The objective of the study is to evaluate the impact of treatment with superheated steam on the structural, thermal, and functional characteristics of quinoa starch. The superheated steam treatment is applied to the starch at 130 and 170? for 1 and 4 min, then dried at 50 ? and stored. Moisture adsorption isotherms are performed at 25 ?, and data are fitted to the Oswin, GAB, and Peleg models. Structural characterization is done using XRD and FTIR, thermal analysis using DSC, and functional characterization include water absorption capacity (WAC), oil absorption capacity (OAC), and syneresis. The QS170/4 treatment shows a reduction in crystallinity index of up to 48.24%, with the appearance of the amylose-lipid complex, an increase in initial and final gelatinization temperatures, and a decrease in enthalpy of up to 39.53%. For modified starches, WAC and OAC increase by 9% and 7%, respectively, and syneresis decreases significantly by 17.4%. The results demonstrate the feasibility of modifying quinoa starch with superheated steam treatment, which, unlike other methods, has the advantage of altering the amylose and amylopectin chains in just a few minutes. Thus, the results show a new perspective for the use of superheated steam in starch modification.</t>
  </si>
  <si>
    <t>[Almeida, Raphael Lucas Jacinto; Santos, Newton Carlos; Ferreira, Ieda Leticia de Souza; Pedro, Marcelo da Silva; Morais, Jessica Renaly Fernandes] Univ Fed Rio Grande do Norte, Dept Chem Engn, BR-59078970 Natal, RN, Brazil; [de Oliveira, Adolfo Pinheiro] Univ Fed Piaui, Dept Nutr, BR-64049550 Teresina, Piaui, Brazil; [Ribeiro, Victor Herbert de Alcantara] Univ Fed Campina Grande, Engn &amp; Management Nat Resources Dept, BR-58429900 Campina Grande, Paraiba, Brazil; [Silva, Virginia Mirtes de Alcantara] Univ Estadual Campinas, Food Engn Coll, BR-13083970 Campinas, SP, Brazil; [de Lima, Thalis Leandro Bezerra; de Moraes, Maria Suiane] Univ Fed Campina Grande, Dept Agr Engn, BR-58429900 Campina Grande, Paraiba, Brazil; [Silva, Semirames do Nascimento] Univ Fed Campina Grande, Dept Agr Sci, Pombal, Paraiba, Brazil; [Freire, Vitoria de Andrade] Univ Fed Campina Grande, Dept Chem Engn, BR-58429900 Campina Grande, Paraiba, Brazil; [Galdino, Pablicia Oliveira; Silva, Rebeca de Almeida] State Univ Paraiba, Dept Chem, BR-58429500 Campina Grande, Paraiba, Brazil</t>
  </si>
  <si>
    <t>Universidade Federal do Rio Grande do Norte; Universidade Federal do Piaui; Universidade Federal de Campina Grande; Universidade Estadual de Campinas; Universidade Federal de Campina Grande; Universidade Federal de Campina Grande; Universidade Federal de Campina Grande; Universidade Estadual da Paraiba</t>
  </si>
  <si>
    <t>Almeida, RLJ (corresponding author), Univ Fed Rio Grande do Norte, Dept Chem Engn, BR-59078970 Natal, RN, Brazil.</t>
  </si>
  <si>
    <t>raphael.almeida.107@ufrn.edu.br</t>
  </si>
  <si>
    <t>The authors also thank CAPES (Coordination for the Improvement of Higher Education Personnel).; CAPES (Coordination for the Improvement of Higher Education Personnel)</t>
  </si>
  <si>
    <t>The authors also thank CAPES (Coordination for the Improvement of Higher Education Personnel).(Coordenacao de Aperfeicoamento de Pessoal de Nivel Superior (CAPES)); CAPES (Coordination for the Improvement of Higher Education Personnel)(Coordenacao de Aperfeicoamento de Pessoal de Nivel Superior (CAPES))</t>
  </si>
  <si>
    <t>The authors also thank CAPES (Coordination for the Improvement of Higher Education Personnel).</t>
  </si>
  <si>
    <t>2023 SEP 4</t>
  </si>
  <si>
    <t>10.1002/star.202300013</t>
  </si>
  <si>
    <t>R0MX5</t>
  </si>
  <si>
    <t>WOS:001061380300001</t>
  </si>
  <si>
    <t>Avraham, S; Schutz, L; Kaver, L; Dankers, A; Margalit, S; Michaeli, Y; Zirkin, S; Torchinsky, D; Gilat, N; Bahr, O; Nifker, G; Koren-Michowitz, M; Weinhold, E; Ebenstein, Y</t>
  </si>
  <si>
    <t>Avraham, Sigal; Schuetz, Leonie; Kaever, Larissa; Dankers, Andreas; Margalit, Sapir; Michaeli, Yael; Zirkin, Shahar; Torchinsky, Dmitry; Gilat, Noa; Bahr, Omer; Nifker, Gil; Koren-Michowitz, Maya; Weinhold, Elmar; Ebenstein, Yuval</t>
  </si>
  <si>
    <t>Chemo-Enzymatic Fluorescence Labeling Of Genomic DNA For Simultaneous Detection Of Global 5-Methylcytosine And 5-Hydroxymethylcytosine</t>
  </si>
  <si>
    <t>5-hydroxymethylcytosine; DNA methylation; DNA methyltransferase; epigenetic biomarker; fluorescence</t>
  </si>
  <si>
    <t>ADOMET ANALOGS; TET FAMILY; CANCER; QUANTIFICATION; METHYLATION; HYPOMETHYLATION; TISSUES; ASSAY; RNA</t>
  </si>
  <si>
    <t>5-Methylcytosine and 5-hydroxymethylcytosine are epigenetic modifications involved in gene regulation and cancer. We present a new, simple, and high-throughput platform for multi-color epigenetic analysis. The novelty of our approach is the ability to multiplex methylation and de-methylation signals in the same assay. We utilize an engineered methyltransferase enzyme that recognizes and labels all unmodified CpG sites with a fluorescent cofactor. In combination with the already established labeling of the de-methylation mark 5-hydroxymethylcytosine via enzymatic glycosylation, we obtained a robust platform for simultaneous epigenetic analysis of these marks. We assessed the global epigenetic levels in multiple samples of colorectal cancer and observed a 3.5-fold reduction in 5hmC levels but no change in DNA methylation levels between sick and healthy individuals. We also measured epigenetic modifications in chronic lymphocytic leukemia and observed a decrease in both modification levels (5-hydroxymethylcytosine: whole blood 30 %; peripheral blood mononuclear cells (PBMCs) 40 %. 5-methylcytosine: whole blood 53 %; PBMCs 48 %). Our findings propose using a simple blood test as a viable method for analysis, simplifying sample handling in diagnostics. Importantly, our results highlight the assay's potential for epigenetic evaluation of clinical samples, benefiting research and patient management. Dual-color global labelling of 5-hydroxymethylcytosine and umCpG by multi-color fluorescent labelling. We apply an engineered methyltransferase enzyme specific for unmodified CpG to incorporate a modified cofactor that binds to a fluorophore by click chemistry. In combination with 5-hydroxymethylcytosine labelling via enzymatic glycosylation, we incorporate spectrally distinct colour for each epigenetic mark, enabling simultaneous quantification in different cancer types.**image</t>
  </si>
  <si>
    <t>[Avraham, Sigal; Margalit, Sapir; Michaeli, Yael; Zirkin, Shahar; Torchinsky, Dmitry; Gilat, Noa; Bahr, Omer; Nifker, Gil; Ebenstein, Yuval] Tel Aviv Univ Tel Aviv Yafo, Dept Chem, Dept Biomed Engn, Raymond &amp; Beverly SacklerFaculty Exact Sci, IL-6997801 Tel Aviv, Israel; [Schuetz, Leonie; Kaever, Larissa; Dankers, Andreas; Weinhold, Elmar] Rhein Westfal TH Aachen, Inst Organ Chem, D-52056 Aachen, Germany; [Koren-Michowitz, Maya] Shamir Med Ctr, Hematol Dept, IL-70300 Beer Yaagov, Israel; [Avraham, Sigal; Michaeli, Yael; Zirkin, Shahar; Torchinsky, Dmitry; Gilat, Noa; Bahr, Omer; Nifker, Gil; Ebenstein, Yuval] Tel Aviv Univ, Sch Chem, IL-6997801 Tel Aviv, Israel</t>
  </si>
  <si>
    <t>RWTH Aachen University; Shamir Medical Center (Assaf Harofeh); Tel Aviv University</t>
  </si>
  <si>
    <t>Ebenstein, Y (corresponding author), Tel Aviv Univ Tel Aviv Yafo, Dept Chem, Dept Biomed Engn, Raymond &amp; Beverly SacklerFaculty Exact Sci, IL-6997801 Tel Aviv, Israel.;Weinhold, E (corresponding author), Rhein Westfal TH Aachen, Inst Organ Chem, D-52056 Aachen, Germany.;Ebenstein, Y (corresponding author), Tel Aviv Univ, Sch Chem, IL-6997801 Tel Aviv, Israel.</t>
  </si>
  <si>
    <t>elmar.weinhold@oc.rwth-aachen.de; uv@post.tau.ac.il</t>
  </si>
  <si>
    <t>Koren-Michowitz, Maya/0000-0002-7223-328X</t>
  </si>
  <si>
    <t>This work was supported by the European Research Council consolidator [grant number 817811] to Y.E; Israel Science Foundation [grant number 771/21] to Y.E; The National Institute of Health/The National Human Genome Research Institute (NIH/NHGRI) [g [771/21]; European Research Council [R01HG009190]; Israel Science Foundation [NATI 61976]; National Institute of Health/The National Human Genome Research Institute (NIH/NHGRI); Israel Innovation Authority [13GW0282B]; German Federal Ministry of Education and Research; [817811]</t>
  </si>
  <si>
    <t>This work was supported by the European Research Council consolidator [grant number 817811] to Y.E; Israel Science Foundation [grant number 771/21] to Y.E; The National Institute of Health/The National Human Genome Research Institute (NIH/NHGRI) [g; European Research Council(European Research Council (ERC)); Israel Science Foundation(Israel Science Foundation); National Institute of Health/The National Human Genome Research Institute (NIH/NHGRI); Israel Innovation Authority; German Federal Ministry of Education and Research(Federal Ministry of Education &amp; Research (BMBF));</t>
  </si>
  <si>
    <t>This work was supported by the European Research Council consolidator [grant number 817811] to Y.E; Israel Science Foundation [grant number 771/21] to Y.E; The National Institute of Health/The National Human Genome Research Institute (NIH/NHGRI) [grant number R01HG009190] to Y.E; and Israel Innovation Authority and German Federal Ministry of Education and Research [NATI 61976 and 13GW0282B] to Y.E and E.W. We thank Matthias Bochtler for providing the M.MpeI expression plasmid for mutagenesis.</t>
  </si>
  <si>
    <t>10.1002/cbic.202300400</t>
  </si>
  <si>
    <t>Q5JC0</t>
  </si>
  <si>
    <t>WOS:001057871500001</t>
  </si>
  <si>
    <t>Bai, J; Shang, J; Mei, J; Qi, DC; Liao, T; Sun, ZQ</t>
  </si>
  <si>
    <t>Bai, Juan; Shang, Jing; Mei, Jun; Qi, Dongchen; Liao, Ting; Sun, Ziqi</t>
  </si>
  <si>
    <t>Triphenylphosphine-Assisted Exsolution Engineering on Ruddlesden-Popper Perovskites for Promoting Oxygen Evolution</t>
  </si>
  <si>
    <t>ENERGY &amp; ENVIRONMENTAL MATERIALS</t>
  </si>
  <si>
    <t>exsolution; oxygen evolution; perovskite; reconstruction; Ruddlesden-Popper</t>
  </si>
  <si>
    <t>SITU EXSOLVED CO; ELECTROCATALYTIC ACTIVITY; ELECTRONIC-STRUCTURE; NANOPARTICLES; FE; ELECTROLYSIS; CONVERSION; STABILITY; OXIDATION; CATALYSTS</t>
  </si>
  <si>
    <t>Metal exsolution engineering has been regarded as a promising strategy for activating intrinsically inert perovskite oxide catalysts toward efficient oxygen evolution reaction. Traditional metal exsolution processes on perovskites are often achieved by using the reducing hydrogen gas; however, this is not effective for the relatively stable phase, such as Ruddlesden-Popper perovskite oxides. To address this issue, triphenylphosphine is proposed to be a reduction promotor for accelerating the reduction and migration of the target metal atoms, aiming to achieve the effective exsolution of metallic species from Ruddlesden-Popper-type parent perovskites. Upon oxygen evolution reaction, these exsolved metallic aggregates are reconstructed into oxyhydroxides as the real active centers. After further modification by low-percentage iridium oxide nanoclusters, the optimal catalyst delivered an overpotential as low as 305 mV for generating the density of 10 mA cm-2, outperforming these reported noble metal-containing perovskite-based alkaline oxygen evolution reaction electrocatalysts. This work provides a potential approach to activate catalytically inert oxides through promoting surface metal exsolution and explores a novel class of Ruddlesden-Popper-type oxides for electrocatalytic applications.</t>
  </si>
  <si>
    <t>[Bai, Juan; Mei, Jun; Qi, Dongchen; Sun, Ziqi] Queensland Univ Technol, Sch Chem &amp; Phys, 2 George St, Brisbane, Qld 4000, Australia; [Bai, Juan; Mei, Jun; Qi, Dongchen; Liao, Ting; Sun, Ziqi] Queensland Univ Technol, Ctr Mat Sci, 2 George St, Brisbane, Qld 4000, Australia; [Shang, Jing] Shaanxi Univ Sci &amp; Technol, Sch Mat Sci &amp; Engn, Xian 710021, Peoples R China; [Liao, Ting] Queensland Univ Technol, Sch Mech Med &amp; Proc Engn, 2 George St, Brisbane, Qld 4000, Australia</t>
  </si>
  <si>
    <t>Queensland University of Technology (QUT); Queensland University of Technology (QUT); Shaanxi University of Science &amp; Technology; Queensland University of Technology (QUT)</t>
  </si>
  <si>
    <t>Mei, J; Sun, ZQ (corresponding author), Queensland Univ Technol, Sch Chem &amp; Phys, 2 George St, Brisbane, Qld 4000, Australia.;Mei, J; Liao, T; Sun, ZQ (corresponding author), Queensland Univ Technol, Ctr Mat Sci, 2 George St, Brisbane, Qld 4000, Australia.;Liao, T (corresponding author), Queensland Univ Technol, Sch Mech Med &amp; Proc Engn, 2 George St, Brisbane, Qld 4000, Australia.</t>
  </si>
  <si>
    <t>jun.mei@connect.qut.edu.au; t3.liao@qut.edu.au; ziqi.sun@qut.edu.au</t>
  </si>
  <si>
    <t>Mei, Jun/K-1722-2019; Qi, Dongchen/A-7052-2008; Liao, Ting/C-7027-2012</t>
  </si>
  <si>
    <t>Mei, Jun/0000-0002-5766-0603; Qi, Dongchen/0000-0001-8466-0257; Liao, Ting/0000-0001-7488-6244</t>
  </si>
  <si>
    <t>Australian Research Council [DP230101625, DP200103568]; Australian Research Council Future Fellowships [FT180100387, FT160100281]; QUT ECR Scheme [2020001179]</t>
  </si>
  <si>
    <t>Australian Research Council(Australian Research Council); Australian Research Council Future Fellowships(Australian Research Council); QUT ECR Scheme</t>
  </si>
  <si>
    <t>J.B. and J.S. contributed equally to this work. This work was supported by Australian Research Council Discovery Projects (DP230101625 and DP200103568), Australian Research Council Future Fellowships (FT180100387 and FT160100281), and QUT ECR Scheme Grant (no. 2020001179). Open access publishing facilitated by Queensland University of Technology, as part of the Wiley - Queensland University of Technology agreement via the Council of Australian University Librarians.</t>
  </si>
  <si>
    <t>2575-0356</t>
  </si>
  <si>
    <t>ENERGY ENVIRON MATER</t>
  </si>
  <si>
    <t>Energy Environ. Mater.</t>
  </si>
  <si>
    <t>e12668</t>
  </si>
  <si>
    <t>10.1002/eem2.12668</t>
  </si>
  <si>
    <t>Q9UX6</t>
  </si>
  <si>
    <t>WOS:001060906300001</t>
  </si>
  <si>
    <t>Banerjee, S; Ballmann, GM; Evans, MJ; O'Reilly, A; Kennedy, AR; Fulton, JR; Coles, MP; Mulvey, RE</t>
  </si>
  <si>
    <t>Banerjee, Sumanta; Ballmann, Gerd M.; Evans, Matthew J.; O'Reilly, Andrea; Kennedy, Alan R.; Fulton, J. Robin; Coles, Martyn P.; Mulvey, Robert E.</t>
  </si>
  <si>
    <t>Three Oxidative Addition Routes of Alkali Metal Aluminyls to Dihydridoaluminates and Reactivity with CO2</t>
  </si>
  <si>
    <t>alkali-metals; CO2 reduction; dihydridoaluminates; Meisenheimer intermediate; oxidative addition</t>
  </si>
  <si>
    <t>SECONDARY SILANES; REDUCTION; COMPLEXES; HYDRIDES; SI</t>
  </si>
  <si>
    <t>Three distinct routes are reported to the soluble, dihydridoalu-minate compounds, AM[Al(NONDipp)(H)(2)] (AM =Li, Na, K, Rb, Cs; [NONDipp](2-) - [O(SiMe(2)NDipp)(2)](2-); Dipp = 2,6-iPr(2)C(6)H(3)) starting from the alkali metal aluminyls, AM[Al(NONDipp)]. Direct H2 hydrogenation of the heavier analogues (AM=Rb, Cs) produced the first examples of structurally characterized rubidium and caesium dihydridoaluminates, although harsh conditions were required for complete conversion. Using 1,4-cyclohexadiene (1,4-CHD) as an alternative hydrogen source in transfer hydro-genation reactions provided a lower energy pathway to the full series of products for AM=Li-Cs. A further moderation in conditions was noted for the thermal decomposition of the (silyl)(hydrido)aluminates, AM[Al(NONDipp)(H)(SiH2Ph)]. Probing the reaction of Cs[Al(NONDipp)] with 1,4-CHD provided access to a novel inverse sandwich complex, [{Cs(Et2O))(2){Al-(NONDipp)(H))(2)(C6H6)], containing the 1,4-dialuminated [C6H6](2-) dianion and representing the first time that an intermediate in the commonly utilized oxidation process of 1,4-CHD to benzene has been trapped. The synthetic utility of the newly installed Al -H bonds has been demonstrated by their ability to reduce CO2 under mild conditions to form the bis-formate AM[Al-(NONDipp)(O2CH)(2)] compounds, which exhibit a diverse series of eyecatching bimetallacyclic structures.</t>
  </si>
  <si>
    <t>[Banerjee, Sumanta; Ballmann, Gerd M.; Kennedy, Alan R.; Mulvey, Robert E.] Univ Strathclyde, Dept Pure &amp; Appl Chem, WestCHEM, Glasgow G1?1XL, Scotland; [Evans, Matthew J.; O'Reilly, Andrea; Fulton, J. Robin; Coles, Martyn P.] Victoria Univ Wellington, Sch Chem &amp; Phys Sci, POB 600, Wellington 6140, New Zealand</t>
  </si>
  <si>
    <t>University of Strathclyde; Victoria University Wellington</t>
  </si>
  <si>
    <t>Banerjee, S; Mulvey, RE (corresponding author), Univ Strathclyde, Dept Pure &amp; Appl Chem, WestCHEM, Glasgow G1?1XL, Scotland.;Coles, MP (corresponding author), Victoria Univ Wellington, Sch Chem &amp; Phys Sci, POB 600, Wellington 6140, New Zealand.</t>
  </si>
  <si>
    <t>sumanta.banerjee@strath.ac.uk; martyn.coles@vuw.ac.nz; r.e.mulvey@strath.ac.uk</t>
  </si>
  <si>
    <t>Mulvey, Robert/M-4106-2014</t>
  </si>
  <si>
    <t>Mulvey, Robert/0000-0002-1015-2564</t>
  </si>
  <si>
    <t>Leverhulme Trust [RPG-2019-264]; Royal Society Te Aparangi [MFP-VUW2020]; MacDiarmid Institute for Advanced Materials and Nanotechnology</t>
  </si>
  <si>
    <t>Leverhulme Trust(Leverhulme Trust); Royal Society Te Aparangi(Royal Society of New Zealand); MacDiarmid Institute for Advanced Materials and Nanotechnology</t>
  </si>
  <si>
    <t>This work was generously sponsored by the Leverhulme Trust (award no: RPG-2019-264), the Royal Society Te Aparangi (Grant Number: MFP-VUW2020) and the MacDiarmid Institute for Advanced Materials and Nanotechnology.</t>
  </si>
  <si>
    <t>10.1002/chem.202301849</t>
  </si>
  <si>
    <t>R0WG1</t>
  </si>
  <si>
    <t>WOS:001061626100001</t>
  </si>
  <si>
    <t>Gale, J; Sweeney, C; Paver, S; Coleman, ML; Thompson, AW</t>
  </si>
  <si>
    <t>Gale, John; Sweeney, Carey; Paver, Sara; Coleman, Maureen L.; Thompson, Anne W.</t>
  </si>
  <si>
    <t>Diverse and variable community structure of picophytoplankton across the Laurentian Great Lakes</t>
  </si>
  <si>
    <t>LIMNOLOGY AND OCEANOGRAPHY</t>
  </si>
  <si>
    <t>PHOTOTROPHIC PICOPLANKTON; SYNECHOCOCCUS; ERIE; PICOCYANOBACTERIA; PHYTOPLANKTON; CYANOBACTERIA; POPULATIONS; ABUNDANCE; ALIGNMENT; DYNAMICS</t>
  </si>
  <si>
    <t>The Laurentian Great Lakes provide economic support to millions of people, drive biogeochemical cycling, and are an important natural laboratory for characterizing the fundamental components of aquatic ecosystems. Small phytoplankton are important contributors to the food web in much of the Laurentian Great Lakes. Here, for the first time, we reveal and quantify eight phenotypically distinct picophytoplankton populations across the Lakes using a multilaser flow cytometry approach, which distinguishes cells based on their pigment phenotype. The distributions and diversity of picophytoplankton flow populations varied across lakes and depths, with Lake Erie standing out with the highest diversity. By sequencing sorted cells, we identified several distinct lineages of Synechococcales spanning Subclusters 5.2 and 5.3. Distinct genotypic clusters mapped to phenotypically similar flow populations, suggesting that there may not be a clear one-to-one mapping between genotypes and phenotypes. This suggests genome-level differentiation between lakes but some degree of phenotypic convergence in pigment characteristics. Our results demonstrate that ecological selection for locally adapted populations may outpace homogenization by physical transport in this interconnected system. Given the reliance of the Lakes on in situ primary production as a source for organic carbon, this work sets the foundation to test how the community structure of small primary producers corresponds to biogeochemical and food web functions of the Great Lakes and other freshwater systems.</t>
  </si>
  <si>
    <t>[Gale, John; Sweeney, Carey; Thompson, Anne W.] Portland State Univ, Dept Biol, Portland, OR 97207 USA; [Paver, Sara; Coleman, Maureen L.] Univ Chicago, Dept Geophys Sci, Chicago, IL USA</t>
  </si>
  <si>
    <t>Portland State University; University of Chicago</t>
  </si>
  <si>
    <t>Thompson, AW (corresponding author), Portland State Univ, Dept Biol, Portland, OR 97207 USA.</t>
  </si>
  <si>
    <t>awt@pdx.edu</t>
  </si>
  <si>
    <t>NSF [OCE 1830002, 1830011]</t>
  </si>
  <si>
    <t>NSF(National Science Foundation (NSF))</t>
  </si>
  <si>
    <t>Funding was provided through NSF-OCE 1830002 to AWT and 1830011 to MLC. We thank Justin Podowski and Maria Hernandez Limon for sample collection. We thank the science staff of the US EPA Great Lakes National Program Office and the captain, crew, and science party of the R/V Lake Guardian for facilitating sample collection, especially Elizabeth Hinchey Malloy, Eric Osantowski, Maxwell Morgan, and Kitty Kennedy.</t>
  </si>
  <si>
    <t>0024-3590</t>
  </si>
  <si>
    <t>1939-5590</t>
  </si>
  <si>
    <t>LIMNOL OCEANOGR</t>
  </si>
  <si>
    <t>Limnol. Oceanogr.</t>
  </si>
  <si>
    <t>10.1002/lno.12422</t>
  </si>
  <si>
    <t>Limnology; Oceanography</t>
  </si>
  <si>
    <t>Marine &amp; Freshwater Biology; Oceanography</t>
  </si>
  <si>
    <t>R1CT2</t>
  </si>
  <si>
    <t>WOS:001061796000001</t>
  </si>
  <si>
    <t>Konaka, H; Kato, Y; Hirano, T; Tsujimoto, K; Park, J; Koba, T; Aoki, W; Matsuzaki, Y; Taki, M; Koyama, S; Itotagawa, E; Jo, T; Hirayama, T; Kawai, T; Ishii, KJ; Ueda, M; Yamaguchi, S; Akira, S; Morita, T; Maeda, Y; Nishide, M; Nishida, S; Shima, Y; Narazaki, M; Takamatsu, H; Kumanogoh, A</t>
  </si>
  <si>
    <t>Konaka, Hachiro; Kato, Yasuhiro; Hirano, Toru; Tsujimoto, Kohei; Park, JeongHoon; Koba, Taro; Aoki, Wataru; Matsuzaki, Yusei; Taki, Masayasu; Koyama, Shohei; Itotagawa, Eri; Jo, Tatsunori; Hirayama, Takehiro; Kawai, Taro; Ishii, Ken J.; Ueda, Mitsuyoshi; Yamaguchi, Shigehiro; Akira, Shizuo; Morita, Takayoshi; Maeda, Yuichi; Nishide, Masayuki; Nishida, Sumiyuki; Shima, Yoshihito; Narazaki, Masashi; Takamatsu, Hyota; Kumanogoh, Atsushi</t>
  </si>
  <si>
    <t>Secretion of mitochondrial DNA via exosomes promotes inflammation in Beh &amp; ccedil;et's syndrome</t>
  </si>
  <si>
    <t>EMBO JOURNAL</t>
  </si>
  <si>
    <t>Behcet's syndrome; caspase-1; exosome; mitochondrial DNA; pyroptosis</t>
  </si>
  <si>
    <t>BEHCETS-DISEASE; CLASSIFICATION CRITERIA; AMERICAN-COLLEGE; GASDERMIN D; RHEUMATOLOGY/EUROPEAN LEAGUE; REVISED CRITERIA; CELL-LINES; MECHANISM; ASSOCIATION; INDUCTION</t>
  </si>
  <si>
    <t>Mitochondrial DNA (mtDNA) leakage into the cytoplasm can occur when cells are exposed to noxious stimuli. Specific sensors recognize cytoplasmic mtDNA to promote cytokine production. Cytoplasmic mtDNA can also be secreted extracellularly, leading to sterile inflammation. However, the mode of secretion of mtDNA out of cells upon noxious stimuli and its relevance to human disease remain unclear. Here, we show that pyroptotic cells secrete mtDNA encapsulated within exosomes. Activation of caspase-1 leads to mtDNA leakage from the mitochondria into the cytoplasm via gasdermin-D. Caspase-1 also induces intraluminal membrane vesicle formation, allowing for cellular mtDNA to be taken up and secreted as exosomes. Encapsulation of mtDNA within exosomes promotes a strong inflammatory response that is ameliorated upon exosome biosynthesis inhibition in vivo. We further show that monocytes derived from patients with Behcet's syndrome (BS), a chronic systemic inflammatory disorder, show enhanced caspase-1 activation, leading to exosome-mediated mtDNA secretion and similar inflammation pathology as seen in BS patients. Collectively, our findings support that mtDNA-containing exosomes promote inflammation, providing new insights into the propagation and exacerbation of inflammation in human inflammatory diseases.</t>
  </si>
  <si>
    <t>[Konaka, Hachiro; Kato, Yasuhiro; Hirano, Toru; Tsujimoto, Kohei; Park, JeongHoon; Koba, Taro; Koyama, Shohei; Itotagawa, Eri; Jo, Tatsunori; Hirayama, Takehiro; Maeda, Yuichi; Nishide, Masayuki; Nishida, Sumiyuki; Shima, Yoshihito; Narazaki, Masashi; Takamatsu, Hyota; Kumanogoh, Atsushi] Osaka Univ, Grad Sch Med, Dept Resp Med &amp; Clin Immunol, Osaka, Japan; [Konaka, Hachiro; Kato, Yasuhiro; Tsujimoto, Kohei; Koyama, Shohei; Itotagawa, Eri; Jo, Tatsunori; Hirayama, Takehiro; Morita, Takayoshi; Nishide, Masayuki; Takamatsu, Hyota; Kumanogoh, Atsushi] Osaka Univ, Immunol Frontier Res Ctr iFReC, Dept Immunopathol, Suita, Osaka, Japan; [Konaka, Hachiro] Nippon Life Hosp, Dept Med, Osaka, Japan; [Kato, Yasuhiro; Tsujimoto, Kohei; Narazaki, Masashi] Osaka Univ, Grad Sch Med, Dept Adv Clin &amp; Translat Immunol, Osaka, Japan; [Hirano, Toru] Nishinomiya Municipal Cent Hosp, Nishinomiya, Hyogo, Japan; [Park, JeongHoon] Daini Osaka Police Hosp, Dept Internal Med, Osaka, Japan; [Aoki, Wataru; Matsuzaki, Yusei] Kyoto Univ, Grad Sch Agr, Div Appl Life Sci, Kyoto, Japan; [Taki, Masayasu; Yamaguchi, Shigehiro] Nagoya Univ, Inst Transformat Biomol WPI ITbM, Nagoya, Japan; [Koba, Taro] Nara Inst Sci &amp; Technol NAIST, Grad Sch Sci &amp; Technol, Div Biol Sci, Lab Mol Immunobiol, Ikoma, Japan; [Ishii, Ken J.] Univ Tokyo, Inst Med Sci, Div Vaccine Sci, Tokyo, Japan; [Morita, Takayoshi] Osaka Univ, Immunol Frontier Res Ctr IFReC, Lab Host Def, Osaka, Japan; [Shima, Yoshihito] Osaka Univ, Grad Sch Med, Div Thermotherapeut Vasc Dysfunct, Osaka, Japan; [Takamatsu, Hyota] Natl Hosp Org, Osaka Minami Med Ctr, Dept Clin Res, Osaka, Japan; [Kumanogoh, Atsushi] Osaka Univ, Inst Open &amp; Transdisciplinary Res Initiat, Integrated Frontier Res Med Sci Div, Osaka, Japan; [Kumanogoh, Atsushi] Osaka Univ, Ctr Infect Dis Educ &amp; Res CiDER, Osaka, Japan</t>
  </si>
  <si>
    <t>Osaka University; Osaka University; Osaka University; Kyoto University; Nagoya University; Nara Institute of Science &amp; Technology; University of Tokyo; Osaka University; Osaka University; Osaka University; Osaka University</t>
  </si>
  <si>
    <t>Takamatsu, H (corresponding author), Osaka Univ, Grad Sch Med, Dept Resp Med &amp; Clin Immunol, Osaka, Japan.;Takamatsu, H (corresponding author), Osaka Univ, Immunol Frontier Res Ctr iFReC, Dept Immunopathol, Suita, Osaka, Japan.;Takamatsu, H (corresponding author), Natl Hosp Org, Osaka Minami Med Ctr, Dept Clin Res, Osaka, Japan.</t>
  </si>
  <si>
    <t>thyota@imed3.med.osaka-u.ac.jp</t>
  </si>
  <si>
    <t>Kato, Yasuhiro/0000-0002-4050-2350</t>
  </si>
  <si>
    <t>JSPS KAKENHI [15K09550, 18K08386, 22H03111]; Core Research for Evolutionary Science and Technology (CREST) Japan Science and Technology Agency (JST) [JPMJCR16G2]; Naito Foundation; Center of Innovation program (COI-STREAM) Ministry of Education, Culture, Sports, Science and Technology of Japan (MEXT); Japan Agency for Medical Research and Development (AMED)-CREST [15652237]; Japan Society for the Promotion of Science (JSPS) KAKENHI [JP18H05282]; Japan Agency for Medical Research and Development (AMED) [J200705023, J200705710, J200705049, JP18cm016335, JP18cm059042]; Mitsubishi Zaidan</t>
  </si>
  <si>
    <t>JSPS KAKENHI(Ministry of Education, Culture, Sports, Science and Technology, Japan (MEXT)Japan Society for the Promotion of ScienceGrants-in-Aid for Scientific Research (KAKENHI)); Core Research for Evolutionary Science and Technology (CREST) Japan Science and Technology Agency (JST); Naito Foundation(Naito Memorial Foundation); Center of Innovation program (COI-STREAM) Ministry of Education, Culture, Sports, Science and Technology of Japan (MEXT); Japan Agency for Medical Research and Development (AMED)-CREST(Japan Agency for Medical Research and Development (AMED)); Japan Society for the Promotion of Science (JSPS) KAKENHI(Ministry of Education, Culture, Sports, Science and Technology, Japan (MEXT)Japan Society for the Promotion of ScienceGrants-in-Aid for Scientific Research (KAKENHI)); Japan Agency for Medical Research and Development (AMED)(Japan Agency for Medical Research and Development (AMED)); Mitsubishi Zaidan</t>
  </si>
  <si>
    <t>We are grateful to Dr. Hiroyuki Miyoshi (Keio University, Japan) and RIKEN BRC for providing materials. This study was supported in part by research grants from JSPS KAKENHI (15K09550 to HT; 18K08386 to HT; 22H03111 to HT); a Core Research for Evolutionary Science and Technology (CREST) grant from the Japan Science and Technology Agency (JST) (JPMJCR16G2 to HT); The Naito Foundation (to HT); the Center of Innovation program (COI-STREAM) from the Ministry of Education, Culture, Sports, Science and Technology of Japan (MEXT) (to AK); the Japan Agency for Medical Research and Development (AMED)-CREST (15652237 to AK); the Japan Society for the Promotion of Science (JSPS) KAKENHI (JP18H05282 to AK); the Japan Agency for Medical Research and Development (AMED) (J200705023, J200705710, J200705049, JP18cm016335, and JP18cm059042 to AK); and Grants from Mitsubishi Zaidan (to AK). The authors have no conflicting financial interests.</t>
  </si>
  <si>
    <t>0261-4189</t>
  </si>
  <si>
    <t>1460-2075</t>
  </si>
  <si>
    <t>EMBO J</t>
  </si>
  <si>
    <t>Embo J.</t>
  </si>
  <si>
    <t>10.15252/embj.2022112573</t>
  </si>
  <si>
    <t>Biochemistry &amp; Molecular Biology; Cell Biology</t>
  </si>
  <si>
    <t>Q9TB0</t>
  </si>
  <si>
    <t>WOS:001060857300001</t>
  </si>
  <si>
    <t>Loi, M; Castriotta, M; Barbosa, SD; Di Guardo, MC; Fayolle, A</t>
  </si>
  <si>
    <t>Loi, Michela; Castriotta, Manuel; Barbosa, Saulo Dubard; Di Guardo, M. Chiara; Fayolle, Alain</t>
  </si>
  <si>
    <t>Entrepreneurial intention studies: A hybrid bibliometric method to identify new directions for theory and research</t>
  </si>
  <si>
    <t>EUROPEAN MANAGEMENT REVIEW</t>
  </si>
  <si>
    <t>bibliometrics; conceptual framework; divergent perspectives; entrepreneurial intention; entrepreneurship; literature review</t>
  </si>
  <si>
    <t>SELF-EFFICACY; PLANNED BEHAVIOR; VENTURE CREATION; HIGHER-EDUCATION; INTERGENERATIONAL TRANSMISSION; ENGINEERING STUDENTS; ENTERPRISE EDUCATION; COCITATION ANALYSIS; GENDER-DIFFERENCES; CAREER INTENTIONS</t>
  </si>
  <si>
    <t>Fragmentation is the main obstacle to scientific progress on entrepreneurial intention. To address this issue, we systematise the current literature with a hybrid bibliometric method that combines co-citation and bibliographic coupling analysis for the first time in entrepreneurial intention studies to show the field's knowledge base and research fronts and to examine how divergent perspectives have challenged the core knowledge of the field. We highlight three recurring dimensions of entrepreneurial intention studies: (1) personal factors, (2) social factors and (3) investigational settings. In addition to introducing new constructs, divergent perspectives have emphasised the interplay between these components and challenged the mechanisms connecting them. Based on these findings, we extend previous classifications in the literature by providing a framework that integrates divergent perspectives with the field's knowledge base, helping establish future research avenues and improving the theorising process of entrepreneurial intention.</t>
  </si>
  <si>
    <t>[Loi, Michela; Castriotta, Manuel; Di Guardo, M. Chiara] Univ Cagliari, Dept Econ &amp; Business Sci, Cagliari, Italy; [Barbosa, Saulo Dubard] EMLyon Business Sch, Lyon, France; [Fayolle, Alain] IDRAC Business Sch, Lyon, France; [Fayolle, Alain] Univ Cagliari, CREA, Cagliari, Italy; [Fayolle, Alain] Univ Turku, Turku Sch Econ, Turku, Finland; [Loi, Michela; Castriotta, Manuel] Univ Cagliari, Dept Econ &amp; Business Sci, Via Sant Ignazio 74, I-09123 Cagliari, Italy</t>
  </si>
  <si>
    <t>University of Cagliari; EMLYON Business School; University of Cagliari; Consiglio per la Ricerca in Agricoltura e L'analisi Dell'economia Agraria (CREA); University of Turku; University of Cagliari</t>
  </si>
  <si>
    <t>Loi, M; Castriotta, M (corresponding author), Univ Cagliari, Dept Econ &amp; Business Sci, Via Sant Ignazio 74, I-09123 Cagliari, Italy.</t>
  </si>
  <si>
    <t>michela.loi@unica.it; manuel.castriotta@unica.it</t>
  </si>
  <si>
    <t>Loi, Michela/AGW-4282-2022</t>
  </si>
  <si>
    <t>Loi, Michela/0000-0002-5358-5327</t>
  </si>
  <si>
    <t>1740-4754</t>
  </si>
  <si>
    <t>1740-4762</t>
  </si>
  <si>
    <t>EUR MANAG REV</t>
  </si>
  <si>
    <t>Eur. Manag. Rev.</t>
  </si>
  <si>
    <t>10.1111/emre.12599</t>
  </si>
  <si>
    <t>Management</t>
  </si>
  <si>
    <t>Q5WP1</t>
  </si>
  <si>
    <t>WOS:001058227500001</t>
  </si>
  <si>
    <t>Lupfer, C; Seitel, S; Skarsetz, O; Walther, A</t>
  </si>
  <si>
    <t>Lupfer, Claudius; Seitel, Sebastian; Skarsetz, Oliver; Walther, Andreas</t>
  </si>
  <si>
    <t>Mechano-Activated Self-Immolation of Hydrogels via Signal Amplification</t>
  </si>
  <si>
    <t>Adaptive Materials; Chemical Reaction Networks; Hydrogels; Mechanochemistry; Signal Amplification</t>
  </si>
  <si>
    <t>DRIVEN; DEMAND</t>
  </si>
  <si>
    <t>Cellular organisms possess intricate mechano-adaptive systems that enable them to sense forces and process them with (bio)chemical circuits for functional adaptation. Inspired by such processes, this study introduces a hydrogel system capable of mechanically activated and chemically transduced self-destruction. Our judiciously designed hydrogels can mechanically generate radicals that are processed and amplified in a self-propagating radical de-crosslinking reaction, ultimately leading to mechanically triggered self-immolation. We put such systems to work in mechano-induced debonding, and in a bilayer actuator, where swelling-induced bending generates sufficient force for selective degradation of one layer, leading to autonomous self-regulation associated with unbending. Our work helps define design criteria for molecularly controlled adaptive and self-regulating materials with embodied mechano-chemical information processing, and showcases their potential for adhesives and soft robotics. This study presents a hydrogel system that self-destroys after mechanical activation via the combination of a mechano-to-chemo signal translation and a chemical signal amplifier module to trigger many chain breaks following one single mechano event. Self-regulating soft robotic elements and mechano-induced debonding in adhesives can be realized.image</t>
  </si>
  <si>
    <t>[Lupfer, Claudius; Seitel, Sebastian; Skarsetz, Oliver; Walther, Andreas] Johannes Gutenberg Univ Mainz, Dept Chem, Life Like Mat &amp; Syst, Duesbergweg 10-14, D-55218 Mainz, Germany</t>
  </si>
  <si>
    <t>Johannes Gutenberg University of Mainz</t>
  </si>
  <si>
    <t>Walther, A (corresponding author), Johannes Gutenberg Univ Mainz, Dept Chem, Life Like Mat &amp; Syst, Duesbergweg 10-14, D-55218 Mainz, Germany.</t>
  </si>
  <si>
    <t>andreas.walther@uni-mainz.de</t>
  </si>
  <si>
    <t>Lupfer, Claudius/0000-0002-2229-1297; Skarsetz, Oliver/0000-0002-1540-1873</t>
  </si>
  <si>
    <t>This project has received funding from the European Research Council (ERC) under the European Unionamp;apos;s Horizon 2020 Program (No. 101001638). AW acknowledges funding via a Gutenberg Research Professorship underpinning his Life-Like Materials Program; European Research Council (ERC) under the European Union; [101001638]</t>
  </si>
  <si>
    <t>This project has received funding from the European Research Council (ERC) under the European Unionamp;apos;s Horizon 2020 Program (No. 101001638). AW acknowledges funding via a Gutenberg Research Professorship underpinning his Life-Like Materials Program; European Research Council (ERC) under the European Union(European Research Council (ERC));</t>
  </si>
  <si>
    <t>This project has received funding from the European Research Council (ERC) under the European Union &amp; apos;s Horizon 2020 Program (No. 101001638). AW acknowledges funding via a Gutenberg Research Professorship underpinning his Life-Like Materials Program. Open Access funding enabled and organized by Projekt DEAL.</t>
  </si>
  <si>
    <t>10.1002/anie.202309236</t>
  </si>
  <si>
    <t>Q5IW7</t>
  </si>
  <si>
    <t>WOS:001057866200001</t>
  </si>
  <si>
    <t>Ma, TY; Bennett, T; Lee, CD; Wicklow, M</t>
  </si>
  <si>
    <t>Ma, Tongyu; Bennett, Thomas; Lee, Chong-Do; Wicklow, Mairead</t>
  </si>
  <si>
    <t>The diurnal pattern of moderate-to-vigorous physical activity and obesity: a cross-sectional analysis</t>
  </si>
  <si>
    <t>OBESITY</t>
  </si>
  <si>
    <t>SHIFT WORK; EXERCISE; TIME; METAANALYSIS; MORTALITY; APPETITE; MEN</t>
  </si>
  <si>
    <t>ObjectiveModerate-to-vigorous physical activity (MVPA) is obesity-protective. However, the optimal time of the day to engage in MVPA for weight management is controversial. This study is designed to investigate the influence of the diurnal pattern of MVPA on the association between MVPA and obesity.MethodsA total of 5285 participants in the 2003 to 2006 National Health and Nutrition Examination Survey (NHANES) were cross-sectionally analyzed. The diurnal pattern of objectively measured MVPA was classified into three clusters by K-means clustering analysis: morning (n = 642); midday (n = 2456); and evening (n = 2187). The associations of MVPA level and the diurnal pattern with obesity were tested.ResultsA strong linear association between MVPA and obesity was found in the morning group, whereas a weaker curvilinear association between MVPA and obesity was observed in the midday and evening groups, respectively. Among those who met the physical activity guidelines, the adjusted means for BMI were 25.9 (95% CI: 25.2-26.6), 27.6 (95% CI: 27.1-28.1), and 27.2 (95% CI: 26.8-27.7) kg/m2 in the morning, midday, and evening groups, respectively, and for waist circumference were 91.5 (95% CI: 89.4-93.6), 95.8 (95% CI: 94.7-96.9), and 95.0 (95% CI: 93.9-96.1) cm, respectively.ConclusionsThe diurnal pattern of MVPA influences the association between MVPA and obesity. The promising role of morning MVPA for weight management warrants further investigation.</t>
  </si>
  <si>
    <t>[Ma, Tongyu] Hong Kong Polytech Univ, Dept Rehabil Sci, Hong Kong, Peoples R China; [Ma, Tongyu; Bennett, Thomas; Wicklow, Mairead] Franklin Pierce Univ, Hlth Sci Dept, Rindge, NH USA; [Lee, Chong-Do] Arizona State Univ, Coll Hlth Solut, Tempe, AZ USA; [Ma, Tongyu] Hong Kong Polytech Univ, Rehabil Sci Dept, Hung Hom, Kowloon, Hong Kong, Peoples R China</t>
  </si>
  <si>
    <t>Hong Kong Polytechnic University; Arizona State University; Arizona State University-Tempe; Hong Kong Polytechnic University</t>
  </si>
  <si>
    <t>Ma, TY (corresponding author), Hong Kong Polytech Univ, Rehabil Sci Dept, Hung Hom, Kowloon, Hong Kong, Peoples R China.</t>
  </si>
  <si>
    <t>mat@franklinpierce.edu</t>
  </si>
  <si>
    <t>Ma, Tongyu/0000-0003-1831-2857</t>
  </si>
  <si>
    <t>1930-7381</t>
  </si>
  <si>
    <t>1930-739X</t>
  </si>
  <si>
    <t>Obesity</t>
  </si>
  <si>
    <t>10.1002/oby.23851</t>
  </si>
  <si>
    <t>Endocrinology &amp; Metabolism; Nutrition &amp; Dietetics</t>
  </si>
  <si>
    <t>Q5LK8</t>
  </si>
  <si>
    <t>WOS:001057934400001</t>
  </si>
  <si>
    <t>Mcginley, JM; Pauling, EE; Rouhana, N; Podolak, CE; Cowen, N; Hennig, K; Shipe, SL; Young, SR; Rattinger, GB</t>
  </si>
  <si>
    <t>Mcginley, Jacqueline M.; Pauling, Erin E.; Rouhana, Nicole; Podolak, Christine E.; Cowen, Nannette; Hennig, Kelsey; Shipe, Stacey L.; Young, Sarah R.; Rattinger, Gail B.</t>
  </si>
  <si>
    <t>Preparing students to address the social determinants of health in integrated care settings</t>
  </si>
  <si>
    <t>CLINICAL TEACHER</t>
  </si>
  <si>
    <t>BackgroundHealth professionals are increasingly being called to address the social determinants of health (SDOH) and, to do so effectively, often requires an integrated approach to care. As a result, accreditation standards across multiple professions have emphasised the importance of interprofessional education (IPE).ApproachThis paper describes large-scale, community-engaged learning that is required annually of students from nursing, pharmacy, public health, and social work. Through a series of asynchronous and synchronous activities that are informed by the Interprofessional Education Collaborative core competencies, students are trained to be SDOH change makers who can readily adopt integrated care service delivery frameworks into their future practice.EvaluationApproximately 1000 students have participated in this event since the University launched its IPE curriculum in 2017. Student consistently report achievement of the course learning objectives, with 91% of students reporting that the learning activities enhanced their understanding of their professional roles/responsibilities in regards to addressing poverty and food insecurity.ImplicationsTwo key lessons learned from these efforts are described, including the benefits of a trauma-informed pedagogical approach and special considerations for large-scale learning.</t>
  </si>
  <si>
    <t>[Mcginley, Jacqueline M.] Binghamton Univ, Coll Community &amp; Publ Affairs, Dept Social Work, Binghamton, NY USA; [Pauling, Erin E.] Binghamton Univ, Sch Pharm &amp; Pharmaceut Sci, Dept Pharm Practice, Binghamton, NY USA; [Rouhana, Nicole; Cowen, Nannette] Binghamton Univ, Decker Coll Nursing &amp; Hlth Sci, Binghamton, NY USA; [Podolak, Christine E.] SUNY Upstate Med Univ, Hlth Syst Sci &amp; Community Engaged Learning, Syracuse, NY USA; [Hennig, Kelsey] Shields Hlth Solut, Stoughton, MA USA; [Shipe, Stacey L.] Binghamton Univ, Social Sci Res Inst, Coll Community &amp; Publ Affairs, Penn State &amp; Dept Social Work, Binghamton, NY USA; [Young, Sarah R.] Binghamton Univ, Coll Community &amp; Publ Affairs, Dept Social Work, Binghamton, NY USA; [Rattinger, Gail B.] Binghamton Univ, Sch Pharm &amp; Pharmaceut Sci, Binghamton, NY USA; [Mcginley, Jacqueline M.] Binghamton Univ, Coll Community &amp; Publ Affairs, Dept Social Work, POB 6000, DC-319, Binghamton, NY 13902 USA</t>
  </si>
  <si>
    <t>State University of New York (SUNY) System; State University of New York (SUNY) Binghamton; State University of New York (SUNY) System; State University of New York (SUNY) Binghamton; State University of New York (SUNY) System; State University of New York (SUNY) Binghamton; State University of New York (SUNY) System; State University of New York (SUNY) Upstate Medical Center; State University of New York (SUNY) System; State University of New York (SUNY) Binghamton; State University of New York (SUNY) System; State University of New York (SUNY) Binghamton; State University of New York (SUNY) System; State University of New York (SUNY) Binghamton; State University of New York (SUNY) System; State University of New York (SUNY) Binghamton</t>
  </si>
  <si>
    <t>Mcginley, JM (corresponding author), Binghamton Univ, Coll Community &amp; Publ Affairs, Dept Social Work, POB 6000, DC-319, Binghamton, NY 13902 USA.</t>
  </si>
  <si>
    <t>jmcginle@binghamton.edu</t>
  </si>
  <si>
    <t>, Stacey/0000-0002-8145-4674</t>
  </si>
  <si>
    <t>The authors wish to acknowledge and thank the Office of the Provost and Patricia Reuther (Director of Interprofessional Education) at Binghamton University for their support.; Office of the Provost and Patricia Reuther (Director of Interprofessional Education) at Binghamton University</t>
  </si>
  <si>
    <t>The authors wish to acknowledge and thank the Office of the Provost and Patricia Reuther (Director of Interprofessional Education) at Binghamton University for their support.</t>
  </si>
  <si>
    <t>1743-4971</t>
  </si>
  <si>
    <t>1743-498X</t>
  </si>
  <si>
    <t>CLIN TEACH</t>
  </si>
  <si>
    <t>Clin. Teach.</t>
  </si>
  <si>
    <t>10.1111/tct.13646</t>
  </si>
  <si>
    <t>Q5EK6</t>
  </si>
  <si>
    <t>WOS:001057747300001</t>
  </si>
  <si>
    <t>Pickering, G; O'Keeffe, M; Bannister, K; Becker, S; Cottom, S; Cox, FJ; Eisenberg, E; Finn, DP; Graven-Nielsen, T; Meeus, M; Mouraux, A; Tolle, T; Garcia-Larrea, L; Fullen, BM</t>
  </si>
  <si>
    <t>Pickering, Gisele; O'Keeffe, Mary; Bannister, Kirsty; Becker, Susanne; Cottom, Sonia; Cox, Felicia J.; Eisenberg, Elon; Finn, David P.; Graven-Nielsen, Thomas; Meeus, Mira; Mouraux, Andre; Toelle, Thomas; Garcia-Larrea, Luis; Fullen, Brona M.</t>
  </si>
  <si>
    <t>Why Europe needs a pain research strategy</t>
  </si>
  <si>
    <t>EUROPEAN JOURNAL OF PAIN</t>
  </si>
  <si>
    <t>[Pickering, Gisele] Univ Hosp, CHU Clermont Ferrand, Platform Clin Invest, Inserm,CIC 1405, Clermont Ferrand, France; [Pickering, Gisele] Univ Clermont Auvergne, Fundamental &amp; Clin Pharmacol Pain, Clermont Ferrand, France; [O'Keeffe, Mary] Univ Sydney, Inst Musculoskeletal Hlth, Sydney, Australia; [O'Keeffe, Mary] European Pain Federat EFIC, Brussels, Belgium; [Bannister, Kirsty] Kings Coll London, Inst Psychiat Psychol &amp; Neurosci, London, England; [Becker, Susanne] Heinrich Heine Univ Dusseldorf, Dept Expt Psychol, Clin Psychol, Dusseldorf, Germany; [Becker, Susanne] Univ Zurich, Balgrist Univ Hosp, Dept Chiropract Med, Integrat Spinal Res, Zurich, Switzerland; [Cottom, Sonia] Pain Assoc Scotland, Aberuthven, Scotland; [Cox, Felicia J.] Guys &amp; St Thomas NHS Fdn Trust, Royal Brompton &amp; Harefield Hosp, Pain Management Serv, London, England; [Eisenberg, Elon] Technion Israel Inst Technol, Rappaport Fac Med, Haifa, Israel; [Finn, David P.] Univ Galway, Sch Med, Galway Neurosci Ctr, Pharmacol &amp; Therapeut, Galway, Ireland; [Finn, David P.] Univ Galway, Ctr Pain Res, Galway, Ireland; [Graven-Nielsen, Thomas] Aalborg Univ, Ctr Neuroplast &amp; Pain CNAP, Dept Hlth Sci &amp; Technol, Aalborg, Denmark; [Meeus, Mira] Univ Ghent, Fac Med &amp; Hlth Sci, Dept Rehabil Sci, Spine Head &amp; Pain Res Unit Ghent, Ghent, Belgium; [Meeus, Mira] Vrije Univ Brussel, Fac Phys Educ &amp; Physiotherapy, Dept Physiotherapy Human Physiol &amp; Anat, Pain Mot Int Res Grp, Brussels, Belgium; [Meeus, Mira] Univ Antwerp, Fac Med &amp; Hlth Sci, Dept Rehabil Sci &amp; Phys Therapy, MOVANT Res Grp, Antwerp, Belgium; [Meeus, Mira; Mouraux, Andre] UCLouvain, Inst Neurosci IONS, Brussels, Belgium; [Toelle, Thomas] Tech Univ Munich, Dept Neurol, Munich, Germany; [Garcia-Larrea, Luis] Lyon 1 Univ, Hosp Civils Lyon, Pierre Wertheimer Hosp, Inserm,U 1028,Lyon Neurosci Ctr Res Unit, Lyon, France; [Fullen, Brona M.] Univ Coll Dublin, UCD Sch Publ Hlth Physiotherapy &amp; Sports Sci, Dublin, Ireland</t>
  </si>
  <si>
    <t>Institut National de la Sante et de la Recherche Medicale (Inserm); CHU Clermont Ferrand; Universite Clermont Auvergne (UCA); University of Sydney; University of London; King's College London; Heinrich Heine University Dusseldorf; University of Zurich; Royal Brompton &amp; Harefield NHS Foundation Trust; Harefield Hospital; Royal Brompton Hospital; Guy's &amp; St Thomas' NHS Foundation Trust; Technion Israel Institute of Technology; Rappaport Faculty of Medicine; Ollscoil na Gaillimhe-University of Galway; Ollscoil na Gaillimhe-University of Galway; Aalborg University; Ghent University; Pain in Motion; Vrije Universiteit Brussel; University of Antwerp; Universite Catholique Louvain; Technical University of Munich; Institut National de la Sante et de la Recherche Medicale (Inserm); UDICE-French Research Universities; Universite Claude Bernard Lyon 1; CHU Lyon; University College Dublin</t>
  </si>
  <si>
    <t>O'Keeffe, M (corresponding author), Univ Sydney, Inst Musculoskeletal Hlth, Sydney, Australia.</t>
  </si>
  <si>
    <t>mary.okeeffe@sydney.edu.au</t>
  </si>
  <si>
    <t>Meeus, Mira/AEV-1107-2022; Becker, Susanne/F-7209-2019</t>
  </si>
  <si>
    <t>Meeus, Mira/0000-0002-2022-5114; Finn, David/0000-0001-6186-621X; Becker, Susanne/0000-0002-5681-4084; Graven-Nielsen, Thomas/0000-0002-7787-4860</t>
  </si>
  <si>
    <t>1090-3801</t>
  </si>
  <si>
    <t>1532-2149</t>
  </si>
  <si>
    <t>EUR J PAIN</t>
  </si>
  <si>
    <t>Eur. J. Pain</t>
  </si>
  <si>
    <t>EJP2179</t>
  </si>
  <si>
    <t>10.1002/ejp.2179</t>
  </si>
  <si>
    <t>Anesthesiology; Clinical Neurology; Neurosciences</t>
  </si>
  <si>
    <t>Anesthesiology; Neurosciences &amp; Neurology</t>
  </si>
  <si>
    <t>R0RP0</t>
  </si>
  <si>
    <t>WOS:001061503500001</t>
  </si>
  <si>
    <t>Rodriguez-Real, G; Dominguez-Calvo, A; Prados-Carvajal, R; Bayona-Feliu, A; Gomes-Pereira, S; Balestra, FR; Huertas, P</t>
  </si>
  <si>
    <t>Rodriguez-Real, Guillermo; Dominguez-Calvo, Andres; Prados-Carvajal, Rosario; Bayona-Feliu, Aleix; Gomes-Pereira, Sonia; Balestra, Fernando R.; Huertas, Pablo</t>
  </si>
  <si>
    <t>Centriolar subdistal appendages promote double-strand break repair through homologous recombination</t>
  </si>
  <si>
    <t>EMBO REPORTS</t>
  </si>
  <si>
    <t>centrosomes; CEP170; DNA end resection; homologous recombination; subdistal appendages</t>
  </si>
  <si>
    <t>DNA-DAMAGE RESPONSE; CENTROSOME LOSS; MITOTIC ENTRY; END RESECTION; C-ELEGANS; ATR; INSTABILITY; GENOMICS; P53; DUPLICATION</t>
  </si>
  <si>
    <t>The centrosome is a cytoplasmic organelle with roles in microtubule organization that has also been proposed to act as a hub for cellular signaling. Some centrosomal components are required for full activation of the DNA damage response. However, whether the centrosome regulates specific DNA repair pathways is not known. Here, we show that centrosome presence is required to fully activate recombination, specifically to completely license its initial step, the so-called DNA end resection. Furthermore, we identify a centriolar structure, the subdistal appendages, and a specific factor, CEP170, as the critical centrosomal component involved in the regulation of recombination and resection. Cells lacking centrosomes or depleted for CEP170 are, consequently, hypersensitive to DNA damaging agents. Moreover, low levels of CEP170 in multiple cancer types correlate with an increase of the mutation burden associated with specific mutational signatures and a better prognosis, suggesting that changes in CEP170 can act as a mutation driver but could also be targeted to improve current oncological treatments.</t>
  </si>
  <si>
    <t>[Rodriguez-Real, Guillermo; Dominguez-Calvo, Andres; Prados-Carvajal, Rosario; Balestra, Fernando R.; Huertas, Pablo] Univ Seville, Fac Biol, Dept Genet, Seville, Spain; [Rodriguez-Real, Guillermo; Dominguez-Calvo, Andres; Prados-Carvajal, Rosario; Balestra, Fernando R.; Huertas, Pablo] Univ Seville, Univ Pablo Olavide, Ctr Andaluz Biol Mol &amp; Med Regenerat CABIMER, CSIC, Seville, Spain; [Bayona-Feliu, Aleix] Barcelona Inst Sci &amp; Technol BIST, Inst Res Biomed IRB Barcelona, Genome Data Sci, Barcelona, Spain; [Gomes-Pereira, Sonia] Univ Geneva, Dept Cell Biol, Sci 3, Geneva, Switzerland</t>
  </si>
  <si>
    <t>University of Sevilla; Consejo Superior de Investigaciones Cientificas (CSIC); Universidad Pablo de Olavide; University of Sevilla; CSIC - Centro Andaluz de Biologia Molecular y Medicina Regenerativa (CABIMER); Barcelona Institute of Science &amp; Technology; Institute for Research in Biomedicine - IRB Barcelona; University of Geneva</t>
  </si>
  <si>
    <t>Balestra, FR; Huertas, P (corresponding author), Univ Seville, Fac Biol, Dept Genet, Seville, Spain.;Balestra, FR; Huertas, P (corresponding author), Univ Seville, Univ Pablo Olavide, Ctr Andaluz Biol Mol &amp; Med Regenerat CABIMER, CSIC, Seville, Spain.</t>
  </si>
  <si>
    <t>fernando.balestra@cabimer.es; phuertas@us.es</t>
  </si>
  <si>
    <t>Prados, Rosario/0000-0003-4721-6311</t>
  </si>
  <si>
    <t>Junta de Andalucia [US-1255532]; Consejeria de Transformacion Economica, Industria, Conocimiento y Universidades, Junta de Andalucia [P18-RT-1204]; Spanish Ministry of Science and Innovation-Agencia Estatal de Investigacion [PID2019-104195G]; government of Andalucia (Junta de Andalucia); Spanish Ministry of Education; AECC postdoctoral fellowship</t>
  </si>
  <si>
    <t>Junta de Andalucia(Junta de Andalucia); Consejeria de Transformacion Economica, Industria, Conocimiento y Universidades, Junta de Andalucia(Junta de Andalucia); Spanish Ministry of Science and Innovation-Agencia Estatal de Investigacion; government of Andalucia (Junta de Andalucia); Spanish Ministry of Education(Spanish Government); AECC postdoctoral fellowship</t>
  </si>
  <si>
    <t>We thank Maikel Castellano-Pozo and Sonia Jimeno for critical reading of the manuscript. We thank CABIMER microscopy facility and Dr. Paloma Dominguez for her technical support in image acquisition and processing. Also, Antonio Araujo Duenas for helping with the graphics and designing the cover. This work was funded by the R+D+I grant US-1255532 Proyectos I+D+i FEDER Andalucia 2014-2020 from the Junta de Andalucia, the grant P18-RT-1204 from the Consejeria de Transformacion Economica, Industria, Conocimiento y Universidades, Junta de Andalucia and the grant PID2019-104195G from the Spanish Ministry of Science and Innovation-Agencia Estatal de Investigacion/10.13039/501100011033. CABIMER is supported by the regional government of Andalucia (Junta de Andalucia). ADC is funded with FPU fellowships from the Spanish Ministry of Education and RPC is funded with an AECC postdoctoral fellowship. We also want to thank Paul Guichard and Virginie Hamel (University of Geneva, Department of Cell Biology, Sciences III, Geneva, Switzerland) for their support developing the U-ExM.</t>
  </si>
  <si>
    <t>1469-221X</t>
  </si>
  <si>
    <t>1469-3178</t>
  </si>
  <si>
    <t>EMBO REP</t>
  </si>
  <si>
    <t>EMBO Rep.</t>
  </si>
  <si>
    <t>e56724</t>
  </si>
  <si>
    <t>10.15252/embr.202256724</t>
  </si>
  <si>
    <t>Q5ME1</t>
  </si>
  <si>
    <t>WOS:001057954000001</t>
  </si>
  <si>
    <t>Ye, R; Xiong, HH; Liu, X; Yang, JX; Guo, JD; Qiu, JW</t>
  </si>
  <si>
    <t>Ye, Ran; Xiong, Huahua; Liu, Xiao; Yang, Junxing; Guo, Jiandong; Qiu, Jianwen</t>
  </si>
  <si>
    <t>Assessment of Knee Menisci in Healthy Adults Using Shear Wave Elastography</t>
  </si>
  <si>
    <t>JOURNAL OF ULTRASOUND IN MEDICINE</t>
  </si>
  <si>
    <t>knee; meniscus; shear wave elastography</t>
  </si>
  <si>
    <t>TENDON MECHANICAL-PROPERTIES; AGE-RELATED-CHANGES</t>
  </si>
  <si>
    <t>ObjectivesThe aim of this study was to explore the application value of shear wave elastography in healthy adults with knee meniscus.MethodsOne hundred adult subjects who underwent health checkups at our hospital from December 2022 to February 2023 were selected as research participants. Shear wave elastography was used to evaluate the periphery of the lateral and medial meniscus in both knees. To assess the mean differences in Young's modulus values between male and female groups, a one-way ANOVA and independent samples t-test were conducted. In addition, a Pearson correlation coefficient test was used to analyze the correlation between the elastic values of the meniscus and age, height, weight, and body mass index (BMI).ResultsThere were no significant differences in elastic values between the lateral meniscus of the left and right sides or between the medial meniscus of the left and right sides within the same gender group (P &gt; .05). Stiffness values of the medial meniscus were higher in each gender group than those of the lateral meniscus (P &lt; .01). Additionally, males demonstrated higher stiffness values than females (P &lt; .01). As age increased, the Young's modulus of the meniscus increased significantly (r &gt; .75, P &lt; .01).ConclusionShear wave elastography can serve as an adjunctive tool to aid in the assessment of knee meniscal elasticity.</t>
  </si>
  <si>
    <t>[Ye, Ran; Qiu, Jianwen] Guangzhou Univ Chinese Med, Dept Phys Examinat, Shenzhen Hosp Futian, Shenzhen, Peoples R China; [Ye, Ran] Guangzhou Med Univ, Guaduate Sch, Guangzhou, Peoples R China; [Xiong, Huahua] Shenzhen Second Peoples Hosp, Dept Ultrasound, Shenzhen, Peoples R China; [Liu, Xiao] Guangzhou Univ Chinese Med, Dept Ultrasound, Shenzhen Hosp Futian, Shenzhen, Peoples R China; [Yang, Junxing] Guangzhou Univ Chinese Med, Shenzhen Hosp Futian, Dept Orthoped, Shenzhen, Peoples R China; [Guo, Jiandong] Guangzhou Univ Chinese Med, Dept Radiol, Shenzhen Hosp Futian, Shenzhen, Peoples R China; [Ye, Ran] Guangzhou Univ Chinese Med, Dept Phys Examinat, Shenzhen Hosp Futian, 6001 Beihuan Rd, Shenzhen 518034, Guangdong, Peoples R China</t>
  </si>
  <si>
    <t>Guangzhou University of Chinese Medicine; Guangzhou Medical University; Second People's Hospital of Shenzhen; Guangzhou University of Chinese Medicine; Guangzhou University of Chinese Medicine; Guangzhou University of Chinese Medicine; Guangzhou University of Chinese Medicine</t>
  </si>
  <si>
    <t>Ye, R (corresponding author), Guangzhou Univ Chinese Med, Dept Phys Examinat, Shenzhen Hosp Futian, 6001 Beihuan Rd, Shenzhen 518034, Guangdong, Peoples R China.</t>
  </si>
  <si>
    <t>ymiram@sina.com</t>
  </si>
  <si>
    <t>YE, RAN/0009-0000-8456-8258</t>
  </si>
  <si>
    <t>Futian Healthcare Research Project [FTWS2023043]</t>
  </si>
  <si>
    <t>Futian Healthcare Research Project</t>
  </si>
  <si>
    <t>We would like to acknowledge the support of Futian Healthcare Research Project (FTWS2023043).</t>
  </si>
  <si>
    <t>0278-4297</t>
  </si>
  <si>
    <t>1550-9613</t>
  </si>
  <si>
    <t>J ULTRAS MED</t>
  </si>
  <si>
    <t>J. Ultrasound Med.</t>
  </si>
  <si>
    <t>10.1002/jum.16326</t>
  </si>
  <si>
    <t>R0OC4</t>
  </si>
  <si>
    <t>WOS:001061411400001</t>
  </si>
  <si>
    <t>Zeng, J; Wang, Y; Zhu, MH; Wu, M; Zhou, YM; Wang, QY; Xu, YQ; Lin, F; Wang, JQ; Li, YX; Liang, S; Wang, ZY; Xie, LQ; Liu, XJ</t>
  </si>
  <si>
    <t>Zeng, Jia; Wang, Ying; Zhu, Manhui; Wu, Min; Zhou, Yamei; Wang, Qiaoyun; Xu, Yiqian; Lin, Fei; Wang, Jiaqi; Li, Yuxuan; Liang, Shuang; Wang, Ziyu; Xie, Laiqing; Liu, Xiaojuan</t>
  </si>
  <si>
    <t>Neutrophil extracellular traps boost laser-induced mouse choroidal neovascularization through the activation of the choroidal endothelial cell TLR4/HIF-1α pathway</t>
  </si>
  <si>
    <t>FEBS JOURNAL</t>
  </si>
  <si>
    <t>choroidal neovascularization; choroidal endothelial cells; hypoxia inducible factor-1 alpha; neutrophil extracellular trap; Toll-like receptor 4</t>
  </si>
  <si>
    <t>NF-KAPPA-B; TRANSCRIPTIONAL ACTIVATION; PROMOTE ANGIOGENESIS; MACULAR DEGENERATION; CANCER CELLS; EXPRESSION; HYPOXIA; TLR4; HIF-1-ALPHA; IL-1-BETA</t>
  </si>
  <si>
    <t>Choroidal neovascularization (CNV) is characterized by the infiltration of immune cells, particularly neutrophils. Neutrophil extracellular trap (NET) facilitates the angiogenesis of pulmonary endothelial cells via activating Toll-like receptor 4 (TLR4). TLR4 promotes the expression of transcription factor hypoxia inducible factor-1 alpha (HIF-1 alpha), which promotes inflammation and angiogenesis via the up-regulation of metalloproteinase-9 (MMP-9) and interleukin-1 beta (IL-1 beta). In the present study, we aimed to identify the formation of NET and its role in CNV. Our results showed that NET levels were increased in a mouse laser-induced CNV model via oxidative stress, whereas the inhibition of NET alleviated CNV. In vitro, NET activated the TLR4/HIF-1 alpha pathway in human choroidal endothelial cells (HCECs). Additionally, NET increased the transcription and expression of MMP-9 and IL-1 beta in HCECs via activating the TLR4/HIF-1 alpha pathway. Meanwhile, NET promoted the inflammatory response accompanied by the proliferation, migration and tube formation of HCECs in a MMP-9- and IL-1 beta-dependent manner. In conclusion, NET was up-regulated in CNV and promoted the formation of CNV via activating the TLR4/HIF-1 alpha pathway in choroidal endothelial cells. Our data uncovered the novel role of NET in promoting the formation of CNV. The underlying mechanism of NET could be targeted to delay the process of CNV.</t>
  </si>
  <si>
    <t>[Zeng, Jia; Wu, Min; Zhou, Yamei; Liu, Xiaojuan] Nantong Univ, Med Coll, Dept Pathogen Biol, Nantong, Peoples R China; [Wang, Ying] Nanjing Med Univ, Suzhou Municipal Hosp, Affiliated Suzhou Hosp, Dept Ophthalmol, Nanjing, Peoples R China; [Zhu, Manhui] Soochow Univ, Lixiang Eye Hosp, Dept Pathol, Suzhou, Peoples R China; [Wang, Qiaoyun; Xu, Yiqian; Xie, Laiqing] Soochow Univ, Affiliated Hosp 2, Dept Ophthalmol, Suzhou, Peoples R China; [Lin, Fei; Wang, Jiaqi; Li, Yuxuan; Liang, Shuang; Wang, Ziyu] Nantong Univ, Med Coll, Nantong, Peoples R China; [Xie, Laiqing] Soochow Univ, Affiliated Hosp 2, Dept Ophthalmol, Suzhou, Jiangsu, Peoples R China; [Liu, Xiaojuan] Nantong Univ, Med Coll, Dept Pathogen Biol, Nantong, Jiangsu, Peoples R China</t>
  </si>
  <si>
    <t>Nantong University; Nanjing Medical University; Soochow University - China; Soochow University - China; Nantong University; Soochow University - China; Nantong University</t>
  </si>
  <si>
    <t>Xie, LQ (corresponding author), Soochow Univ, Affiliated Hosp 2, Dept Ophthalmol, Suzhou, Jiangsu, Peoples R China.;Liu, XJ (corresponding author), Nantong Univ, Med Coll, Dept Pathogen Biol, Nantong, Jiangsu, Peoples R China.</t>
  </si>
  <si>
    <t>xielaiqing@suda.edu.cn; lxj@ntu.edu.cn</t>
  </si>
  <si>
    <t>major project of Nantong city [MS22018009]; College Student Innovation Program of Nantong University [2022140]; National Natural Science Foundation of China [802201219]; Gusu Health Talent Program Project in Suzhou [(2022)192]; Health Commission of Jiangsu Province [M2020053]; Suzhou Science and Technology Bureau [SKJY2021083]</t>
  </si>
  <si>
    <t>major project of Nantong city; College Student Innovation Program of Nantong University; National Natural Science Foundation of China(National Natural Science Foundation of China (NSFC)); Gusu Health Talent Program Project in Suzhou; Health Commission of Jiangsu Province; Suzhou Science and Technology Bureau</t>
  </si>
  <si>
    <t>The study was supported by the major project of Nantong city (No. MS22018009), the College Student Innovation Program of Nantong University (No. 2022140), the National Natural Science Foundation of China (No. 802201219), Gusu Health Talent Program Project in Suzhou [No.(2022)192], Medical research project derived from Health Commission of Jiangsu Province (No. M2020053) and Suzhou Science and Technology Bureau (No. SKJY2021083).</t>
  </si>
  <si>
    <t>1742-464X</t>
  </si>
  <si>
    <t>1742-4658</t>
  </si>
  <si>
    <t>FEBS J</t>
  </si>
  <si>
    <t>FEBS J.</t>
  </si>
  <si>
    <t>10.1111/febs.16928</t>
  </si>
  <si>
    <t>R0MS0</t>
  </si>
  <si>
    <t>WOS:001061374800001</t>
  </si>
  <si>
    <t>Fujiwara, S; Kosaka, T; Nishimoto, Y; Kamisawa, K; Watanabe, K; Baba, Y; Takeda, T; Matsumoto, K; Oya, M</t>
  </si>
  <si>
    <t>Fujiwara, Shinnosuke; Kosaka, Takeo; Nishimoto, Yoshinori; Kamisawa, Ken; Watanabe, Keitaro; Baba, Yuto; Takeda, Toshikazu; Matsumoto, Kazuhiro; Oya, Mototsugu</t>
  </si>
  <si>
    <t>Prognostic significance of serum testosterone level in patients with castration-resistant prostate cancer treated with cabazitaxel</t>
  </si>
  <si>
    <t>cabazitaxel therapy; castration-resistant prostate cancer; prognostic marker; serum testosterone</t>
  </si>
  <si>
    <t>Background: Serum testosterone level is a potential prognostic marker for castration-resistant prostate cancer. However, its role as a prognostic marker in cabazitaxel chemotherapy remains unclear. This study aimed to elucidate the clinical significance of serum testosterone levels before cabazitaxel chemotherapy. Methods: This single-institution, retrospective study included 47 patients with metastatic castration-resistant prostate cancer (mCRPC) who received cabazitaxel therapy. Serum testosterone levels were measured before the initiation of cabazitaxel therapy. Results: Progression-free survival and overall survival (OS) were not significantly different between patients with high and low serum testosterone levels. Analysis of patients aged &lt;70 years revealed that those with high serum testosterone levels (total testosterone level &gt; 0.055 ng/mL) had significantly longer OS than those with low serum testosterone levels (total testosterone level &lt; 0.055 ng/mL, p = 0.012). Multivariate analysis revealed that low serum testosterone levels (hazard ratio [HR] = 11.874, 95% confidence interval [CI] 2.076-67.953, p = 0.005) and high prostate-specific antigen levels (HR = 18.051, 95% CI 2.462-132.347, p = 0.004) in the pretreatment phase were independent prognostic factors for OS in patients receiving cabazitaxel therapy. Conclusions: Serum testosterone level may be a prognostic marker for cabazitaxel therapy in patients with mCRPC who are younger than 70 years, and high serum testosterone levels may lead to longer survival.</t>
  </si>
  <si>
    <t>[Fujiwara, Shinnosuke; Kosaka, Takeo; Kamisawa, Ken; Watanabe, Keitaro; Baba, Yuto; Takeda, Toshikazu; Matsumoto, Kazuhiro; Oya, Mototsugu] Keio Univ, Sch Med, Dept Urol, 35 Shinanomachi,Shinjuku Ku, Tokyo 1608582, Japan; [Nishimoto, Yoshinori] Keio Univ, Sch Med, Dept Neurol, Shinjuku Ku, Tokyo, Japan</t>
  </si>
  <si>
    <t>Keio University; Keio University</t>
  </si>
  <si>
    <t>Kosaka, T (corresponding author), Keio Univ, Sch Med, Dept Urol, 35 Shinanomachi,Shinjuku Ku, Tokyo 1608582, Japan.</t>
  </si>
  <si>
    <t>takemduro@gmail.com</t>
  </si>
  <si>
    <t>Fujiwara, Shinnosuke/0000-0002-9241-2373</t>
  </si>
  <si>
    <t>The authors are grateful to Dr. Hiroshi Hongo; their discussions with him have helped to shape many of the ideas presented here.</t>
  </si>
  <si>
    <t>2023 SEP 3</t>
  </si>
  <si>
    <t>10.1002/pros.24620</t>
  </si>
  <si>
    <t>Q9DR4</t>
  </si>
  <si>
    <t>WOS:001060455800001</t>
  </si>
  <si>
    <t>Fukuike, H; Noda, M; Ibaraki, H; Sasaki, K; Tanaka, Y; Suzuki, H; Ishimaru, M</t>
  </si>
  <si>
    <t>Fukuike, Hisae; Noda, Megumi; Ibaraki, Hiroko; Sasaki, Karin; Tanaka, Yuimi; Suzuki, Hidenori; Ishimaru, Masahiko</t>
  </si>
  <si>
    <t>Influence of nervous tendencies on oral health status and lifestyle habits</t>
  </si>
  <si>
    <t>INTERNATIONAL JOURNAL OF DENTAL HYGIENE</t>
  </si>
  <si>
    <t>lifestyle; nervous tendencies; oral hygiene; oral status</t>
  </si>
  <si>
    <t>QUALITY-OF-LIFE; PERSONALITY-TRAITS; INDEX GOHAI; VALIDATION; VERSION</t>
  </si>
  <si>
    <t>Objective: It is presumed that people with nervous tendencies brush their teeth for long durations, and, we aimed to investigate how nervous tendencies affect oral health status and lifestyle habits. Subjects and methods: Three hundred and sixty patients who visited the Senri Dental Clinic, affiliated with the Sunstar Foundation, and were being treated for periodontal diseases between 11 January 2017 and 10 April 2017 were enrolled. A total of 323 respondents (101 men and 222 women) were considered eligible. Nervous tendencies were investigated using the Fujinami neurotic index (FNI) and its derivative, the neurotic index (NI). Patients with NIs of &gt;= 20 were included in the ' needs caution ' group, whereas those with NIs of &lt; 19 comprised the ' healthy ' group. The plaque score; periodontal pocket depth; bleeding on probing degree; gingival recession; crevice defects; oral conditions, such as cervical fillings and lifestyle habits were compared between the groups. Results and discussion: No statistically significant differences in oral status were observed between the groups. On the other hand, the needs caution group had significantly longer brushing durations and lower usage of auxiliary teeth cleaning tools than the healthy group. Sleep duration was significantly shorter in the needs caution group than in the healthy group. Conclusions: Patients with strong nervous tendencies had long oral brushing durations and low usage of auxiliary cleaning tools. However, these factors did not negatively affect oral health status. These results could aid in understanding patients with strong nervous tendencies and in developing appropriate dental health guidance measures.</t>
  </si>
  <si>
    <t>[Fukuike, Hisae; Noda, Megumi; Ibaraki, Hiroko; Sasaki, Karin; Tanaka, Yuimi; Suzuki, Hidenori] Sunstar Fdn, Senri Dent Clin, Osaka, Japan; [Ishimaru, Masahiko] Open Univ Japan Fdn, Chiba, Japan; [Fukuike, Hisae] 3F 1-1-3 Shinsenri, Higashi Machi, Toyonaka, Osaka 5600082, Japan</t>
  </si>
  <si>
    <t>Fukuike, H (corresponding author), 3F 1-1-3 Shinsenri, Higashi Machi, Toyonaka, Osaka 5600082, Japan.</t>
  </si>
  <si>
    <t>hisae.fukuike@jp.sunstar.com</t>
  </si>
  <si>
    <t>1601-5029</t>
  </si>
  <si>
    <t>1601-5037</t>
  </si>
  <si>
    <t>INT J DENT HYG</t>
  </si>
  <si>
    <t>Int. J. Dent. Hyg.</t>
  </si>
  <si>
    <t>10.1111/idh.12721</t>
  </si>
  <si>
    <t>Q9VT6</t>
  </si>
  <si>
    <t>WOS:001060928700001</t>
  </si>
  <si>
    <t>Gamez-Guadix, M; Mateos-Perez, E; Alcazar, MA; Martinez-Bacaicoa, J; Wachs, S</t>
  </si>
  <si>
    <t>Gamez-Guadix, Manuel; Mateos-Perez, Estibaliz; Alcazar, Miguel A.; Martinez-Bacaicoa, Jone; Wachs, Sebastian</t>
  </si>
  <si>
    <t>Stability of the online grooming victimization of minors: Prevalence and association with shame, guilt, and mental health outcomes over one year</t>
  </si>
  <si>
    <t>JOURNAL OF ADOLESCENCE</t>
  </si>
  <si>
    <t>adolescents; cyber grooming; online victimization; sexual abuse</t>
  </si>
  <si>
    <t>RECIPROCAL RELATIONSHIPS; ADOLESCENTS PREVALENCE; SEXUAL SOLICITATIONS; DEPRESSION; INTERNET; VICTIM; ABUSE</t>
  </si>
  <si>
    <t>IntroductionOnline grooming is the process by which an adult manipulates a minor by using information and communication technologies to interact sexually with that minor. The objective of this study was to analyze the stability of online grooming victimization among minors and its relationship with demographic variables (e.g., gender, age, and sexual orientation), emotions of shame and guilt, and depression and anxiety symptoms.MethodsThe participants were 746 adolescents aged 12-14 years when the study started (Mage = 13.34, SD = 0.87) who completed self-reports at Time 1 (T1) and 1 year later at Time 2 (T2). Among them, 400 were girls, 344 were boys, and two were nonbinary. At each time point, the minors self-reported their online grooming experiences during the previous year.ResultsThe results showed that 11.8% (n = 89) of the participants were T1-victims, 13% (n = 95) were T2-victims, and 11% (n = 81) were stable victims of online grooming. Stability in victimization was related to being older, being a sexual minority, being born abroad, having separated or divorced parents, and having parents with a lower education level. Stable victims showed higher shame and guilt scores at T1 than did T1-victims, indicating that elevated levels of shame and guilt could contribute to the persistence of online grooming over time.ConclusionsOverall, adolescents in the stable victim category presented more depression and anxiety symptoms. Intervention strategies should address emotions related to victimization, such as shame and guilt, as well as depression and anxiety symptoms.</t>
  </si>
  <si>
    <t>[Gamez-Guadix, Manuel; Alcazar, Miguel A.; Martinez-Bacaicoa, Jone] Autonomous Univ Madrid, Madrid, Spain; [Mateos-Perez, Estibaliz] Univ Basque Country, Leioa, Spain; [Wachs, Sebastian] Univ Munster, Inst Educ, Munster, Germany; [Gamez-Guadix, Manuel] Autonomous Univ Madrid, Fac Psychol, Dept Biol &amp; Hlth Psychol, Madrid 28049, Spain</t>
  </si>
  <si>
    <t>Autonomous University of Madrid; University of Basque Country; University of Munster; Autonomous University of Madrid</t>
  </si>
  <si>
    <t>Gamez-Guadix, M (corresponding author), Autonomous Univ Madrid, Fac Psychol, Dept Biol &amp; Hlth Psychol, Madrid 28049, Spain.</t>
  </si>
  <si>
    <t>manuel.gamez@uam.es</t>
  </si>
  <si>
    <t>Alcazar-Corcoles, Miguel Angel/C-4012-2011</t>
  </si>
  <si>
    <t>Alcazar-Corcoles, Miguel Angel/0000-0003-1650-2606; Wachs, Sebastian/0000-0003-2787-6646</t>
  </si>
  <si>
    <t>Ministerio de Ciencia e Innovacion (Spanish Government) [RTI2018-101167-B-I00]</t>
  </si>
  <si>
    <t>Ministerio de Ciencia e Innovacion (Spanish Government)(Spanish Government)</t>
  </si>
  <si>
    <t>Ministerio de Ciencia e Innovacion (Spanish Government), Grant/Award Number: RTI2018-101167-B-I00</t>
  </si>
  <si>
    <t>0140-1971</t>
  </si>
  <si>
    <t>1095-9254</t>
  </si>
  <si>
    <t>J ADOLESCENCE</t>
  </si>
  <si>
    <t>J. Adolesc.</t>
  </si>
  <si>
    <t>10.1002/jad.12240</t>
  </si>
  <si>
    <t>Psychology, Developmental</t>
  </si>
  <si>
    <t>Q5HE1</t>
  </si>
  <si>
    <t>WOS:001057821300001</t>
  </si>
  <si>
    <t>Guo, LC; Xia, P; Wang, T; Yakovlev, AN; Hu, TT; Zhao, F; Wang, QY; Yu, X</t>
  </si>
  <si>
    <t>Guo, Longchao; Xia, Ping; Wang, Ting; Yakovlev, Alexey Nikolaevich; Hu, Tingting; Zhao, Feng; Wang, Qingyuan; Yu, Xue</t>
  </si>
  <si>
    <t>Visual Representation of the Stress Distribution with a Color-Manipulated Mechanoluminescence of Fluoride for Structural Mechanics</t>
  </si>
  <si>
    <t>multicolor mechanoluminescence; self-activated persistent luminescence; visualized stress sensing</t>
  </si>
  <si>
    <t>Mechanoluminescence (ML) materials are capable of converting applied stress into luminescent signals, and offer fascinating potential applications in biomedicine, safety testing, structural diagnosis, and mechanical sensing. Color-responsive ML sensing, combined with quantitative evaluation of loaded stress, is preferred for visual description and sensing reliability. In this work, Yb2+ and Mn2+ ions co-doped MgF2 with a fascinating ratiometric ML performance are successfully explored. ML color can be manipulated based on the distinct stress-dependent ML intensity of the activators. Furthermore, a self-activated orange persistent ML is observed even after the removal of the mechanics stimuli, allowing a delayed stress sensing with the memorized optical signals. Accordingly, a visualized stress sensing with the as-explored ML composites using the ultraviolet curing 3D printing technique is demonstrated for structural mechanics. Herein, a feasible optical description of the loaded stress distribution in space for objects free from concerns with dimensions and geometrical shapes can be realized, benefiting the study of 3D structural mechanics, especially for complex structures. By introducing Yb2+ and Mn2+ into MgF2, stress-regulated mechanoluminescence discoloration is achieved and demonstrates a persistent mechanoluminescence phenomenon. Designing mechanical monitoring structures for complex building structures via 3D printing.image</t>
  </si>
  <si>
    <t>[Guo, Longchao; Xia, Ping; Zhao, Feng; Wang, Qingyuan; Yu, Xue] Chengdu Univ, Inst Adv Mat Deformat &amp; Damage Multiscale, Sch Mech Engn, Chengdu 610106, Peoples R China; [Wang, Ting] Chengdu Univ Technol, Coll Mat &amp; Chem &amp; Chem Engn, Chengdu 610095, Peoples R China; [Yakovlev, Alexey Nikolaevich; Hu, Tingting] TF Gorbachev Kuzbass State Tech Univ, 28 Vesennyaya St, Kemerovo 650000, Russia</t>
  </si>
  <si>
    <t>Chengdu University; Chengdu University of Technology; Kuzbass State Technical University</t>
  </si>
  <si>
    <t>Wang, QY; Yu, X (corresponding author), Chengdu Univ, Inst Adv Mat Deformat &amp; Damage Multiscale, Sch Mech Engn, Chengdu 610106, Peoples R China.;Wang, T (corresponding author), Chengdu Univ Technol, Coll Mat &amp; Chem &amp; Chem Engn, Chengdu 610095, Peoples R China.</t>
  </si>
  <si>
    <t>wangtkm@foxmail.com; wangqy@scu.edu.cn; yuyu6593@126.com</t>
  </si>
  <si>
    <t>, Yu Xue/0000-0002-9025-2556</t>
  </si>
  <si>
    <t>L.G. and P.X. contributed equally to this work. This work was financially supported by the National Natural Science Foundation of China (NSFC) (1220041913, 22001023, and U224120295), Sichuan Natural Science Foundation (2022YFH0108 and 2022JDJQ0030), Projec [22001023, U224120295, 2022YFH0108]; National Natural Science Foundation of China (NSFC) [2022JDJQ0030, 202101AT070126]; Sichuan Natural Science Foundation [2022QNRC001]; Project of Yunnan Provincial Natural Science Foundation; Young Elite Scientists Sponsorship Program by CAST; [1220041913]</t>
  </si>
  <si>
    <t>L.G. and P.X. contributed equally to this work. This work was financially supported by the National Natural Science Foundation of China (NSFC) (1220041913, 22001023, and U224120295), Sichuan Natural Science Foundation (2022YFH0108 and 2022JDJQ0030), Projec; National Natural Science Foundation of China (NSFC)(National Natural Science Foundation of China (NSFC)); Sichuan Natural Science Foundation; Project of Yunnan Provincial Natural Science Foundation; Young Elite Scientists Sponsorship Program by CAST;</t>
  </si>
  <si>
    <t>L.G. and P.X. contributed equally to this work. This work was financially supported by the National Natural Science Foundation of China (NSFC) (1220041913, 22001023, and U224120295), Sichuan Natural Science Foundation (2022YFH0108 and 2022JDJQ0030), Project of Yunnan Provincial Natural Science Foundation (202101AT070126), and Young Elite Scientists Sponsorship Program by CAST (2022QNRC001).</t>
  </si>
  <si>
    <t>10.1002/adfm.202306875</t>
  </si>
  <si>
    <t>Q4SR1</t>
  </si>
  <si>
    <t>WOS:001057439600001</t>
  </si>
  <si>
    <t>Klein, J; Kampermann, L; Mockenhaupt, B; Behrens, M; Strunk, J; Bacher, G</t>
  </si>
  <si>
    <t>Klein, Julian; Kampermann, Laura; Mockenhaupt, Benjamin; Behrens, Malte; Strunk, Jennifer; Bacher, Gerd</t>
  </si>
  <si>
    <t>Limitations of the Tauc Plot Method</t>
  </si>
  <si>
    <t>bandgap; metal oxide; semiconductor; Tauc plot; UV-vis spectroscopy</t>
  </si>
  <si>
    <t>DOPED NIO NANOPARTICLES; BAND-GAP ENERGY; CDS THIN-FILMS; OPTICAL-PROPERTIES; PHOTOCATALYTIC ACTIVITY; ABSORPTION-COEFFICIENT; SOL-GEL; TIO2; TEMPERATURE; PARAMETERS</t>
  </si>
  <si>
    <t>The Tauc plot is a method originally developed to derive the optical gap of amorphous semiconductors such as amorphous germanium or silicon. By measuring the absorption coefficient &amp; alpha;(h &amp; nu;) and plotting (&amp; alpha;hv)12$(\alpha {hv})&lt;^&gt;{\frac{1}{2}}$ versus photon energy h &amp; nu;, a value for the optical gap (Tauc gap) is determined. In this way non-direct optical transitions between approximately parabolic bands can be examined. In the last decades, a modification of this method for (poly-) crystalline semiconductors has become popular to study direct and indirect interband transitions. For this purpose, (ah &amp; nu;)n (n = 12$\frac{1}{2}$, 2) is plotted against h &amp; nu; to determine a value of the electronic bandgap. Due to the ease of performing UV-vis measurements, this method has nowadays become a standard to analyze various (poly-) crystalline solids, regardless of their different electronic structure. Although this leads partially to widely varying values of the respective bandgap of nominally identical materials, there is still no study that critically questions which peculiarities in the electronic structure prevent a use of the Tauc plot for (poly-) crystalline solids and to which material classes this applies. This study aims to close this gap by discussing the Tauc plot and its limiting factors for exemplary (poly-) crystalline solids with different electronic structures. The Tauc plot is probably the most commonly used method to determine the size of bandgaps. This perspective shows that, despite the establishment of this method, the Tauc plot should be used with caution, since various peculiarities in the electronic structure can prevent its application.image</t>
  </si>
  <si>
    <t>[Klein, Julian; Kampermann, Laura; Bacher, Gerd] Univ Duisburg Essen, Werkstoffe Elektrotech, Bismarckstr 81, D-47057 Duisburg, Germany; [Klein, Julian; Kampermann, Laura; Bacher, Gerd] Univ Duisburg Essen, CENIDE, Bismarckstr 81, D-47057 Duisburg, Germany; [Mockenhaupt, Benjamin; Behrens, Malte] Univ Duisburg Essen, Inst Inorgan Chem, Univ Str 7, D-45141 Essen, Germany; [Mockenhaupt, Benjamin; Behrens, Malte] Univ Duisburg Essen, CENIDE, Univ Str 7, D-45141 Essen, Germany; [Mockenhaupt, Benjamin] Delft Univ Technol, Catalysis Engn, Maasweg 9, NL-2629 HZ Delft, Netherlands; [Behrens, Malte] Christian Albrechts Univ Kiel, Inst Inorgan Chem, Max Eyth Str 2, D-24118 Kiel, Germany; [Strunk, Jennifer] Univ Rostock, Leibniz Inst Catalysis, Albert Einstein Str 29a, D-18059 Rostock, Germany</t>
  </si>
  <si>
    <t>University of Duisburg Essen; University of Duisburg Essen; University of Duisburg Essen; University of Duisburg Essen; Delft University of Technology; University of Kiel; Leibniz Institut fur Katalyse e.V. an der Universitat Rostock (LIKAT); University of Rostock</t>
  </si>
  <si>
    <t>Bacher, G (corresponding author), Univ Duisburg Essen, Werkstoffe Elektrotech, Bismarckstr 81, D-47057 Duisburg, Germany.;Bacher, G (corresponding author), Univ Duisburg Essen, CENIDE, Bismarckstr 81, D-47057 Duisburg, Germany.</t>
  </si>
  <si>
    <t>gerd.bacher@uni-due.de</t>
  </si>
  <si>
    <t>Behrens, Malte/A-3035-2017</t>
  </si>
  <si>
    <t>Behrens, Malte/0000-0003-3407-5011</t>
  </si>
  <si>
    <t>This work was funded by the Deutsche Forschungsgemeinschaft (DFG, German Research Foundation)-Project number 388390466-TRR 247-within the collaborative research center/transregio 247 Heterogeneous Oxidation Catalysis in the Liquid Phase (projects B3 and C1) and by the project BA 1422/24-1 Interlinking catalysts, mechanisms and reactor concepts for the conversion of dinitrogen by electrocatalytic, photocatalytic and photo electrocatalytic methods within the priority program SPP 2370.r Open access funding enabled and organized by Projekt DEAL.</t>
  </si>
  <si>
    <t>10.1002/adfm.202304523</t>
  </si>
  <si>
    <t>Q4SR2</t>
  </si>
  <si>
    <t>WOS:001057439700001</t>
  </si>
  <si>
    <t>Koudenburg, N; Kutlaca, M; Kuppens, T</t>
  </si>
  <si>
    <t>Koudenburg, Namkje; Kutlaca, Maja; Kuppens, Toon</t>
  </si>
  <si>
    <t>The experience and emergence of attitudinal consensus in conversations</t>
  </si>
  <si>
    <t>EUROPEAN JOURNAL OF SOCIAL PSYCHOLOGY</t>
  </si>
  <si>
    <t>attitude convergence; consensus; conversational flow; conversations; group dynamics; polarization</t>
  </si>
  <si>
    <t>MINORITY INFLUENCE; DECISION-MAKING; EGOCENTRIC BIAS; STEREOTYPES; INFORMATION; IDENTITY; COMMUNICATION; OPPOSITION; DYNAMICS; QUALITY</t>
  </si>
  <si>
    <t>Reaching consensus is important for human individual, social and societal functioning. The reverse process of polarization has been associated with individual uncertainty, social conflict and societal distrust, tension, or even schisms. In conversations, the experience of consensus is shaped by both content and aspects of the form of conversation, which indicate whether people are on the same wavelength. In two conversation studies (N = 268) we aimed (1) to examine where the conversational experience of consensus originates and (2) to test which conversational behaviours enhance attitude convergence between conversation partners. The results show that, although actual attitudinal differences were only predictive in Study 2, both conversational content (e.g., disagreement) and form (e.g., experience of flow) consistently predicted the experience of consensus. Convergence of attitudes was harder to predict: most conversational factors were unrelated to attitudinal convergence and conversational flow either increased or decreased attitudinal convergence depending on the particular context.</t>
  </si>
  <si>
    <t>[Koudenburg, Namkje] Univ Groningen, Social Psychol, Groningen, Netherlands; [Kutlaca, Maja] Univ Durham, Quantitat Social Psychol, Durham, England; [Kuppens, Toon] Univ Groningen, Org Psychol, Groningen, Netherlands; [Koudenburg, Namkje] Univ Groningen, Social Psychol, Grote Kruisstr 2-1, NL-9712TS Groningen, Netherlands</t>
  </si>
  <si>
    <t>University of Groningen; Durham University; University of Groningen; University of Groningen</t>
  </si>
  <si>
    <t>Koudenburg, N (corresponding author), Univ Groningen, Social Psychol, Grote Kruisstr 2-1, NL-9712TS Groningen, Netherlands.</t>
  </si>
  <si>
    <t>n.koudenburg@rug.nl</t>
  </si>
  <si>
    <t>Kuppens, Toon/B-8995-2013</t>
  </si>
  <si>
    <t>Kuppens, Toon/0000-0002-7056-4288</t>
  </si>
  <si>
    <t>We thank Iris Meinderts, Till Wippermann and Violetta Biermann for their assistance in coding the data. This work was partly financed by the Dutch Research Council (NWO), through grant number 451-17-011, granted to NK.; Dutch Research Council (NWO); [451-17-011]</t>
  </si>
  <si>
    <t>We thank Iris Meinderts, Till Wippermann and Violetta Biermann for their assistance in coding the data. This work was partly financed by the Dutch Research Council (NWO), through grant number 451-17-011, granted to NK.; Dutch Research Council (NWO)(Netherlands Organization for Scientific Research (NWO));</t>
  </si>
  <si>
    <t>We thank Iris Meinderts, Till Wippermann and Violetta Biermann for their assistance in coding the data. This work was partly financed by the Dutch Research Council (NWO), through grant number 451-17-011, granted to NK.</t>
  </si>
  <si>
    <t>0046-2772</t>
  </si>
  <si>
    <t>1099-0992</t>
  </si>
  <si>
    <t>EUR J SOC PSYCHOL</t>
  </si>
  <si>
    <t>Eur. J. Soc. Psychol.</t>
  </si>
  <si>
    <t>10.1002/ejsp.2992</t>
  </si>
  <si>
    <t>Q4MK1</t>
  </si>
  <si>
    <t>WOS:001057274500001</t>
  </si>
  <si>
    <t>Lu, BX; Xiao, TL; Zhang, CL; He, JW; Zhai, J</t>
  </si>
  <si>
    <t>Lu, Bingxin; Xiao, Tianliang; Zhang, Caili; He, Jianwei; Zhai, Jin</t>
  </si>
  <si>
    <t>Fast Ions Transportation in Nanochannel with ATPase-Like Structure</t>
  </si>
  <si>
    <t>covalent organic frameworks channels; fast ion transportation; ion mobility; molecular dynamics; transport activation energy</t>
  </si>
  <si>
    <t>COVALENT ORGANIC FRAMEWORKS; F-O SECTOR; FUNCTIONAL-GROUPS; ESCHERICHIA-COLI; PROTON TRANSPORT; CHANNELS; CRYSTALLINE; MECHANISM; EVOLUTION; MEMBRANES</t>
  </si>
  <si>
    <t>Ion transport plays an important role in various biological processes because of the ability of ions to move rapidly in biological ion channel-confined spaces. For example, rapid proton transport in ATPases is attributed to confined channel spaces and conjugated sites. According to molecular dynamics simulations, the confined spaces and conjugated sites in nanochannels can enhance ion transport. Herein, it is demonstrated that the ATPase-like structures of sulfonic acid-modified covalent organic framework nanochannels, which promote the formation of highly ordered and continuous water molecular chains and confined spaces, can support ion (H+, Li+, Na+, and K+) transport rates that are an order of magnitude higher than those of bulk water. The ion transport rates in the nanochannel are superior to those in other artificial channels. Moreover, the selectivity of cations in the nanochannel is evaluated using the diffusion potential with a concentration gradient. The simulations and experimental results demonstrate that confined spaces and conjugated sites are crucial for efficient ion transport in nanochannels modified by sulfonic acid groups as cation conductor materials. By mimicking the distribution of &amp; beta;-binding sites in the F1 region of ATPases, the NUS-9 channel to achieve rapid ion transport is exploited. Molecular dynamics simulations and experimental results demonstrate that high cation selectivity and transportation occur in the channel, which is attributed to the NUS-9 channel providing a continuous and confined space and conjugated sites.image &amp; COPY; 2023 WILEY-VCH GmbH</t>
  </si>
  <si>
    <t>[Lu, Bingxin; Xiao, Tianliang; Zhang, Caili; He, Jianwei; Zhai, Jin] Beihang Univ, Beijing Adv Innovat Ctr Biomed Engn, Key Lab Bioinspired Smart Interfacial Sci &amp; Tech, Sch Chem,Minist Educ, Beijing 100083, Peoples R China; [Xiao, Tianliang] Beihang Univ, Sch Energy &amp; Power Engn, Beijing 100191, Peoples R China</t>
  </si>
  <si>
    <t>Beihang University; Beihang University</t>
  </si>
  <si>
    <t>Zhai, J (corresponding author), Beihang Univ, Beijing Adv Innovat Ctr Biomed Engn, Key Lab Bioinspired Smart Interfacial Sci &amp; Tech, Sch Chem,Minist Educ, Beijing 100083, Peoples R China.</t>
  </si>
  <si>
    <t>zhaijin@buaa.edu.cn</t>
  </si>
  <si>
    <t>This work was supported by the National Natural Science Foundation (21975009).; National Natural Science Foundation; [21975009]</t>
  </si>
  <si>
    <t>This work was supported by the National Natural Science Foundation (21975009).(National Natural Science Foundation of China (NSFC)); National Natural Science Foundation(National Natural Science Foundation of China (NSFC));</t>
  </si>
  <si>
    <t>This work was supported by the National Natural Science Foundation (21975009).</t>
  </si>
  <si>
    <t>10.1002/sstr.202300190</t>
  </si>
  <si>
    <t>Q4SL0</t>
  </si>
  <si>
    <t>WOS:001057433500001</t>
  </si>
  <si>
    <t>Manoharan, M; Govindharaj, K; Muthumalai, K; Kumaravel, S; Haldorai, Y; Kumar, RTR</t>
  </si>
  <si>
    <t>Manoharan, Mathankumar; Govindharaj, Kamaraj; Muthumalai, Karuppasamy; Kumaravel, Sabarish; Haldorai, Yuvaraj; Kumar, Ramasamy Thangavelu Rajendra</t>
  </si>
  <si>
    <t>Interface Oxygen Vacancy-Enhanced Co3O4/WO3 Nanorod Heterojunction for Sub-ppm Level Detection of NOx</t>
  </si>
  <si>
    <t>gas sensors; metal oxides; nanostructures.; NOx; oxygen vacancy; p-n heterojunctions</t>
  </si>
  <si>
    <t>GAS-SENSING PROPERTIES; WO3 NANORODS; ELECTROCHROMIC PROPERTIES; VANADIUM PENTOXIDE; NIO NANOSHEETS; SENSOR; PERFORMANCE; NANOFIBERS; SURFACE; FILMS</t>
  </si>
  <si>
    <t>Herein, a cobalt oxide/tungsten oxide (Co3O4/WO3) p-n heterojunction for NOx detection is developed and optimized. Field-emission scanning electron microscopy shows that the WO3 nanorods are embellished with Co3O4 nanostructure. X-ray photoelectron spectroscopy reveals the presence of oxygen vacancy on the Co3O4 coupled with WO3 heterojunction. Compared to bare WO3 and pure Co3O4, the Co3O4/WO3 heterojunction sensor shows significant sensitivity to NOx at 200 degrees C. The sensor exhibits higher linearity from 0.4 to 10 ppm of NOx, with a sensing response of 4.4-93%. The NOx sensitivity of the Co3O4/WO3 heterojunction sensor is ninefold higher than that of the pure WO3 sensor. Even in a high humidity (84%) environment, the Co3O4/WO3 heterojunction sensor demonstrates high NOx sensitivity. The sensor maintains remarkable stability measured for up to 4 weeks. The possible NOx sensing mechanism of the Co3O4/WO3 heterojunction is additionally discussed.</t>
  </si>
  <si>
    <t>[Manoharan, Mathankumar; Govindharaj, Kamaraj; Muthumalai, Karuppasamy; Kumaravel, Sabarish; Haldorai, Yuvaraj; Kumar, Ramasamy Thangavelu Rajendra] Bharathiar Univ, Dept Nanosci &amp; Technol, Adv Mat &amp; Devices Lab AMDL, Coimbatore 641046, Tamilnadu, India; [Haldorai, Yuvaraj] Yeungnam Univ, Sch Chem Engn, Gyongsan 38541, Gyeonbuk, South Korea</t>
  </si>
  <si>
    <t>Bharathiar University; Yeungnam University</t>
  </si>
  <si>
    <t>Kumar, RTR (corresponding author), Bharathiar Univ, Dept Nanosci &amp; Technol, Adv Mat &amp; Devices Lab AMDL, Coimbatore 641046, Tamilnadu, India.</t>
  </si>
  <si>
    <t>rtrkumar@buc.edu.in</t>
  </si>
  <si>
    <t>Department of Science and Technology - Science and Engineering Research Board (DST-SERB), New Delhi, Government of India [EMR/2017/000300]; University Grants Commission- Inter-University Accelerator Centre (UGC-IUAC) [IUAC/XIII.7/UFR-64312]; University Grants Commission - Special Assistance Programme (UGC-SAP) [F.5-14/2016/DRS-1]; Fund for Improvement of Science &amp; Technology Infrastructure (DST-FIST); RUSA 2.0 - Bharathiar Cancer Theranostics Research Centre [BU/RUSA2.0/BCRTC-CD10]</t>
  </si>
  <si>
    <t>Department of Science and Technology - Science and Engineering Research Board (DST-SERB), New Delhi, Government of India; University Grants Commission- Inter-University Accelerator Centre (UGC-IUAC); University Grants Commission - Special Assistance Programme (UGC-SAP)(University Grants Commission, India); Fund for Improvement of Science &amp; Technology Infrastructure (DST-FIST); RUSA 2.0 - Bharathiar Cancer Theranostics Research Centre</t>
  </si>
  <si>
    <t>This study was supported by the Department of Science and Technology - Science and Engineering Research Board (DST-SERB), New Delhi, Government of India (sanction order no. EMR/2017/000300). The authors also acknowledge the University Grants Commission- Inter-University Accelerator Centre (UGC-IUAC, IUAC/XIII.7/UFR-64312), University Grants Commission - Special Assistance Programme (UGC-SAP, F.5-14/2016/DRS-1), and Fund for Improvement of Science &amp; Technology Infrastructure (DST-FIST) for furnishing characterization facilities at the Department of Nanoscience and Technology, Bharathiar University, Coimbatore, Tamil Nadu, India. In addition, RUSA 2.0 - Bharathiar Cancer Theranostics Research Centre also supported this work (BU/RUSA2.0/BCRTC-CD10).</t>
  </si>
  <si>
    <t>10.1002/adem.202300727</t>
  </si>
  <si>
    <t>Q9DQ5</t>
  </si>
  <si>
    <t>WOS:001060454900001</t>
  </si>
  <si>
    <t>Oliveira, LM; de Oliveira, CA; Angst, PDM; Antoniazzi, RP; Zanatta, FB</t>
  </si>
  <si>
    <t>Oliveira, Leandro Machado; de Oliveira, Cicero Anghinoni; Angst, Patricia Daniela Melchiors; Antoniazzi, Raquel Pippi; Zanatta, Fabricio Batistin</t>
  </si>
  <si>
    <t>Should supragingival scaling be performed separately prior to subgingival scaling and root planning in nonsurgical periodontal therapy? A systematic review of randomized trials</t>
  </si>
  <si>
    <t>dental scaling; meta-analysis; periodontal debridement; root planning; systematic review</t>
  </si>
  <si>
    <t>MECHANICAL PLAQUE REMOVAL; DISEASES; PAIN; METAANALYSIS; PREVENTION</t>
  </si>
  <si>
    <t>ObjectiveTo systematically evaluate randomized controlled trials (RCTs), with at least 6 months of follow-up, on whether professional mechanical plaque removal (PMPR) including supragingival scaling should be performed prior and separately from subgingival scaling and root planning (SRP) in nonsurgical periodontal therapy (NSPT), in terms of clinical and patient-reported outcomes (PROs) (CRD42020219759).MethodsThe MEDLINE, EMBASE, CENTRAL, LILACS and Web of Science electronic databases, as well as grey literature sources, were searched by two independent reviewers up to May 2023. The Cochrane Collaboration's Risk of Bias tool (RoB 2.0) was used for quality appraisal and GRADE for assessing the certainty of evidence. Random-effects pairwise meta-analyses compared the changes in probing pocket depth (PPD), clinical attachment loss (CAL), and bleeding on probing (BoP) of a stepwise NSPT approach (PMPR prior and separately from SRP) and conventional one-step NSPT through mean differences (MDs) and associated confidence intervals (95% CI).ResultsTwo RCTs were included, including data of 77 participants with severe periodontitis. One RCT presents high risk of bias and the other has some concerns. No significant differences were found between the stepwise approach and performing both steps simultaneously for any clinical outcomes, with overall very low certainty on evidence. No adverse effects were detected and there was no data on PROs.ConclusionsThere is very-low certainty evidence of no significant difference on PPD and BoP reductions and CAL gain between supragingival scaling performed prior and separately from SRP and conventional one-step NSPT.</t>
  </si>
  <si>
    <t>[Oliveira, Leandro Machado; de Oliveira, Cicero Anghinoni; Antoniazzi, Raquel Pippi; Zanatta, Fabricio Batistin] Univ Fed Santa Maria UFSM, Dept Stomatol, Postgrad Program Dent, Emphasis Periodont, Ave Roraima 1000,Predio 26F,Cidade Univ, BR-97015900 Santa Maria, RS, Brazil; [Oliveira, Leandro Machado; Antoniazzi, Raquel Pippi; Zanatta, Fabricio Batistin] Fed Univ Santa Maria UFSM, Sch Dent, Dept Stomatol, Santa Maria, Brazil; [Angst, Patricia Daniela Melchiors] Univ Fed Rio Grande do Sul, Dent Sch, Dept Conservat Dent, Porto Alegre, Brazil</t>
  </si>
  <si>
    <t>Universidade Federal de Santa Maria (UFSM); Universidade Federal de Santa Maria (UFSM); Universidade Federal do Rio Grande do Sul</t>
  </si>
  <si>
    <t>Zanatta, FB (corresponding author), Univ Fed Santa Maria UFSM, Dept Stomatol, Postgrad Program Dent, Emphasis Periodont, Ave Roraima 1000,Predio 26F,Cidade Univ, BR-97015900 Santa Maria, RS, Brazil.</t>
  </si>
  <si>
    <t>fabriciobzanatta@gmail.com</t>
  </si>
  <si>
    <t>Oliveira, Leandro Machado/AAN-8587-2020</t>
  </si>
  <si>
    <t>Oliveira, Leandro Machado/0000-0003-3706-5687</t>
  </si>
  <si>
    <t>Conselho Nacional de Desenvolvimento Cientifico e Tecnologico (CNPq [National Council of Scientific and Technological Development] [160262/2020-8]</t>
  </si>
  <si>
    <t>Conselho Nacional de Desenvolvimento Cientifico e Tecnologico (CNPq [National Council of Scientific and Technological Development](Conselho Nacional de Desenvolvimento Cientifico e Tecnologico (CNPQ))</t>
  </si>
  <si>
    <t>This study was partially supported by Conselho Nacional de Desenvolvimento Cientifico e Tecnologico (CNPq [National Council of Scientific and Technological Development] Grant number: 160262/2020-8).</t>
  </si>
  <si>
    <t>10.1111/idh.12731</t>
  </si>
  <si>
    <t>Q5GB5</t>
  </si>
  <si>
    <t>WOS:001057792700001</t>
  </si>
  <si>
    <t>Oral, N; Basal, G</t>
  </si>
  <si>
    <t>Oral, Nur; Basal, Guldemet</t>
  </si>
  <si>
    <t>Smart Antifouling and Self-Cleaning Membrane for Effective Oil/Water Separation</t>
  </si>
  <si>
    <t>MACROMOLECULAR CHEMISTRY AND PHYSICS</t>
  </si>
  <si>
    <t>CA nanofibers; oil-water emulsion separation; PNIPAM hydrogel; self-cleaning ability</t>
  </si>
  <si>
    <t>WATER; FABRICATION; WETTABILITY; MORPHOLOGY</t>
  </si>
  <si>
    <t>A novel membrane consisting of cellulose acetate (CA) nanofibers and poly(N-isopropylacrylamide) (PNIPAM) microparticles is successfully fabricated by simultaneous electrospinning and electrospraying. The CA/PNIPAM membrane has highly effective gravity-driven separation performances for both oil/water mixtures and oil-in-water emulsions. It separates oil droplets from oil-in-water mixtures and oil-water emulsions with rejection rates of 99.83% and 96%, respectively. In order to examine the contribution of PNIPAM particles, the performance of the CA/PNIPAM membrane is compared with the CA membrane. Increased hydrophilicity due to the inclusion of the PNIPAM particles between CA nanofibers results in a higher rejection ratio and superior antifouling performance. While the CA membrane becomes unusable after 10 cycles during the separation of the oil-water emulsion, the CA/PNIPAM membrane is still in good shape after 20 cycles. The self-cleaning ability of the membrane is examined through the permeation flux below and above the lower critical solution temperature (LCST) of PNIPAM. The reversible thermo-responsive flux variation proves that the pore sizes increase at temperatures above the LCST of PNIPAM. Moreover, when the lubricating oil-water emulsion is filtered through the membrane, the permeate changes from clear to turbid due to the nonretained oil particles as the temperature passes through the LCST. A novel cellulose acetate/poly(N-isopropylacrylamide (CA/PNIPAM) membrane, created by simultaneous electrospinning and electrospraying, effectively separates oil/water mixtures and emulsions. It demonstrates rejection rates of 99.83% and 96% for oil droplets in oil-in-water mixtures and emulsions, respectively. Additionally, the membrane's self-cleaning ability is proven by reversible thermo-responsive flux changes above PNIPAM's lower critical solution temperature, indicating pore expansion.image</t>
  </si>
  <si>
    <t>[Oral, Nur] Ege Univ, Dept Endocrinol, TR-35040 Bornova, Izmir, Turkiye; [Basal, Guldemet] Ege Univ, Dept Text Engn, Dept Text Engn, TR-35040 Bornova, Izmir, Turkiye</t>
  </si>
  <si>
    <t>Ege University; Ege University</t>
  </si>
  <si>
    <t>Basal, G (corresponding author), Ege Univ, Dept Text Engn, Dept Text Engn, TR-35040 Bornova, Izmir, Turkiye.</t>
  </si>
  <si>
    <t>guldemet.basal@ege.edu.tr</t>
  </si>
  <si>
    <t>This work was supported by the Scientific and Technological Research Council of Turkey (TUBITAK) with project number 119M355.; Scientific and Technological Research Council of Turkey (TUBITAK); [119M355]</t>
  </si>
  <si>
    <t>This work was supported by the Scientific and Technological Research Council of Turkey (TUBITAK) with project number 119M355.(Turkiye Bilimsel ve Teknolojik Arastirma Kurumu (TUBITAK)); Scientific and Technological Research Council of Turkey (TUBITAK)(Turkiye Bilimsel ve Teknolojik Arastirma Kurumu (TUBITAK));</t>
  </si>
  <si>
    <t>This work was supported by the Scientific and Technological Research Council of Turkey (TUBITAK) with project number 119M355.</t>
  </si>
  <si>
    <t>1022-1352</t>
  </si>
  <si>
    <t>1521-3935</t>
  </si>
  <si>
    <t>MACROMOL CHEM PHYS</t>
  </si>
  <si>
    <t>Macromol. Chem. Phys.</t>
  </si>
  <si>
    <t>10.1002/macp.202300239</t>
  </si>
  <si>
    <t>Q4TB0</t>
  </si>
  <si>
    <t>WOS:001057449500001</t>
  </si>
  <si>
    <t>Peterson, R; Bruti, C; Doraiswamy, V; Hall, AM</t>
  </si>
  <si>
    <t>Peterson, Rachel; Bruti, Christopher; Doraiswamy, Vignesh; Hall, Alan M.</t>
  </si>
  <si>
    <t>Improving the adult hospital experience: Reducing trauma with pediatric pearls</t>
  </si>
  <si>
    <t>JOURNAL OF HOSPITAL MEDICINE</t>
  </si>
  <si>
    <t>SLEEP</t>
  </si>
  <si>
    <t>[Peterson, Rachel] Univ Cincinnati, Dept Internal Med, Cincinnati, OH USA; [Peterson, Rachel] Univ Cincinnati, Dept Pediat, Cincinnati, OH USA; [Bruti, Christopher] Rush Med Coll, Dept Internal Med, Chicago, IL USA; [Bruti, Christopher] Rush Med Coll, Dept Pediat, Chicago, IL USA; [Doraiswamy, Vignesh] Ohio State Univ, Dept Internal Med &amp; Pediat, Coll Med, Columbus, OH USA; [Hall, Alan M.] Univ Kentucky, Coll Med, Dept Internal Med, Lexington, KY USA; [Hall, Alan M.] Univ Kentucky, Dept Pediat, Coll Med Lexington, Lexington, KY USA; [Hall, Alan M.] Univ Kentuck, Dept Internal Med, Coll Med Lexington, William R Willard Med Educ Bldg,MN 104D, Lexington, KY 40536 USA; [Hall, Alan M.] Univ Kentucky, Dept Pediat, Coll Med Lexington, William R Willard Med Educ Bldg,MN 104D, Lexington, KY 40536 USA</t>
  </si>
  <si>
    <t>University System of Ohio; University of Cincinnati; University System of Ohio; University of Cincinnati; Rush University; Rush University; University System of Ohio; Ohio State University; University of Kentucky; University of Kentucky; University of Kentucky; University of Kentucky</t>
  </si>
  <si>
    <t>Hall, AM (corresponding author), Univ Kentuck, Dept Internal Med, Coll Med Lexington, William R Willard Med Educ Bldg,MN 104D, Lexington, KY 40536 USA.;Hall, AM (corresponding author), Univ Kentucky, Dept Pediat, Coll Med Lexington, William R Willard Med Educ Bldg,MN 104D, Lexington, KY 40536 USA.</t>
  </si>
  <si>
    <t>alan.hall@uky.edu</t>
  </si>
  <si>
    <t>Peterson, Rachel/0000-0002-1947-3073; Doraiswamy, Vignesh/0000-0002-5908-2974</t>
  </si>
  <si>
    <t>JOHN WILEY &amp; SONS INC</t>
  </si>
  <si>
    <t>Hoboken</t>
  </si>
  <si>
    <t>111 River St., Hoboken, NJ, UNITED STATES</t>
  </si>
  <si>
    <t>1553-5592</t>
  </si>
  <si>
    <t>1553-5606</t>
  </si>
  <si>
    <t>J HOSP MED</t>
  </si>
  <si>
    <t>J. Hosp. Med.</t>
  </si>
  <si>
    <t>10.1002/jhm.13196</t>
  </si>
  <si>
    <t>Q9XF0</t>
  </si>
  <si>
    <t>WOS:001060966100001</t>
  </si>
  <si>
    <t>Therrien, MC; Rueda, GM; Normandin, JM; Veillette, S; Chelihi, M; Arnaud, J</t>
  </si>
  <si>
    <t>Therrien, Marie-Christine; Manrique Rueda, Gabriela; Normandin, Julie-Maude; Veillette, Sandrine; Chelihi, Morgan; Arnaud, Joris</t>
  </si>
  <si>
    <t>The common operating picture as a collaborative governance tool for urban resilience</t>
  </si>
  <si>
    <t>JOURNAL OF CONTINGENCIES AND CRISIS MANAGEMENT</t>
  </si>
  <si>
    <t>collaborative governance; common operating picture; resilience</t>
  </si>
  <si>
    <t>INTERORGANIZATIONAL COORDINATION; ORGANIZATIONS; MANAGEMENT</t>
  </si>
  <si>
    <t>Through analysis of the narratives of participants to the London Common Operating Picture (COP), this study discusses the information warehouse and the trading zone theoretical perspectives on the COP that consider it, respectively, as an information system to share common information on a crisis or as a relational space of learning in which common meanings enable decision-making and coordination. The trading zone approach has started to examine its role as a coordination tool, but there is little empirical research on how it can foster network's collaboration. Through an exploration of the COP participants' positions as boundary spanners, this study puts forward the trading zone perspective, showing that in London it has become a regular mechanism of collaboration and coordination. It argues that boundary spanners operate at multiple boundaries that enable network's collaboration and coordination, and the relational character of the COP create bonds of trust that foster collaboration and common understandings on the role of communication, collaboration, information sharing, and coordination for the security of all. We show that the COP is a relational space that creates a sense of belonging to a common community of security that believes in the role of networks' information sharing and collaboration for urban resilience.</t>
  </si>
  <si>
    <t>[Therrien, Marie-Christine; Manrique Rueda, Gabriela; Normandin, Julie-Maude; Veillette, Sandrine; Chelihi, Morgan; Arnaud, Joris] Ecole Natl Adm Publ, 4750 Ave Henri Julien,5e Etage, Montreal, PQ H2T 3E5, Canada</t>
  </si>
  <si>
    <t>University of Quebec; Ecole National Administration Publique Canada</t>
  </si>
  <si>
    <t>Therrien, MC (corresponding author), Ecole Natl Adm Publ, 4750 Ave Henri Julien,5e Etage, Montreal, PQ H2T 3E5, Canada.</t>
  </si>
  <si>
    <t>marie-christine.therrien@enap.ca</t>
  </si>
  <si>
    <t>Ecole nationale d'administration publique</t>
  </si>
  <si>
    <t>0966-0879</t>
  </si>
  <si>
    <t>1468-5973</t>
  </si>
  <si>
    <t>J CONTING CRISIS MAN</t>
  </si>
  <si>
    <t>J. Cont. Crisis Manag.</t>
  </si>
  <si>
    <t>10.1111/1468-5973.12500</t>
  </si>
  <si>
    <t>Q5HF7</t>
  </si>
  <si>
    <t>WOS:001057822900001</t>
  </si>
  <si>
    <t>Zhao, ML; Wang, XH; Zhang, SP; Cheng, L</t>
  </si>
  <si>
    <t>Zhao, Meilin; Wang, Xiaohong; Zhang, Shaopeng; Cheng, Lei</t>
  </si>
  <si>
    <t>Business strategy and environmental information disclosure from a Confucian cultural perspective: Evidence from China</t>
  </si>
  <si>
    <t>BUSINESS STRATEGY AND THE ENVIRONMENT</t>
  </si>
  <si>
    <t>business strategy; Confucian culture; environmental information disclosure; environmental uncertainty; legal supervision; sustainable development</t>
  </si>
  <si>
    <t>CORPORATE SOCIAL-RESPONSIBILITY; PERFORMANCE; COMPANIES; GOVERNANCE; MANAGEMENT; IMPACT; TRANSPARENCY; UNCERTAINTY; LEVEL</t>
  </si>
  <si>
    <t>Based on social contract theory, this study investigates the impact of business strategy on environmental information disclosure from an informal institutional perspective. Using empirical data from a panel of Chinese listed A-share firms in Shanghai and Shenzhen from 2010 to 2020, we demonstrate that firms following prospector strategies have higher levels of environmental information disclosure compared to those following defender strategies. Our findings also reveal that Confucian culture positively moderates the relationship between business strategy and environmental information disclosure. Specifically, we find that when environmental uncertainty increases, the moderating effect of Confucian culture weakens, while effective legal supervision strengthens the positive moderating effect of Confucian culture. Additionally, our results show that business strategy affects environmental information disclosure through the dual channels of economic benefits contract and social recognition contract. Overall, this research provides valuable insights for corporate sustainable development and effective government environmental governance.</t>
  </si>
  <si>
    <t>[Zhao, Meilin; Wang, Xiaohong; Cheng, Lei] Harbin Inst Technol, Sch Management, Harbin, Peoples R China; [Wang, Xiaohong; Zhang, Shaopeng] Northeast Forestry Univ, Sch Econ &amp; Management, Harbin, Peoples R China</t>
  </si>
  <si>
    <t>Harbin Institute of Technology; Northeast Forestry University - China</t>
  </si>
  <si>
    <t>Wang, XH (corresponding author), Harbin Inst Technol, Sch Management, Harbin, Peoples R China.</t>
  </si>
  <si>
    <t>hitwangxh@163.com</t>
  </si>
  <si>
    <t>This paper received funding from the Fundamental Research Funds for the Central Universities (Project Number: HIT.HSS.202102) and the National Natural Science Foundation of China (Project Number: 71874042). [71874042]; Fundamental Research Funds for the Central Universities; National Natural Science Foundation of China; [HIT.HSS.202102]</t>
  </si>
  <si>
    <t>This paper received funding from the Fundamental Research Funds for the Central Universities (Project Number: HIT.HSS.202102) and the National Natural Science Foundation of China (Project Number: 71874042).; Fundamental Research Funds for the Central Universities(Fundamental Research Funds for the Central Universities); National Natural Science Foundation of China(National Natural Science Foundation of China (NSFC));</t>
  </si>
  <si>
    <t>This paper received funding from the Fundamental Research Funds for the Central Universities (Project Number: HIT.HSS.202102) and the National Natural Science Foundation of China (Project Number: 71874042).</t>
  </si>
  <si>
    <t>0964-4733</t>
  </si>
  <si>
    <t>1099-0836</t>
  </si>
  <si>
    <t>BUS STRATEG ENVIRON</t>
  </si>
  <si>
    <t>Bus. Strateg. Environ.</t>
  </si>
  <si>
    <t>10.1002/bse.3558</t>
  </si>
  <si>
    <t>Business; Environmental Studies; Management</t>
  </si>
  <si>
    <t>Business &amp; Economics; Environmental Sciences &amp; Ecology</t>
  </si>
  <si>
    <t>Q4VZ1</t>
  </si>
  <si>
    <t>WOS:001057526500001</t>
  </si>
  <si>
    <t>Zhao, YT; Xiang, JL; He, A; He, Y; Guo, XH; Su, YK</t>
  </si>
  <si>
    <t>Zhao, Yaotian; Xiang, Jinlong; He, An; He, Yu; Guo, Xuhan; Su, Yikai</t>
  </si>
  <si>
    <t>Metamaterial-enabled Fully On-Chip Polarization-Handling Devices</t>
  </si>
  <si>
    <t>metamaterials; polarization manipulation; silicon photonics</t>
  </si>
  <si>
    <t>HIGH-EXTINCTION-RATIO; BEAM SPLITTER; PASS POLARIZER; ROTATOR; COMPACT; REALIZATION; LENGTH</t>
  </si>
  <si>
    <t>Polarization manipulation is essential in photonic integrated circuits and has numerous applications in various fields, such as optical communication, nonlinear optics, and quantum optics. Advances in nanofabrication have enabled the integration of subwavelength-structured metamaterials on optical waveguides, providing unprecedented optical manipulation capabilities beyond classical waveguide-based architectures. In this paper, the polarization space is demonstrated to be fully manipulated by a dielectric metamaterial composed of nanoholes and nanoslots. This approach offers competitive performances for key polarization components, including the polarizer, polarization beam splitter, and polarization-splitter-rotator, while maintaining ultra-compact coupling regions of 18x1 &amp; mu;m2, 16x1.1 &amp; mu;m2, and 13x1 &amp; mu;m2 respectively. The devices are designed by manipulating the phase and amplitude of all possible eigenmodes supported in the waveguide, which is inherently scalable and versatile for on-chip mode and wavefront manipulation. The unique properties of metamaterials provide powerful tools for on-chip polarization manipulation and offer new possibilities for the development of compact and high-performance photonic integrated circuits. The metamaterial-assisted polarization-handling devices have demonstrated full control over the polarization state of light with competitive performance and ultra-compact footprints. Polarization-manipulating devices including the polarizer, polarization beam splitter, and polarization-splitter-rotator, with compact waveguide lengths of 18, 16, and 13 &amp; mu;m, respectively, are demonstrated with low insertion losses and high extinction ratio.image</t>
  </si>
  <si>
    <t>[Zhao, Yaotian; Xiang, Jinlong; He, An; He, Yu; Guo, Xuhan; Su, Yikai] Shanghai Jiao Tong Univ, Dept Elect Engn, State Key Lab Adv Opt Commun Syst &amp; Networks, Shanghai 200240, Peoples R China</t>
  </si>
  <si>
    <t>Shanghai Jiao Tong University</t>
  </si>
  <si>
    <t>Guo, XH (corresponding author), Shanghai Jiao Tong Univ, Dept Elect Engn, State Key Lab Adv Opt Commun Syst &amp; Networks, Shanghai 200240, Peoples R China.</t>
  </si>
  <si>
    <t>guoxuhan@sjtu.edu.cn</t>
  </si>
  <si>
    <t>Guo, Xuhan/JFK-0496-2023</t>
  </si>
  <si>
    <t>Guo, Xuhan/0000-0002-4891-0201</t>
  </si>
  <si>
    <t>This work was financially supported by the National Key Ramp;amp;D Program of China (2021YFB2801903) and the Natural Science Foundation of China (NSFC) (62175151, 62105202, and 61835008). The authors also thank the Center for Advanced Electronic Materials [62175151]; National Key Ramp;amp;D Program of China [62105202, 61835008]; Natural Science Foundation of China (NSFC); Center for Advanced Electronic Materials and Devices (AEMD) of Shanghai Jiao Tong University (SJTU); Tianjin H-chip Technology Group Corporation; [2021YFB2801903]</t>
  </si>
  <si>
    <t>This work was financially supported by the National Key Ramp;amp;D Program of China (2021YFB2801903) and the Natural Science Foundation of China (NSFC) (62175151, 62105202, and 61835008). The authors also thank the Center for Advanced Electronic Materials; National Key Ramp;amp;D Program of China; Natural Science Foundation of China (NSFC)(National Natural Science Foundation of China (NSFC)); Center for Advanced Electronic Materials and Devices (AEMD) of Shanghai Jiao Tong University (SJTU); Tianjin H-chip Technology Group Corporation;</t>
  </si>
  <si>
    <t>This work was financially supported by the National Key R &amp; amp;D Program of China (2021YFB2801903) and the Natural Science Foundation of China (NSFC) (62175151, 62105202, and 61835008). The authors also thank the Center for Advanced Electronic Materials and Devices (AEMD) of Shanghai Jiao Tong University (SJTU) and Tianjin H-chip Technology Group Corporation for their support in device fabrication.</t>
  </si>
  <si>
    <t>10.1002/lpor.202300320</t>
  </si>
  <si>
    <t>Q4SK4</t>
  </si>
  <si>
    <t>WOS:001057432900001</t>
  </si>
  <si>
    <t>Arbona, DV; Cowgill, LD; Press, S; Dufayet, C; Istvan, S</t>
  </si>
  <si>
    <t>Arbona, Diana Victoria; Cowgill, Larry D.; Press, Saya; Dufayet, Cedric; Istvan, Stephanie</t>
  </si>
  <si>
    <t>5-Hydroxytryptophan toxicity successfully treated by haemodialysis in a dog</t>
  </si>
  <si>
    <t>VETERINARY MEDICINE AND SCIENCE</t>
  </si>
  <si>
    <t>5-hydroxytryptophan; haemodialysis; extracorporeal; serotonin syndrome</t>
  </si>
  <si>
    <t>SEROTONIN SYNDROME; PHARMACOKINETICS</t>
  </si>
  <si>
    <t>ObjectiveTo describe a case of 5-hydroxytryptophan (5-HTP) toxicity successfully treated with haemodialysis in a dog.Case SummaryA 3-year-old, male neutered Labrador Retriever, weighing 28.2 kg, presented to the emergency department approximately 4-5 h after ingesting a human supplement containing 200 mg of 5-HTP. The amount of 5-HTP ingested was estimated between 980 and 1988 mg (35-71 mg/kg). At presentation, the dog demonstrated progressive neurologic abnormalities consistent with serotonin syndrome, including altered mentation and ataxia. Due to the magnitude of the ingested dose and progression of clinical signs, extracorporeal blood purification with intermittent haemodialysis was chosen to expedite clearance of 5-HTP. High-efficiency haemodialysis was initiated, and the dog showed continued clinical improvement throughout the 5-h treatment. Clinical signs resolved completely within 12 h. Sequential blood and urine samples were obtained to document levels of both 5-HTP and serotonin. The dog was discharged 24 h after presentation with complete resolution of clinical signs.New or Unique InformationThis is the first report documenting the serial changes in 5-HTP concentrations during treatment with haemodialysis. A 3-year-old, male neutered Labrador Retriever, weighing 28.2 kg, presented to the emergency department approximately 4-5 h after ingesting a human supplement containing 200 mg of 5-hydroxytryptophan (5-HTP). At presentation, the dog demonstrated progressive neurologic abnormalities consistent with serotonin syndrome, and high-efficiency haemodialysis was initiated as treatment. The dog showed continued clinical improvement throughout the 5-h treatment. To the authors' knowledge, this is the first report documenting the serial changes in 5-HTP concentrations during treatment with haemodialysis.image</t>
  </si>
  <si>
    <t>[Arbona, Diana Victoria; Press, Saya; Istvan, Stephanie] Vet Specialty Hosp Ethos Vet Hlth, San Diego, CA 92121 USA; [Cowgill, Larry D.; Dufayet, Cedric] UC Vet Med Ctr San Diego, Adv Extracorporeal &amp; Urinary Dis Serv, Urinary Dis Serv, San Diego, CA USA; [Arbona, Diana Victoria] Vet Specialty Hosp, 10435 Sorrento Valley Rd, San Diego, CA 92121 USA</t>
  </si>
  <si>
    <t>Arbona, DV (corresponding author), Vet Specialty Hosp, 10435 Sorrento Valley Rd, San Diego, CA 92121 USA.</t>
  </si>
  <si>
    <t>vyctorya1084@gmail.com</t>
  </si>
  <si>
    <t>The authors would like to thank the K.L. Maddy Analytical Pharmacology Lab of the University of California School of Veterinary Medicine and Heather Knych for her laboratory contribution to the findings in this report.; K.L. Maddy Analytical Pharmacology Lab of the University of California School of Veterinary Medicine</t>
  </si>
  <si>
    <t>The authors would like to thank the K.L. Maddy Analytical Pharmacology Lab of the University of California School of Veterinary Medicine and Heather Knych for her laboratory contribution to the findings in this report.</t>
  </si>
  <si>
    <t>2053-1095</t>
  </si>
  <si>
    <t>VET MED SCI</t>
  </si>
  <si>
    <t>Vet. Med. Sci.</t>
  </si>
  <si>
    <t>2023 SEP 2</t>
  </si>
  <si>
    <t>10.1002/vms3.1253</t>
  </si>
  <si>
    <t>Q3XD0</t>
  </si>
  <si>
    <t>WOS:001056872200001</t>
  </si>
  <si>
    <t>Cheng, J; Zhao, LY; Wang, YX; Chen, YL; Huang, N; Zhou, RK; Li, L</t>
  </si>
  <si>
    <t>Cheng, Ji; Zhao, Lingyun; Wang, Yixin; Chen, Yuling; Huang, Nan; Zhou, Runke; Li, Li</t>
  </si>
  <si>
    <t>Exon 8 deletion of KRT5 in epidermolysis bullosa simplex with mottled pigmentation: A case report</t>
  </si>
  <si>
    <t>[Cheng, Ji; Zhao, Lingyun; Wang, Yixin; Chen, Yuling; Huang, Nan; Zhou, Runke; Li, Li] Sichuan Univ, West China Hosp, Dept Dermatol, Chengdu, Peoples R China; [Li, Li] Sichuan Univ, West China Hosp, Ctr Cosmet Evaluat, Chengdu, Peoples R China; [Li, Li] Engn Technol Res Ctr Cosmet Sichuan, Chengdu, Sichuan, Peoples R China; [Li, Li] Sichuan Univ, West China Hosp, Dept Dermatol, 37 Guo Xue Xiang, Chengdu 610041, Sichuan, Peoples R China</t>
  </si>
  <si>
    <t>Sichuan University; Sichuan University; Sichuan University</t>
  </si>
  <si>
    <t>Li, L (corresponding author), Sichuan Univ, West China Hosp, Dept Dermatol, 37 Guo Xue Xiang, Chengdu 610041, Sichuan, Peoples R China.</t>
  </si>
  <si>
    <t>lilihx_scu@scu.edu.cn</t>
  </si>
  <si>
    <t>National Key Scientific Instrument and Equipment Development Projects of China [2022YFF0711100]</t>
  </si>
  <si>
    <t>National Key Scientific Instrument and Equipment Development Projects of China</t>
  </si>
  <si>
    <t>This work was financially supported by the National Key Scientific Instrument and Equipment Development Projects of China during the 14th Five-year Plan Period (Grant No. 2022YFF0711100).</t>
  </si>
  <si>
    <t>10.1111/1346-8138.16921</t>
  </si>
  <si>
    <t>Q8KC9</t>
  </si>
  <si>
    <t>WOS:001059946600001</t>
  </si>
  <si>
    <t>Davoine, T</t>
  </si>
  <si>
    <t>Davoine, Thomas</t>
  </si>
  <si>
    <t>Flexicurity, education and optimal labour market policies</t>
  </si>
  <si>
    <t>LABOUR-ENGLAND</t>
  </si>
  <si>
    <t>UNEMPLOYMENT-INSURANCE; EMPLOYMENT PROTECTION; INEQUALITY; BENEFITS; DESIGN; IMPACT</t>
  </si>
  <si>
    <t>The paper provides a theoretical rationale for flexicurity policies, consisting of low employment protection, generous unemployment insurance and active labour market programmes. Education efforts give access to high productivity firms, more likely to survive and thus exposing less their workers to unemployment risk. Activation programmes support reallocation from risky and unproductive to safer and more productive firms, reducing unemployment. Low employment protection can provide incentives for self-insurance against unemployment risk through education, mitigating the moral hazard cost of unemployment insurance and activation programmes. The paper identifies conditions for flexicurity to be optimal and confronts theoretical predictions to the data.</t>
  </si>
  <si>
    <t>[Davoine, Thomas] Univ Appl Sci Western Switzerland, HES SO, EHL, Lausanne, Switzerland; [Davoine, Thomas] Univ Appl Sci Western Switzerland EHL, HES SO, Route Cojonnex 18, CH-1000 Lausanne, Switzerland</t>
  </si>
  <si>
    <t>University of Applied Sciences &amp; Arts Western Switzerland; University of Applied Sciences &amp; Arts Western Switzerland</t>
  </si>
  <si>
    <t>Davoine, T (corresponding author), Univ Appl Sci Western Switzerland EHL, HES SO, Route Cojonnex 18, CH-1000 Lausanne, Switzerland.</t>
  </si>
  <si>
    <t>thomas.davoine@ehl.ch</t>
  </si>
  <si>
    <t>For useful comments on this and previous versions of the paper, I am grateful to two anonymous referees, Christian Keuschnigg, Martin Kolmar, Volker Grossmann and participants in seminars at the Universities of Dortmund, Munich and St. Gallen, as well as p</t>
  </si>
  <si>
    <t>For useful comments on this and previous versions of the paper, I am grateful to two anonymous referees, Christian Keuschnigg, Martin Kolmar, Volker Grossmann and participants in seminars at the Universities of Dortmund, Munich and St. Gallen, as well as participants at the L. A. Gerard-Varet conference in Marseille.</t>
  </si>
  <si>
    <t>1121-7081</t>
  </si>
  <si>
    <t>1467-9914</t>
  </si>
  <si>
    <t>LABOUR-ENGL</t>
  </si>
  <si>
    <t>Labour-Engl.</t>
  </si>
  <si>
    <t>10.1111/labr.12255</t>
  </si>
  <si>
    <t>Industrial Relations &amp; Labor</t>
  </si>
  <si>
    <t>Q3EX3</t>
  </si>
  <si>
    <t>WOS:001056389400001</t>
  </si>
  <si>
    <t>Smets, NG; Strijkers, GJ; Vinje, V; Bakker, ENTP</t>
  </si>
  <si>
    <t>Smets, Nina G.; Strijkers, Gustav J.; Vinje, Vegard; Bakker, Erik N. T. P.</t>
  </si>
  <si>
    <t>Cerebrospinal fluid turnover as a driver of brain clearance</t>
  </si>
  <si>
    <t>NMR IN BIOMEDICINE</t>
  </si>
  <si>
    <t>brain; cerebrospinal fluid; glymphatic system; MRI; perivascular spaces</t>
  </si>
  <si>
    <t>INTERSTITIAL FLUID; GLYMPHATIC PATHWAY; IMPAIRMENT; SYSTEM; MRI; FLOW; OSCILLATIONS; ANESTHESIA; PHYSIOLOGY; MECHANISM</t>
  </si>
  <si>
    <t>Cerebrospinal fluid (CSF) has historically been considered to function as a sink for brain-derived waste disposal. Recent work suggested that CSF interacts even more intensely with brain tissue than previously recognized, through perivascular spaces that penetrate the brain. Cardiac pulsations, vasomotion, and respiration have been suggested to drive CSF flow in these perivascular spaces, thereby enhancing waste clearance. However, the intrinsic role of CSF production in relation to its distribution volume (turnover) is not an explicit component of recent concepts on brain clearance. Here, we review the work on CSF turnover and volume, focusing on preclinical evidence. Herein, we highlight the use of MRI in establishing CSF-related parameters. We describe the impact of sleep, effect of anesthesia, aging, and hypertension on CSF turnover, and how this relates to brain clearance. Evaluation of the available evidence suggests that CSF turnover is a major determinant in brain clearance. In addition, we propose that several putative drivers of brain clearance, but also conditions associated with impaired clearance, such as aging, may actually relate to altered CSF turnover. Several factors, such as sleep, aging, circadian rhythms, and hypertension, can impact CSF turnover, thereby affecting brain clearance. We propose CSF turnover as an important driver of brain clearance, and impaired clearance might be related to alterations in CSF turnover.image</t>
  </si>
  <si>
    <t>[Smets, Nina G.; Bakker, Erik N. T. P.] Univ Amsterdam, Locat AMC, Med Ctr, Dept Biomed Engn &amp; Phys, Amsterdam, Netherlands; [Smets, Nina G.; Strijkers, Gustav J.] Amsterdam Cardiovasc Sci Res Inst, Amsterdam, Netherlands; [Smets, Nina G.] Amsterdam Neurosci Res Inst, Amsterdam, Netherlands; [Vinje, Vegard] Expert Analyt, Oslo, Norway; [Bakker, Erik N. T. P.] Univ Amsterdam, Med Ctr, locat AMC, Dept BiomedicalEngineering &amp; Phys, Meibergdreef 9, NL-1105AZ Amsterdam, Netherlands</t>
  </si>
  <si>
    <t>University of Amsterdam; University of Amsterdam</t>
  </si>
  <si>
    <t>Bakker, ENTP (corresponding author), Univ Amsterdam, Med Ctr, locat AMC, Dept BiomedicalEngineering &amp; Phys, Meibergdreef 9, NL-1105AZ Amsterdam, Netherlands.</t>
  </si>
  <si>
    <t>n.t.bakker@amsterdamumc.nl</t>
  </si>
  <si>
    <t>Strijkers, Gustav/0000-0001-6700-5058</t>
  </si>
  <si>
    <t>Dutch Research Council (NWO) [OCENW.M20.238]</t>
  </si>
  <si>
    <t>Dutch Research Council (NWO)(Netherlands Organization for Scientific Research (NWO))</t>
  </si>
  <si>
    <t>Dutch Research Council (NWO), project OCENW.M20.238.</t>
  </si>
  <si>
    <t>0952-3480</t>
  </si>
  <si>
    <t>1099-1492</t>
  </si>
  <si>
    <t>NMR BIOMED</t>
  </si>
  <si>
    <t>NMR Biomed.</t>
  </si>
  <si>
    <t>10.1002/nbm.5029</t>
  </si>
  <si>
    <t>Biophysics; Radiology, Nuclear Medicine &amp; Medical Imaging; Spectroscopy</t>
  </si>
  <si>
    <t>Q3JR3</t>
  </si>
  <si>
    <t>WOS:001056516200001</t>
  </si>
  <si>
    <t>Adams, TD; Meeks, H; Fraser, A; Davidson, LE; Holmen, J; Newman, M; Ibele, AR; Playdon, M; Hardikar, S; Richards, N; Hunt, SC; Kim, J</t>
  </si>
  <si>
    <t>Adams, Ted D.; Meeks, Huong; Fraser, Alison; Davidson, Lance E.; Holmen, John; Newman, Michael; Ibele, Anna R.; Playdon, Mary; Hardikar, Sheetal; Richards, Nathan; Hunt, Steven C.; Kim, Jaewhan</t>
  </si>
  <si>
    <t>Long-term cancer outcomes after bariatric surgery</t>
  </si>
  <si>
    <t>BODY-MASS INDEX; OBESITY; MORTALITY; BREAST; RISK; WEIGHT; WOMEN</t>
  </si>
  <si>
    <t>ObjectiveObesity is associated with increased cancer risk. Because of the substantial and sustained weight loss following bariatric surgery, postsurgical patients are ideal to study the association of weight loss and cancer. MethodsRetrospectively (1982-2019), 21,837 bariatric surgery patients (surgery, 1982-2018) were matched 1:1 by age, sex, and BMI with a nonsurgical comparison group. Procedures included gastric bypass, gastric banding, sleeve gastrectomy, and duodenal switch. Primary outcomes included cancer incidence and mortality, stratified by obesity- and non-obesity-related cancers, sex, cancer stage, and procedure. ResultsBariatric surgery patients had a 25% lower risk of developing any cancers compared with a nonsurgical comparison group (hazard ratio [HR] 0.75; 95% CI 0.69-0.81; p &lt; 0.001). Cancer incidence was lower among female (HR 0.67; 95% CI 0.62-0.74; p &lt; 0.001) but not male surgery patients, with the HR lower for females than for males (p &lt; 0.001). Female surgery patients had a 41% lower risk for obesity-related cancers (i.e., breast, ovarian, uterine, and colon) compared with nonsurgical females (HR 0.59; 95% CI 0.52-0.66; p &lt; 0.001). Cancer mortality was significantly lower after surgery in females (HR 0.53; 95% CI 0.44-0.64; p &lt; 0.001). ConclusionsBariatric surgery was associated with lower all-cancer and obesity-related cancer incidence among female patients. Cancer mortality was significantly lower among females in the surgical group versus the nonsurgical group.</t>
  </si>
  <si>
    <t>[Adams, Ted D.; Richards, Nathan] Intermt Healthcare, Intermt Surg Specialties Digest Hlth Clin Program, Salt Lake City, UT USA; [Adams, Ted D.; Davidson, Lance E.; Hunt, Steven C.] Univ Utah, Dept Internal Med, Div Epidemiol, Sch Med, Salt Lake City, UT USA; [Adams, Ted D.; Playdon, Mary] Univ Utah, Dept Nutr &amp; Integrat Physiol, Salt Lake City, UT USA; [Meeks, Huong; Fraser, Alison; Playdon, Mary] Univ Utah, Utah Populat Database, Salt Lake City, UT USA; [Davidson, Lance E.] Brigham Young Univ, Dept Exercise Sci, Provo, UT USA; [Holmen, John] Intermt Healthcare, Intermt Biorepository, Salt Lake City, UT USA; [Newman, Michael] Univ Utah Hlth, Data Sci Serv, Salt Lake City, UT USA; [Ibele, Anna R.] Univ Utah, Dept Gen Surg, Div Gen Surg, Salt Lake City, UT USA; [Hardikar, Sheetal] Univ Utah, Huntsman Canc Inst, Populat Sci, Salt Lake City, UT USA; [Hunt, Steven C.] Weill Cornell Med, Dept Genet Med, Doha, Qatar; [Kim, Jaewhan] Univ Utah, Coll Hlth, Dept Phys Therapy, Salt Lake City, UT USA; [Adams, Ted D.] Intermt Hlth, Digest Hlth Clin Program &amp; Intermt Surg Specialtie, 5026 S State St,Floor 3, Murray, UT 84157 USA</t>
  </si>
  <si>
    <t>Intermountain Healthcare; Intermountain Medical Center; Utah System of Higher Education; University of Utah; Utah System of Higher Education; University of Utah; Utah System of Higher Education; University of Utah; Brigham Young University; Intermountain Healthcare; Intermountain Medical Center; Utah System of Higher Education; University of Utah; Utah System of Higher Education; University of Utah; Utah System of Higher Education; University of Utah; Huntsman Cancer Institute; Qatar Foundation (QF); Weill Cornell Medical College Qatar; Utah System of Higher Education; University of Utah; Intermountain Healthcare; Intermountain Medical Center</t>
  </si>
  <si>
    <t>Adams, TD (corresponding author), Intermt Hlth, Digest Hlth Clin Program &amp; Intermt Surg Specialtie, 5026 S State St,Floor 3, Murray, UT 84157 USA.</t>
  </si>
  <si>
    <t>ted.adams@utah.edu</t>
  </si>
  <si>
    <t>Davidson, Lance/0000-0002-1383-0666; Playdon, Mary/0000-0001-6082-0447</t>
  </si>
  <si>
    <t>Ethicon Endo-Surgery (Johnson amp; Johnson); Intermountain Research and Medical Foundation of Intermountain Health; National Institute of Diabetes and Digestive and Kidney Diseases [DK-099619, DK-55006]; U.S. Public Health Service; [M01-RR00064]</t>
  </si>
  <si>
    <t>Ethicon Endo-Surgery (Johnson amp; Johnson); Intermountain Research and Medical Foundation of Intermountain Health; National Institute of Diabetes and Digestive and Kidney Diseases(United States Department of Health &amp; Human ServicesNational Institutes of Health (NIH) - USANIH National Institute of Diabetes &amp; Digestive &amp; Kidney Diseases (NIDDK)); U.S. Public Health Service(United States Department of Health &amp; Human ServicesUnited States Public Health Service);</t>
  </si>
  <si>
    <t>Ethicon Endo-Surgery (Johnson &amp; amp; Johnson); Intermountain Research and Medical Foundation of Intermountain Health; National Institute of Diabetes and Digestive and Kidney Diseases, Grant/Award Numbers: DK-099619, DK-55006; U.S. Public Health Service, Grant/Award Number: M01-RR00064</t>
  </si>
  <si>
    <t>SEP</t>
  </si>
  <si>
    <t>10.1002/oby.23812</t>
  </si>
  <si>
    <t>P6TM4</t>
  </si>
  <si>
    <t>WOS:001051980400019</t>
  </si>
  <si>
    <t>Ahmed, AS; Bekele, A; Kasso, M; Atickem, A</t>
  </si>
  <si>
    <t>Ahmed, Ahmed Seid; Bekele, Afework; Kasso, Mohammed; Atickem, Anagaw</t>
  </si>
  <si>
    <t>Impact of climate change on the distribution and predicted habitat suitability of two fruit bats (Rousettus aegyptiacus and Epomophorus labiatus) in Ethiopia: Implications for conservation</t>
  </si>
  <si>
    <t>ECOLOGY AND EVOLUTION</t>
  </si>
  <si>
    <t>algorithms; anthropogenic pressures; Chiroptera; climate change; ensemble model; Ethiopia; fruit bats; habitat suitability modeling</t>
  </si>
  <si>
    <t>SPECIES DISTRIBUTION MODELS; MAMMALIA CHIROPTERA; BIODIVERSITY HOTSPOTS; TEMPERATURE EXTREMES; ECOSYSTEM SERVICES; RESOLUTION; POPULATION; SELECTION; FOREST; CLASSIFICATION</t>
  </si>
  <si>
    <t>Fruit bats serve as crucial bioindicators, seed dispersers, pollinators, and contributors to food security within ecosystems. However, their population and distribution were threatened by climate change and anthropogenic pressures. Understanding the impacts of these pressures through mapping distribution and habitat suitability is crucial for identifying high-priority areas and implementing effective conservation and management plans. We predicted the distribution and extent of habitat suitability for Rousettus aegyptiacus and Epomophorus labiatus under climate change scenarios using average predictions from four different algorithms to produce an ensemble model. Seasonal precipitation, population index, land-use land cover, vegetation, and the mean temperature of the driest quarter majorly contributed to the predicted habitat suitability for both species. The current predicted sizes of suitable habitats for R. aegyptiacus and E. labiatus were varied, on average 60,271.4 and 85,176.1 km(2), respectively. The change in species range size for R. aegyptiacus showed gains in suitable areas of 24.4% and 22.8% in 2050 and 2070, respectively. However, for E. labiatus, suitable areas decreased by 0.95% and 2% in 2050 and 2070, respectively. The range size change of suitable areas between 2050 and 2070 for R. aegyptiacus and E. labiatus shows losses of 1.5% and 1.2%, respectively. The predicted maps indicate that the midlands and highlands of southern and eastern Ethiopia harbor highly suitable areas for both species. In contrast, the areas in the northern and central highlands are fragmented. The current model findings show that climate change and anthropogenic pressures have notable impacts on the geographic ranges of two species. Moreover, the predicted suitable habitats for both species are found both within and outside of their historical ranges, which has important implications for conservation efforts. Our ensemble predictions are vital for identifying high-priority areas for fruit bat species conservation efforts and management to mitigate climate change and anthropogenic pressures.</t>
  </si>
  <si>
    <t>[Ahmed, Ahmed Seid] Hawassa Univ, Dept Biol, POB 05, Hawassa, Ethiopia; [Ahmed, Ahmed Seid; Bekele, Afework; Atickem, Anagaw] Addis Ababa Univ, Dept Zool Sci, Addis Ababa, Ethiopia; [Kasso, Mohammed] Dire Dawa Univ, Dept Biol, Dire Dawa, Ethiopia</t>
  </si>
  <si>
    <t>Hawassa University; Addis Ababa University</t>
  </si>
  <si>
    <t>Ahmed, AS (corresponding author), Hawassa Univ, Dept Biol, POB 05, Hawassa, Ethiopia.</t>
  </si>
  <si>
    <t>ahmedse4378@gmail.com</t>
  </si>
  <si>
    <t>The authors gratefully acknowledge the Ethiopian Wildlife Conservation Authority (EWCA) for providing permission to conduct research in the national parks and protected areas. We would like to thank the Department of Zoological Sciences thematic research p; Department of Zoological Sciences thematic research project at Addis Ababa University; Hawassa Universityamp;apos;s NORAD Project; Addis Ababa University Institutional Review Board (IRB); Idea Wild</t>
  </si>
  <si>
    <t>The authors gratefully acknowledge the Ethiopian Wildlife Conservation Authority (EWCA) for providing permission to conduct research in the national parks and protected areas. We would like to thank the Department of Zoological Sciences thematic research project at Addis Ababa University and Hawassa University &amp; apos;s NORAD Project for providing funding for our research. We are thankful to the Addis Ababa University Institutional Review Board (IRB) for providing ethical clearance. We thank the NORPART Project and Idea Wild for supporting bat trapping equipment and the Joint Ethio-Russian Biological Expedition team for their support during the field survey We are deeply grateful to the scouts and officers of each national park, as well as the trapping site, who assisted in the field data collection. We also thank and appreciate the four anonymous reviewers and the associate editor for their constructive comments and suggestions.</t>
  </si>
  <si>
    <t>2045-7758</t>
  </si>
  <si>
    <t>ECOL EVOL</t>
  </si>
  <si>
    <t>Ecol. Evol.</t>
  </si>
  <si>
    <t>e10481</t>
  </si>
  <si>
    <t>10.1002/ece3.10481</t>
  </si>
  <si>
    <t>Ecology; Evolutionary Biology</t>
  </si>
  <si>
    <t>Environmental Sciences &amp; Ecology; Evolutionary Biology</t>
  </si>
  <si>
    <t>R7KM0</t>
  </si>
  <si>
    <t>WOS:001066105900001</t>
  </si>
  <si>
    <t>Ali, S; Fazal, SA; Monawwer, SA; Anan, M</t>
  </si>
  <si>
    <t>Ali, Sajjad; Fazal, Sara Anjum; Monawwer, Syed Abdullah; Anan, Mahfuza</t>
  </si>
  <si>
    <t>Life-threatening pontine hemorrhage secondary to HELLP syndrome</t>
  </si>
  <si>
    <t>CLINICAL CASE REPORTS</t>
  </si>
  <si>
    <t>eclampsia; HELLP syndrome; hypertension; pontine hemorrhage; postpartum</t>
  </si>
  <si>
    <t>HELLP syndrome is a severe form of pre-eclampsia that typically develops prior to delivery but can sometimes happen postpartum. The classic triad of HELLP syndrome comprises of hemolysis, elevated liver enzyme levels, and low platelet counts. This condition is known to have a higher incidence of fatal neurological complications, such as pontine hemorrhage, when compared to a typical pre-eclampsia.</t>
  </si>
  <si>
    <t>[Ali, Sajjad; Fazal, Sara Anjum; Monawwer, Syed Abdullah] Ziauddin Med Univ, Dept Med, Karachi, Pakistan; [Anan, Mahfuza] Bangladesh Med Coll, Rd 14A, Dhaka 1209, Bangladesh</t>
  </si>
  <si>
    <t>Ziauddin University</t>
  </si>
  <si>
    <t>Anan, M (corresponding author), Bangladesh Med Coll, Rd 14A, Dhaka 1209, Bangladesh.</t>
  </si>
  <si>
    <t>mahfuzaanan980@gmail.com</t>
  </si>
  <si>
    <t>Ali, Sajjad/AAQ-8274-2020</t>
  </si>
  <si>
    <t>Ali, Sajjad/0000-0002-8024-5942</t>
  </si>
  <si>
    <t>2050-0904</t>
  </si>
  <si>
    <t>CLIN CASE REP</t>
  </si>
  <si>
    <t>Clin. Case Rep.</t>
  </si>
  <si>
    <t>e7772</t>
  </si>
  <si>
    <t>10.1002/ccr3.7772</t>
  </si>
  <si>
    <t>R9CJ7</t>
  </si>
  <si>
    <t>WOS:001067257100001</t>
  </si>
  <si>
    <t>Alonso-Crespo, IM; Hernandez-Aguero, JA</t>
  </si>
  <si>
    <t>Alonso-Crespo, Ines Maria; Hernandez-Agueero, Juan Antonio</t>
  </si>
  <si>
    <t>Shedding light on trophic interactions: A field experiment on the effect of human population between latitudes on herbivory and predation patterns</t>
  </si>
  <si>
    <t>bird predation; insect herbivory; latitude; UHI effect and urbanization</t>
  </si>
  <si>
    <t>ECOSYSTEM SERVICES; INSECT HERBIVORY; FEEDING INSECTS; URBAN GRADIENT; NEST PREDATION; PRESSURE; URBANIZATION; DENSITY; BIRDS; CATERPILLARS</t>
  </si>
  <si>
    <t>Interactions between species within an ecosystem (e.g. predation and herbivory) play a vital role in sustaining the ecosystem functionality, which includes aspects like pest control and nutrient cycling. Unfortunately, human activities are progressively disrupting these trophic relationships, thereby contributing to the ongoing biodiversity decline. Additionally, certain human activities like urbanization may further impact the intensity of these trophic interactions, which are already known to be influenced by latitudinal gradients. The aim of this study was to test the hypothesis of whether the impact of human population, used as a proxy for human pressure, differs between latitudes. To test it, we selected 18 study sites at two latitudes (i.e. similar to 53 degrees N and similar to 50 degrees N) with varying human population density (HPD). We used artificial caterpillars placed on European beech branches to assess bird predation and took standardized pictures of the leaves to estimate insect herbivory. Remote sensing techniques were used to estimate human pressure. We found that the intensity of bird predation varied in response to HPD, with opposite trends observed depending on the latitude. At our upper latitude, bird predation increased with HPD, while the opposite was observed at the lower latitude. Herbivory was not affected by urbanization and we found higher levels of herbivory in the lower compared to the higher latitude. At the lower latitude, certain species may experience a disadvantage attributed to the urban heat island effect due to their sensitivity to temperature fluctuations. Conversely, at the higher latitude, where minimum temperatures can be a limitation, certain species may benefit from milder winters. Overall, this study highlights the complex and dynamic nature of trophic relationships in the face of human-driven changes to ecosystems. It also emphasizes the importance of considering both human pressure and latitudinal gradients when assessing the ecological consequences of future climate change scenarios, especially in urban environments.</t>
  </si>
  <si>
    <t>[Alonso-Crespo, Ines Maria] Leuphana Univ, Inst Ecol, Luneburg, Germany; [Hernandez-Agueero, Juan Antonio] Senckenberg Gesell Naturforsch, Frankfurt am Main, Germany; [Hernandez-Agueero, Juan Antonio] Vrije Univ Amsterdam, Dept Environm Geog, Amsterdam, Netherlands</t>
  </si>
  <si>
    <t>Leuphana University Luneburg; Senckenberg Gesellschaft fur Naturforschung (SGN); Vrije Universiteit Amsterdam</t>
  </si>
  <si>
    <t>Hernandez-Aguero, JA (corresponding author), Senckenberg Gesell Naturforsch, Frankfurt am Main, Germany.</t>
  </si>
  <si>
    <t>j.a.hernandezaguero@vu.nl</t>
  </si>
  <si>
    <t>Hernández-Agüero, Juan Antonio/AAF-7041-2021</t>
  </si>
  <si>
    <t>Hernández-Agüero, Juan Antonio/0000-0001-6584-5774</t>
  </si>
  <si>
    <t>Sociedad Espanola de Etologia y Ecologia Evolutiva</t>
  </si>
  <si>
    <t>e10449</t>
  </si>
  <si>
    <t>10.1002/ece3.10449</t>
  </si>
  <si>
    <t>Q6FQ2</t>
  </si>
  <si>
    <t>gold, Green Accepted</t>
  </si>
  <si>
    <t>WOS:001058464200001</t>
  </si>
  <si>
    <t>Barbaud, A; Kurihara, F; Raison-Peyron, N; Milpied, B; Valois, A; Assier, H; Morice, C; Manciet, JR; Gener, G; Giordano-Labadie, F; Marcant, P; Bernier, C; Amsler, E; Crepy, MN; Tetart, F; Soria, A; le Bouedec, MCF</t>
  </si>
  <si>
    <t>Barbaud, Annick; Kurihara, Flore; Raison-Peyron, Nadia; Milpied, Brigitte; Valois, Aude; Assier, Haudrey; Morice, Cecile; Manciet, Jean Romain; Gener, Gwendeline; Giordano-Labadie, Francoise; Marcant, Pierre; Bernier, Claire; Amsler, Emmanuelle; Crepy, Marie Noelle; Tetart, Florence; Soria, Angele; le Bouedec, Marie-Christine Ferrier</t>
  </si>
  <si>
    <t>Dermato-Allergology Grp French Soc</t>
  </si>
  <si>
    <t>Allergic contact dermatitis from essential oil in consumer products: Mode of uses and value of patch tests with an essential oil series. Results of a French study of the DAG (Dermato-Allergology group of the French Society of Dermatology)</t>
  </si>
  <si>
    <t>CONTACT DERMATITIS</t>
  </si>
  <si>
    <t>68647-73-4; 92201-50-8; allergic contact dermatitis; essential oil; fragrance; lavender oil or Lavandula augustifolia; patch tests; Ravintsara oil or Cinnamomum camphora oil; tea tree oil or Melaleuca alternifolia leaf oil</t>
  </si>
  <si>
    <t>AROMATHERAPY</t>
  </si>
  <si>
    <t>ObjectiveTo analyse the clinical characteristics and sensitivity of an essential oil patch test series (EOS) in patients sensitized to their own essential oils (EOs). MethodWe analysed the clinical data and patch test results obtained with the European baseline series (BSE) and an EOS, as well as the mode of use of EOs, through a questionnaire included in the patient file. ResultsThe study included 42 patients (79% women, average age 50years) with allergic contact dermatitis (ACD), 8 patients required hospitalization. All patients were sensitized to the EO they used, primarily lavender (Lavandula augustifolia, 8000-28-0), tea tree (Melaleuca alternifolia leaf oil, 68647-73-4), ravintsara (Cinnamomum camphora oil, 92201-50-8), and 2 cases were attributed to helichrysum (helichrysum italicum flower absolute, 90045-56-0). 71% had positive patch tests to fragrance mix I or II, 9 only to the EOS and 4 only with their personal EO. Interestingly, 40% of patients did not spontaneously mention the use of EOs, and only 33% received advice on their use at the time of purchase. ConclusionPatch tests with the BSE, limonene and linalool HP, and oxidized tea tree oil is sufficient to detect most EO-sensitized patients. The most important is to test the patient's own used EOs.</t>
  </si>
  <si>
    <t>[Barbaud, Annick; Kurihara, Flore; Soria, Angele] Medecine Sorbonne Univ, Dermatol &amp; Allergy Dept, Serv Dermatol &amp; Allergol, Hop Tenon,Assistance Publ Hop Paris AP HP, Paris, France; [Barbaud, Annick] Sorbonne Univ, Inst Pierre Louis Epidemiol &amp; Sante Publ, Dept Dermatol &amp; Allergol, INSERM,Tenon Hop,AP HP, Paris, France; [Raison-Peyron, Nadia] CHU Montpellier, Dept Dermatol, Montpellier, France; [Milpied, Brigitte] Hop St Andre, Dept Dermatol, Bordeaux, France; [Valois, Aude] HIA, Dept Dermatol, Toulon, France; [Assier, Haudrey; Gener, Gwendeline] CHU Henri Mondor, Dept Dermatol, Creteil, France; [Morice, Cecile] CHU Caen, Dept Dermatol, Caen, France; [Manciet, Jean Romain] CHU St Louis, Dept Dermatol, Paris, France; [Giordano-Labadie, Francoise] CHU Toulouse, Hop Larrey, Dept Dermatol, Toulouse, France; [Marcant, Pierre] CHU Lille, Dept Dermatol, Lille, France; [Bernier, Claire] Nantes Univ Hosp, Dept Dermatol, Nantes, France; [Crepy, Marie Noelle] Hop Hotel Dieu, Dept Occupat &amp; Environm Dis, Paris, France; [Tetart, Florence] CHU Rouen, Dept Dermatol, Rouen, France; [le Bouedec, Marie-Christine Ferrier] CHU Clermont Ferrand, Dept Dermatol, Clermont Ferrand, France</t>
  </si>
  <si>
    <t>UDICE-French Research Universities; Sorbonne Universite; Assistance Publique Hopitaux Paris (APHP); Hopital Universitaire Tenon - APHP; Institut National de la Sante et de la Recherche Medicale (Inserm); UDICE-French Research Universities; Sorbonne Universite; Assistance Publique Hopitaux Paris (APHP); Hopital Universitaire Tenon - APHP; Universite Paris Cite; Hopital Universitaire Saint-Louis - APHP; Hopital Universitaire Cochin - APHP; Universite de Montpellier; CHU de Montpellier; CHU Bordeaux; Hospital Instruction Of Armees Sainte-Anne; Assistance Publique Hopitaux Paris (APHP); Universite Paris-Est-Creteil-Val-de-Marne (UPEC); Hopital Universitaire Henri-Mondor - APHP; CHU de Caen NORMANDIE; Universite de Caen Normandie; UDICE-French Research Universities; Universite Paris Cite; Assistance Publique Hopitaux Paris (APHP); Hopital Universitaire Saint-Louis - APHP; CHU de Toulouse; Universite de Toulouse; Universite Toulouse III - Paul Sabatier; Universite de Lille - ISITE; CHU Lille; Nantes Universite; CHU de Nantes; UDICE-French Research Universities; Universite Paris Cite; Assistance Publique Hopitaux Paris (APHP); Hopital Universitaire Hotel-Dieu - APHP; Universite de Rouen Normandie; CHU de Rouen; CHU Clermont Ferrand</t>
  </si>
  <si>
    <t>Barbaud, A (corresponding author), Tenon Hosp, AP HP, Dermatol &amp; Allergy Dept, Serv Dermatol &amp; Allergol, 4 Rue Chine, F-75020 Paris, France.</t>
  </si>
  <si>
    <t>annick.barbaud@aphp.fr</t>
  </si>
  <si>
    <t>Marcant, Pierre/AAS-3645-2021</t>
  </si>
  <si>
    <t>Marcant, Pierre/0000-0002-5997-1181; BARBAUD, Annick/0000-0001-8889-1589; Kurihara, Flore/0000-0001-9969-2462</t>
  </si>
  <si>
    <t>0105-1873</t>
  </si>
  <si>
    <t>1600-0536</t>
  </si>
  <si>
    <t>Contact Dermatitis</t>
  </si>
  <si>
    <t>10.1111/cod.14377</t>
  </si>
  <si>
    <t>Allergy; Dermatology</t>
  </si>
  <si>
    <t>N6VJ8</t>
  </si>
  <si>
    <t>WOS:001038362300006</t>
  </si>
  <si>
    <t>Berking, BB; Poulladofonou, G; Karagrigoriou, D; Wilson, DA; Neumann, K</t>
  </si>
  <si>
    <t>Berking, Bela B.; Poulladofonou, Georgia; Karagrigoriou, Dimitrios; Wilson, Daniela A.; Neumann, Kevin</t>
  </si>
  <si>
    <t>Zwitterionic Polymeric Sulfur Ylides with Minimal Charge Separation Open a New Generation of Antifouling and Bactericidal Materials</t>
  </si>
  <si>
    <t>Biofilm; Poly(Ylide); RAFT; Ylide; Zwitterionic Polymers</t>
  </si>
  <si>
    <t>SURFACE; NANOPARTICLES</t>
  </si>
  <si>
    <t>Zwitterionic polymers are widely employed hydrophilic building blocks for antifouling coatings with numerous applications across a wide range of fields, including but not limited to biomedical science, drug delivery and nanotechnology. Zwitterionic polymers are considered as an attractive alternative to polyethylene glycol because of their biocompatibility and effectiveness to prevent formation of biofilms. To this end, zwitterionic polymers are classified in two categories, namely polybetaines and polyampholytes. Yet, despite a fundamental interest to drive the development of new antifouling materials, the chemical composition of zwitterionic polymer remains severely limited. Here, we show that poly(sulfur ylides) that belong to the largely overlooked class of poly(ylides), effectively prevent the formation of biofilms from pathogenic bacteria. While surface energy analysis reveals strong hydrogen-bond acceptor capabilities of poly(sulfur ylide), membrane damage of pathogenic bacteria induced by poly(sulfur ylides) indicates toxicity towards bacteria while not affecting eucaryotic cells. Such synergistic effect of poly(sulfur ylides) offers distinct advantages over polyethylene glycol when designing new antifouling materials. We expect that our findings will pave the way for the development of a range of ylide-based materials with antifouling properties that have yet to be explored, opening up new directions at the interface of chemistry, biology, and material science. Stronger together: Unlike most zwitterionic materials, including polybetaines, sulfur ylides exhibit minimal charge separation. We show that poly(sulfur ylides) effectively inhibit the adhesion of biomolecules and pathogenic bacteria. Notably, we show that polymeric sulfur ylides create a toxic environment for bacterial cells that surpass the initial hydration barrier while remaining non-toxic to mammalian cells.**image</t>
  </si>
  <si>
    <t>[Berking, Bela B.; Poulladofonou, Georgia; Karagrigoriou, Dimitrios; Wilson, Daniela A.; Neumann, Kevin] Radboud Univ Nijmegen, Inst Mol &amp; Mat, Syst Chem Dept, Heyendaalseweg 135, NL-6525 AJ Nijmegen, Netherlands</t>
  </si>
  <si>
    <t>Radboud University Nijmegen</t>
  </si>
  <si>
    <t>Wilson, DA; Neumann, K (corresponding author), Radboud Univ Nijmegen, Inst Mol &amp; Mat, Syst Chem Dept, Heyendaalseweg 135, NL-6525 AJ Nijmegen, Netherlands.</t>
  </si>
  <si>
    <t>d.wilson@science.ru.nl; kevin.neumann@ru.nl</t>
  </si>
  <si>
    <t>Wilson, Prof. dr. Daniela A./A-8119-2010</t>
  </si>
  <si>
    <t>Wilson, Prof. dr. Daniela A./0000-0002-8796-2274; Neumann, Kevin/0000-0002-6683-0774; Berking, Bela B./0009-0001-1888-0814</t>
  </si>
  <si>
    <t>This work was funded by Radboud University (start-up-package). B. B. and D. W. acknowledge financial support from Ministry of Education, Culture and Science (Gravitation program 024.001.035). We would like to thank the NMR facility at Radboud university fo; Radboud University (start-up-package); Ministry of Education, Culture and Science; [024.001.035]</t>
  </si>
  <si>
    <t>This work was funded by Radboud University (start-up-package). B. B. and D. W. acknowledge financial support from Ministry of Education, Culture and Science (Gravitation program 024.001.035). We would like to thank the NMR facility at Radboud university fo; Radboud University (start-up-package); Ministry of Education, Culture and Science(Ministry of Education, Culture, Sports, Science and Technology, Japan (MEXT));</t>
  </si>
  <si>
    <t>This work was funded by Radboud University (start-up-package). B. B. and D. W. acknowledge financial support from Ministry of Education, Culture and Science (Gravitation program 024.001.035). We would like to thank the NMR facility at Radboud university for their support. We like to thank Dr. Robert Jansen and Prof. Dr. Laura van Niftrik for the access to ML2 facilities and for their help. We thank Helene Amatdjais-Groenen for support in SEC analysis.</t>
  </si>
  <si>
    <t>2023 SEP 1</t>
  </si>
  <si>
    <t>10.1002/anie.202308971</t>
  </si>
  <si>
    <t>Q2NW8</t>
  </si>
  <si>
    <t>WOS:001055945200001</t>
  </si>
  <si>
    <t>Borr, ML</t>
  </si>
  <si>
    <t>Borr, Mari L.</t>
  </si>
  <si>
    <t>The 10 most viewed FCSRJ articles on Wiley Online Library during 2022</t>
  </si>
  <si>
    <t>FAMILY &amp; CONSUMER SCIENCES RESEARCH JOURNAL</t>
  </si>
  <si>
    <t>1077-727X</t>
  </si>
  <si>
    <t>1552-3934</t>
  </si>
  <si>
    <t>FAM CONSUM SCI RES J</t>
  </si>
  <si>
    <t>Fam. Consum. Sci. Res. J.</t>
  </si>
  <si>
    <t>10.1111/fcsr.12491</t>
  </si>
  <si>
    <t>Family Studies</t>
  </si>
  <si>
    <t>Q9JK3</t>
  </si>
  <si>
    <t>WOS:001060605100006</t>
  </si>
  <si>
    <t>Borrell, A; Figueras, F</t>
  </si>
  <si>
    <t>Borrell, A.; Figueras, F.</t>
  </si>
  <si>
    <t>Placental and genetic origins of fetal growth restriction are independent and may overlap</t>
  </si>
  <si>
    <t>ULTRASOUND IN OBSTETRICS &amp; GYNECOLOGY</t>
  </si>
  <si>
    <t>MOSAICISM; FETUSES; RISK</t>
  </si>
  <si>
    <t>[Borrell, A.; Figueras, F.] Hosp Clin Barcelona, BCNatal Barcelona Ctr Maternal Fetal &amp; Neonatal Me, Barcelona, Catalonia, Spain; [Borrell, A.; Figueras, F.] Univ Barcelona, Barcelona, Catalonia, Spain</t>
  </si>
  <si>
    <t>University of Barcelona; Hospital Clinic de Barcelona; University of Barcelona</t>
  </si>
  <si>
    <t>Borrell, A (corresponding author), Hosp Clin Barcelona, BCNatal Barcelona Ctr Maternal Fetal &amp; Neonatal Me, Barcelona, Catalonia, Spain.;Borrell, A (corresponding author), Univ Barcelona, Barcelona, Catalonia, Spain.</t>
  </si>
  <si>
    <t>aborrell@clinic.cat</t>
  </si>
  <si>
    <t>0960-7692</t>
  </si>
  <si>
    <t>1469-0705</t>
  </si>
  <si>
    <t>ULTRASOUND OBST GYN</t>
  </si>
  <si>
    <t>Ultrasound Obstet. Gynecol.</t>
  </si>
  <si>
    <t>10.1002/uog.26304</t>
  </si>
  <si>
    <t>Acoustics; Obstetrics &amp; Gynecology; Radiology, Nuclear Medicine &amp; Medical Imaging</t>
  </si>
  <si>
    <t>Q7ZJ6</t>
  </si>
  <si>
    <t>WOS:001059666400001</t>
  </si>
  <si>
    <t>Campbell, F; Whear, R; Rogers, M; Sutton, A; Barlow, J; Booth, A; Tattersall, A; Wolstenholme, L; Thompson-Coon, J</t>
  </si>
  <si>
    <t>Campbell, Fiona; Whear, Rebecca; Rogers, Morwenna; Sutton, Anthea; Barlow, Jane; Booth, Andrew; Tattersall, Andrew; Wolstenholme, Louise; Thompson-Coon, Joanna</t>
  </si>
  <si>
    <t>PROTOCOL: What is the effect of intergenerational activities on the wellbeing and mental health of children and young people?</t>
  </si>
  <si>
    <t>CAMPBELL SYSTEMATIC REVIEWS</t>
  </si>
  <si>
    <t>QUALITY-OF-LIFE; PEDIATRIC SYMPTOM CHECKLIST; BEHAVIOR ASSESSMENT SYSTEM; VALIDITY; ADOLESCENTS; QUESTIONNAIRE; VALIDATION; STRENGTHS; INTERVENTIONS; RELIABILITY</t>
  </si>
  <si>
    <t>This is the protocol for a Campbell systematic review. The objectives are as follows: this systematic review will examine the impact of intergenerational interventions on the wellbeing and mental health in children and young people and will identify areas for future research as well as key messages for service commissioners.</t>
  </si>
  <si>
    <t>[Campbell, Fiona] Newcastle Univ, Populat Hlth Sci Inst, Newcastle Upon Tyne, England; [Whear, Rebecca] Univ Exeter, NIHR CLAHRC South West Peninsula PenCLAHRC, Med Sch, Exeter, England; [Rogers, Morwenna] Univ Exeter, Med Sch, NIHR ARC South West Peninsula PenARC, Exeter, England; [Booth, Andrew; Tattersall, Andrew] Univ Sheffield, Sch Hlth &amp; Related Res ScHARR, Sheffield, England; [Barlow, Jane] Univ Oxford, Dept Social Policy &amp; Intervent, Oxford, England; [Wolstenholme, Louise] Sheffield Childrens NHS FT, Serv 0 19, Sheffield, England; [Thompson-Coon, Joanna] Exeter Univ, Evidence Synth Ctr, Exeter, England; [Campbell, Fiona] Univ Sheffield, Sch Hlth &amp; Related Res, Sheffield, England</t>
  </si>
  <si>
    <t>Newcastle University - UK; University of Exeter; University of Exeter; University of Sheffield; University of Oxford; Sheffield Children's NHS Foundation Trust; University of Exeter; University of Sheffield</t>
  </si>
  <si>
    <t>Campbell, F (corresponding author), Univ Sheffield, Sch Hlth &amp; Related Res, Sheffield, England.</t>
  </si>
  <si>
    <t>fiona.campbell1@ncl.ac.uk</t>
  </si>
  <si>
    <t>Campbell, Fiona/A-3952-2010</t>
  </si>
  <si>
    <t>Campbell, Fiona/0000-0002-4141-8863; Booth, Andrew/0000-0003-4808-3880</t>
  </si>
  <si>
    <t>1891-1803</t>
  </si>
  <si>
    <t>CAMPBELL SYST REV</t>
  </si>
  <si>
    <t>Campbell Syst. Rev.</t>
  </si>
  <si>
    <t>e1347</t>
  </si>
  <si>
    <t>10.1002/cl2.1347</t>
  </si>
  <si>
    <t>Social Sciences, Interdisciplinary</t>
  </si>
  <si>
    <t>Social Sciences - Other Topics</t>
  </si>
  <si>
    <t>M1SI7</t>
  </si>
  <si>
    <t>Green Published, gold</t>
  </si>
  <si>
    <t>WOS:001028037800001</t>
  </si>
  <si>
    <t>Chandini, R; Saranya, R; Balasubramaniam, M; Rajkumar, R; Dhungel, S; Ghosh, S</t>
  </si>
  <si>
    <t>Chandini, R.; Saranya, R.; Balasubramaniam, Murali; Rajkumar, Ranjini; Dhungel, Safal; Ghosh, Snehashish</t>
  </si>
  <si>
    <t>Elusive long-standing intraoral foreign body: A rare encounter</t>
  </si>
  <si>
    <t>aspiration; dentistry; foreign body; ingestion; radiograph</t>
  </si>
  <si>
    <t>Foreign body ingestion/aspiration can occur during orthodontic procedures that may be of minimal risk or lead to acute medical and life-threatening emergencies. The present report describes a rare case of retained orthodontic wire fragment in the masticator space for nearly two decades identified as an incidental radiographic finding, highlighting the importance of optimum care in the dental clinic at all times be it surgical or nonsurgical intervention. image</t>
  </si>
  <si>
    <t>[Chandini, R.] Sathyabama Dent Coll &amp; Hosp, Dept Oral Pathol &amp; Microbiol, Chennai, Tamil Nadu, India; [Saranya, R.; Balasubramaniam, Murali] Sathyabama Dent Coll &amp; Hosp, Dept Oral Pathol, Chennai, Tamil Nadu, India; [Rajkumar, Ranjini] NMC Special Hosp, Abu Dhabi, U Arab Emirates; [Dhungel, Safal] Coll Med Sci, Dept Oral &amp; Maxillofacial Surg, Bharatpur, Nepal; [Ghosh, Snehashish] Coll Med Sci, Dept Oral Pathol, Bharatpur, Nepal</t>
  </si>
  <si>
    <t>Sathyabama Institute of Science &amp; Technology; Sathyabama Institute of Science &amp; Technology</t>
  </si>
  <si>
    <t>Ghosh, S (corresponding author), Coll Med Sci, Dept Oral Pathol, Bharatpur, Nepal.</t>
  </si>
  <si>
    <t>ghoshrocks2004@gmail.com</t>
  </si>
  <si>
    <t>Ghosh, Snehashish/0000-0002-7349-1619</t>
  </si>
  <si>
    <t>e7895</t>
  </si>
  <si>
    <t>10.1002/ccr3.7895</t>
  </si>
  <si>
    <t>Q8OX2</t>
  </si>
  <si>
    <t>WOS:001060071000001</t>
  </si>
  <si>
    <t>Chu, WY; Dorlo, TPC</t>
  </si>
  <si>
    <t>Chu, Wan-Yu; Dorlo, Thomas P. C.</t>
  </si>
  <si>
    <t>Comment on Dosing implications for liposomal amphotericin B in pregnancy</t>
  </si>
  <si>
    <t>PHARMACOTHERAPY</t>
  </si>
  <si>
    <t>INFECTIOUS-DISEASES-SOCIETY; CLINICAL-PRACTICE GUIDELINES; VISCERAL LEISHMANIASIS; DISSEMINATED BLASTOMYCOSIS; CASE SERIES; PHARMACOKINETICS; HISTOPLASMOSIS; MANAGEMENT; EFFICACY; UPDATE</t>
  </si>
  <si>
    <t>Uppsala Univ, Dept Pharm, Uppsala, Sweden; Netherlands Canc Inst, Dept Pharm Pharmacol, Amsterdam, Netherlands</t>
  </si>
  <si>
    <t>Uppsala University; Netherlands Cancer Institute</t>
  </si>
  <si>
    <t>Dorlo, TPC (corresponding author), Uppsala Univ, Dept Pharm, Correspondence, Thomas P C Dorlo, S-75123 Uppsala, Sweden.</t>
  </si>
  <si>
    <t>thomas.dorlo@farmaci.uu.se</t>
  </si>
  <si>
    <t>; Dorlo, Thomas/F-1339-2011</t>
  </si>
  <si>
    <t>Chu, Wan-Yu/0000-0002-0402-8807; Dorlo, Thomas/0000-0003-3076-8435</t>
  </si>
  <si>
    <t>0277-0008</t>
  </si>
  <si>
    <t>1875-9114</t>
  </si>
  <si>
    <t>Pharmacotherapy</t>
  </si>
  <si>
    <t>10.1002/phar.2862</t>
  </si>
  <si>
    <t>R8RK3</t>
  </si>
  <si>
    <t>WOS:001066971300010</t>
  </si>
  <si>
    <t>Cracchiolo, AN; Palma, DM; Genco, F; Palmeri, M; Teresi, A; Zummo, L; Gigliuto, C; Saporito, EFG; Ferruzza, A; Piccoli, T</t>
  </si>
  <si>
    <t>Cracchiolo, Andrea Neville; Palma, Daniela Maria; Genco, Fabio; Palmeri, Marco; Teresi, Alessandra; Zummo, Leila; Gigliuto, Carmelo; Saporito, Erik Flavio Giuseppe; Ferruzza, Angela; Piccoli, Tommaso</t>
  </si>
  <si>
    <t>Fibromyalgia: Could hyperbaric oxygen therapy make the difference? Our experience</t>
  </si>
  <si>
    <t>chronic diseases; complementary and alternative medicine; immunology; neurology</t>
  </si>
  <si>
    <t>WIDESPREAD PAIN; FATIGUE; INJURY</t>
  </si>
  <si>
    <t>Fibromyalgia is a rare disease, difficult to diagnose and to treat. We think that hyperbaric oxygen therapy could improve its signs and symptoms although more evidences have to be accumulated.</t>
  </si>
  <si>
    <t>[Cracchiolo, Andrea Neville; Palma, Daniela Maria; Genco, Fabio; Palmeri, Marco; Teresi, Alessandra] ARNAS Civ Cristina &amp; Benfratelli, Palermo, Italy; [Zummo, Leila] ARNAS Civ Di Cristina Benfratelli, Unit Gynecol Oncol, Palermo, Italy; [Gigliuto, Carmelo] Umberto I Siracusa Hosp, UOC Anestesia &amp; Rianimaz Camera Iperbarica, Siracusa, Italy; [Saporito, Erik Flavio Giuseppe] Cannizzaro Hosp, UOC Anestesia &amp; Rianimaz Med Iperbar, Catania, Italy; [Ferruzza, Angela] AOOR Villa Sofia Cervello, Palermo, Italy; [Piccoli, Tommaso] Univ Palermo, Dept Biomed Neurosci &amp; Adv Diagnost BIND, Neurol Unit, Palermo, Italy; [Palma, Daniela Maria] ARNAS Civico Cristina Benfratelli, UOC Emergenza Urgenza Serv Med Iperbar 118, Piazza N Leotta 2, I-90127 Palermo, Italy</t>
  </si>
  <si>
    <t>A.R.N.A.S. Ospedali Civico Di Cristina Benfratelli; A.R.N.A.S. Ospedali Civico Di Cristina Benfratelli; University of Palermo; A.R.N.A.S. Ospedali Civico Di Cristina Benfratelli</t>
  </si>
  <si>
    <t>Palma, DM (corresponding author), ARNAS Civico Cristina Benfratelli, UOC Emergenza Urgenza Serv Med Iperbar 118, Piazza N Leotta 2, I-90127 Palermo, Italy.</t>
  </si>
  <si>
    <t>danipalma73@yahoo.it</t>
  </si>
  <si>
    <t>e7812</t>
  </si>
  <si>
    <t>10.1002/ccr3.7812</t>
  </si>
  <si>
    <t>P9EF1</t>
  </si>
  <si>
    <t>gold, Green Submitted</t>
  </si>
  <si>
    <t>WOS:001053627000001</t>
  </si>
  <si>
    <t>Darcy, HE; Anderson, PSL</t>
  </si>
  <si>
    <t>Darcy, Hannah E.; Anderson, Philip S. L.</t>
  </si>
  <si>
    <t>Morphological variation in the vomer of aquatic and terrestrial spelerpini salamanders</t>
  </si>
  <si>
    <t>morphological diversification; niche lability; plethodontid salamanders</t>
  </si>
  <si>
    <t>SKULL SHAPE; EVOLUTION; DIVERSIFICATION; FAMILY</t>
  </si>
  <si>
    <t>The vomer is an important tooth-bearing cranial bone in the lungless salamanders (Caudata: Plethodontidae) that serves different functional roles in aquatic versus terrestrial feeding. Vomerine tooth rows that run parallel with the maxillary teeth are thought to help grasp prey while expelling water from the mouth, while posterior extensions of the tooth row may help terrestrial taxa bring prey down the throat. We hypothesize that these two general morphological types will correlate with the habitat (aquatic vs. terrestrial) of adult salamanders. Alternatively, variation in form may be due to taxonomic effects, such that closely related species will have similar vomer morphology regardless of adult habitat. To test this hypothesis, we examined vomer shape on a set of species of the morphologically diverse tribe Spelerpini, in which two of the five genera (Eurycea and Gyrinophilus) include both aquatic and terrestrial species. Data were collected using micro computed tomography (micro-CT) scans from specimens from the Field Museum of Natural History and the Illinois Natural History Survey; additional data was obtained from public online repositories including . Two-dimensional geometric morphometric analyses were performed to capture shape variation of both the vomer and the vomerine tooth row. We found clear separation between aquatic and terrestrial taxa, with most of the variation due to differences in the vomerine tooth row. Differences ascribed to habitat use likely correspond to feeding behavior, and the functional role of the vomer in prey processing warrants further investigation in this species-rich salamander family.</t>
  </si>
  <si>
    <t>[Darcy, Hannah E.; Anderson, Philip S. L.] Univ Illinois, Dept Evolut Ecol &amp; Behav, Champaign, IL 61820 USA</t>
  </si>
  <si>
    <t>University of Illinois System; University of Illinois Urbana-Champaign</t>
  </si>
  <si>
    <t>Darcy, HE (corresponding author), Univ Illinois, Dept Evolut Ecol &amp; Behav, Champaign, IL 61820 USA.</t>
  </si>
  <si>
    <t>hdarcy2@illinois.edu</t>
  </si>
  <si>
    <t>Department of Animal Biology Block Grant, UIUC; Lebus Fund Award, School of Integrative Biology, UIUC; Eugene P. Odum-S. Charles Kendeigh Fund, Department of Evolution, Ecology, and Behavior, UIUC</t>
  </si>
  <si>
    <t>&amp; nbsp;We would like to thank the following people and institutions for access to collections: Alan Resetar at the Field Museum of Natural History, Blaine Schubert at the East Tennessee State University Vertebrate Paleontology Laboratory, and Jeffrey Beane at the North Carolina Museum of Natural Sciences. We would also like to thank Stephanie Crofts, Jules Chabain, Bradley Scott, Kasey Brockelsby, and the late David Wake for discussions of this work. We would like to thank Alexander Kupfer and an anonymous reviewer for their valuable input. Funding was provided through a Department of Animal Biology Block Grant, UIUC; the Lebus Fund Award, School of Integrative Biology, UIUC; and the Eugene P. Odum-S. Charles Kendeigh Fund, Department of Evolution, Ecology, and Behavior, UIUC.</t>
  </si>
  <si>
    <t>e21618</t>
  </si>
  <si>
    <t>10.1002/jmor.21618</t>
  </si>
  <si>
    <t>M8AL3</t>
  </si>
  <si>
    <t>WOS:001032386500001</t>
  </si>
  <si>
    <t>Devoto, F; Ferrulli, A; Banfi, G; Luzi, L; Zapparoli, L; Paulesu, E</t>
  </si>
  <si>
    <t>Devoto, Francantonio; Ferrulli, Anna; Banfi, Giuseppe; Luzi, Livio; Zapparoli, Laura; Paulesu, Eraldo</t>
  </si>
  <si>
    <t>How images of food become cravingly salient in obesity</t>
  </si>
  <si>
    <t>STATE FUNCTIONAL CONNECTIVITY; COGNITIVE REGULATION; SUBSTANTIA-NIGRA; REWARD; DRUG</t>
  </si>
  <si>
    <t>ObjectiveThis case-control study was aimed at testing two main hypotheses: (i) obesity is characterized by neurofunctional alterations within the mesocorticolimbic reward system, a brain network originating from the midbrain ventral tegmental area (VTA); and (ii) these alterations are associated with a bias for food-related stimuli and craving. MethodsNormal-weight individuals and individuals with obesity underwent a resting-state functional magnetic resonance imaging scan and the assessment of impulsivity, food craving, appetite, and implicit bias for food and non-food stimuli. The VTA was used as a seed to map, for each participant, the strength of its functional connections with the rest of the brain. The between-group difference in functional connectivity was then computed, and brain-behavior correlations were performed. ResultsIndividuals with obesity showed hyper-connectivity of the VTA with part of the ventral occipitotemporal cortex, recently found to be specialized for food images, and hypo-connectivity with the left inferior frontal gyrus, devoted to cognitive control. VTA-ventral occipitotemporal cortex connectivity was positively associated with food craving and food-related bias; the reverse correlation was observed for VTA-inferior frontal gyrus connectivity. ConclusionsThese findings reveal that, in obesity, food-related visual stimuli become cravingly salient through an imbalanced connectivity of the reward system with sensory-specific regions and the frontal cortex involved in cognitive control.</t>
  </si>
  <si>
    <t>[Devoto, Francantonio; Zapparoli, Laura; Paulesu, Eraldo] Univ Milano Bicocca, Dept Psychol, Milan, Italy; [Ferrulli, Anna; Luzi, Livio] IRCCS Multimed, Dept Endocrinol Nutr &amp; Metab Dis, Milan, Italy; [Ferrulli, Anna; Luzi, Livio] Univ Milan, Dept Biomed Sci Hlth, Milan, Italy; [Banfi, Giuseppe; Zapparoli, Laura; Paulesu, Eraldo] IRCCS Orthoped Inst Galeazzi, Milan, Italy; [Banfi, Giuseppe] Univ Vita &amp; Salute San Raffaele, Milan, Italy</t>
  </si>
  <si>
    <t>University of Milano-Bicocca; IRCCS Multimedica; University of Milan; Vita-Salute San Raffaele University</t>
  </si>
  <si>
    <t>Devoto, F; Zapparoli, L (corresponding author), Univ Milano Bicocca, Dept Psychol, Milan, Italy.</t>
  </si>
  <si>
    <t>francantonio.devoto@unimib.it; laura.zapparoli@unimib.it</t>
  </si>
  <si>
    <t>DEVOTO, FRANCANTONIO/M-8470-2018</t>
  </si>
  <si>
    <t>DEVOTO, FRANCANTONIO/0000-0002-3240-2341</t>
  </si>
  <si>
    <t>Italian Ministry of Health [RF-2011-02349303]; Ricerca Corrente, project [L4119]</t>
  </si>
  <si>
    <t>Italian Ministry of Health(Ministry of Health, Italy); Ricerca Corrente, project</t>
  </si>
  <si>
    <t>Italian Ministry of Health, Grant/Award Numbers: Ricerca Finalizzata, project RF-2011-02349303, IRCCS MultiMedica; Ricerca Corrente, project L4119, IRCCS Orthopedic Institute Galeazzi</t>
  </si>
  <si>
    <t>10.1002/oby.23834</t>
  </si>
  <si>
    <t>Green Submitted, Bronze</t>
  </si>
  <si>
    <t>WOS:001051980400010</t>
  </si>
  <si>
    <t>Duan, CH; Shang, DZ; Luo, XP; Hao, XJ; Cao, XK</t>
  </si>
  <si>
    <t>Duan, Chenghong; Shang, Dazhi; Luo, Xiangpeng; Hao, Xiaojie; Cao, Xiankun</t>
  </si>
  <si>
    <t>Effects of Residual Stress Induced by Laser Shock Peening on Fatigue Crack Propagation Behavior in Directed Energy Deposition Stainless Steel</t>
  </si>
  <si>
    <t>STEEL RESEARCH INTERNATIONAL</t>
  </si>
  <si>
    <t>316L stainless steels; directed energy depositions; fatigue characteristics; laser shock peening; residual stress</t>
  </si>
  <si>
    <t>HIGH-ENTROPY ALLOY; MECHANICAL-PROPERTIES; MICROSTRUCTURE; GROWTH</t>
  </si>
  <si>
    <t>To investigate the effect of laser shock peening (LSP) on the fatigue crack propagation behavior of 316L stainless steel fabricated by directed energy deposition (DED), three-dimensional finite element models of DED and compact tensile specimens before and after LSP are developed. The residual stress fields induced by DED and LSP are simulated, as well as the effects of different residual stresses on the stress intensity factor and effective stress ratio based on the contour integral method are also analyzed. The microstructure of the LSP region is observed by scanning electron microscope. When the crack length increases from 12 to 22.5 mm, the average effective stress ratio of the DED specimen is 0.133, and the average effective stress ratio of the DED specimen after LSP decreases to 0.110, which decreases by 17.3%. The fatigue lives of the DED specimen before and after LSP are 62.7% and 105.2% of that of the hot-rolled plate. After LSP treatment, the fatigue life of the DED specimen is increased by about 1.68 times. The fracture morphology in the transient fracture zone changes from ductile and brittle mixed fracture to ductile fracture. Herein, the three-dimensional finite element model of directed energy deposition and a compact tensile specimen before and after laser shock peening are first established. Then, the stress field distribution of the specimens is obtained by a combination of experiments and simulations. Finally, the influence rules of residual stress on the stress intensity factor and effective stress ratio are quantified based on the contour integral method.image &amp; COPY; 2023 WILEY-VCH GmbH</t>
  </si>
  <si>
    <t>[Duan, Chenghong; Shang, Dazhi; Luo, Xiangpeng; Hao, Xiaojie; Cao, Xiankun] Beijing Univ Chem Technol, Coll Mech &amp; Elect Engn, Beijing 100029, Peoples R China</t>
  </si>
  <si>
    <t>Beijing University of Chemical Technology</t>
  </si>
  <si>
    <t>Shang, DZ; Luo, XP (corresponding author), Beijing Univ Chem Technol, Coll Mech &amp; Elect Engn, Beijing 100029, Peoples R China.</t>
  </si>
  <si>
    <t>2020400152@buct.edu.cn; xpluo@mail.buct.edu.cn</t>
  </si>
  <si>
    <t>This work was supported by the Key Program of the National Natural Science Foundation of China (52235006), Key Research and Development Program of Sichuan Province (2022YFG0086), and the National Key Research and Development Program of China (2016YFB110020 [2022YFG0086]; Key Program of the National Natural Science Foundation of China [2016YFB1100202]; Key Research and Development Program of Sichuan Province; National Key Research and Development Program of China; [52235006]</t>
  </si>
  <si>
    <t>This work was supported by the Key Program of the National Natural Science Foundation of China (52235006), Key Research and Development Program of Sichuan Province (2022YFG0086), and the National Key Research and Development Program of China (2016YFB110020; Key Program of the National Natural Science Foundation of China(National Natural Science Foundation of China (NSFC)); Key Research and Development Program of Sichuan Province; National Key Research and Development Program of China;</t>
  </si>
  <si>
    <t>This work was supported by the Key Program of the National Natural Science Foundation of China (52235006), Key Research and Development Program of Sichuan Province (2022YFG0086), and the National Key Research and Development Program of China (2016YFB1100202).</t>
  </si>
  <si>
    <t>1611-3683</t>
  </si>
  <si>
    <t>1869-344X</t>
  </si>
  <si>
    <t>STEEL RES INT</t>
  </si>
  <si>
    <t>Steel Res. Int.</t>
  </si>
  <si>
    <t>10.1002/srin.202300328</t>
  </si>
  <si>
    <t>Metallurgy &amp; Metallurgical Engineering</t>
  </si>
  <si>
    <t>Q2UG4</t>
  </si>
  <si>
    <t>WOS:001056111100001</t>
  </si>
  <si>
    <t>Garcia-Calvo, J; Cranston, RR; Lopez-Duarte, I; Torres, T; Lessard, BH</t>
  </si>
  <si>
    <t>Garcia-Calvo, Jose; Cranston, Rosemary R.; Lopez-Duarte, Ismael; Torres, Tomas; Lessard, Benoit H.</t>
  </si>
  <si>
    <t>Soluble Ruthenium Phthalocyanines as Semiconductors for Organic Thin-Film Transistors</t>
  </si>
  <si>
    <t>CHEMELECTROCHEM</t>
  </si>
  <si>
    <t>Organic Thin-Film Transistor; Photo-Electrochemical Characterization; p-Type Organic Semiconductor; Ruthenium Phthalocyanine; Solution Processing</t>
  </si>
  <si>
    <t>X-RAY REFLECTOMETRY; SILICON PHTHALOCYANINE; PERFORMANCE; OXYGEN; COMPLEXES; ELECTRON; TIN</t>
  </si>
  <si>
    <t>Ruthenium phthalocyanine (RuPcs) are multipurpose compounds characterized by their remarkable reactivity and photoelectronic properties, which yield a broad synthetic scope and easy derivatization at the axial position. However, RuPcs have been underexplored for use in organic thin-film transistors (OTFTs), and therefore new studies are necessary to provide basic insight and a first approach in this new application. Herein, two novel RuPc derivatives, containing axial pyridine substituents with aliphatic chains (RuPc(CO)(PyrSiC6) (1) and RuPc(PyrSiC6)2 (2), were synthesized, characterized, and tested as the organic semiconductor in OTFTs. RuPc thin-films were characterized by X-ray diffraction (XRD), and atomic force microscopy (AFM) to assess film morphology and microstructure. 1 displayed comparable p-type device performance to other phthalocyanine-based OTFTs of similar design, with an average field effect mobility of 2.08x10-3 cm2 V-1 s-1 in air and 1.36x10-3 cm2 V-1 s-1 in nitrogen, and threshold voltages from -11 V to -20 V. 2 was found to be non-functional as the semiconductor in the device architecture used, likely as a result of significant differences in thin-film formation. The results of this work illustrate a promising starting point for future development of RuPc electronic devices, particularly in this new family of OTFTs. Ruthenium phtalocyanines (RuPcs) possess distinct photoelectronic properties and a broad synthetic scope allowing for highly tuneable molecular designs, making them promising candidates as organic semiconductors in OTFTs. However, RuPcs have been underexplored in this field, and more studies are needed to provide basic insight into their potential. Herein, two novel RuPc derivatives were synthesized and implemented in OTFTs displaying p-type device operation.+image</t>
  </si>
  <si>
    <t>[Garcia-Calvo, Jose; Torres, Tomas] Univ Autonoma Madrid, Dept Organ Chem, Campus Cantoblanco, E-28049 Madrid, Spain; [Garcia-Calvo, Jose; Torres, Tomas] Univ Autonoma Madrid, Inst Adv Res Chem Sci IAdChem, Campus Cantoblanco, E-28049 Madrid, Spain; [Garcia-Calvo, Jose; Torres, Tomas] IMDEA Nanociencia, Campus Cantoblanco,C Faraday 9, Madrid 28049, Spain; [Cranston, Rosemary R.; Lessard, Benoit H.] Univ Ottawa, Dept Chem &amp; Biol Engn, 161 Louis Pasteur, Ottawa, ON, Canada; [Lopez-Duarte, Ismael] Univ Complutense Madrid, Dept Chem Pharmaceut Sci, Ciudad Univ,Ramon y Cajal Sq, Madrid 28040, Spain; [Lessard, Benoit H.] Univ Ottawa, Sch Elect Engn &amp; Comp Sci, 800 King Edward Ave, Ottawa, ON, Canada</t>
  </si>
  <si>
    <t>Autonomous University of Madrid; Autonomous University of Madrid; University of Ottawa; Complutense University of Madrid; University of Ottawa</t>
  </si>
  <si>
    <t>Torres, T (corresponding author), Univ Autonoma Madrid, Dept Organ Chem, Campus Cantoblanco, E-28049 Madrid, Spain.;Torres, T (corresponding author), Univ Autonoma Madrid, Inst Adv Res Chem Sci IAdChem, Campus Cantoblanco, E-28049 Madrid, Spain.;Torres, T (corresponding author), IMDEA Nanociencia, Campus Cantoblanco,C Faraday 9, Madrid 28049, Spain.;Lessard, BH (corresponding author), Univ Ottawa, Dept Chem &amp; Biol Engn, 161 Louis Pasteur, Ottawa, ON, Canada.;Lessard, BH (corresponding author), Univ Ottawa, Sch Elect Engn &amp; Comp Sci, 800 King Edward Ave, Ottawa, ON, Canada.</t>
  </si>
  <si>
    <t>tomas.torres@uam.es; benoit.lessard@uottawa.ca</t>
  </si>
  <si>
    <t>; Lessard, Benoit/C-9098-2012; Torres, Tomas/H-9796-2014</t>
  </si>
  <si>
    <t>GARCIA CALVO, JOSE/0000-0002-1873-0293; Lessard, Benoit/0000-0002-9863-7039; Cranston, Rosemary/0000-0001-6788-0186; Torres, Tomas/0000-0001-9335-6935</t>
  </si>
  <si>
    <t>B.H.L and R.R.C would like to thank the Centre for Research in Photonics at the University of Ottawa (CRPuO) for access to the AFM.</t>
  </si>
  <si>
    <t>2196-0216</t>
  </si>
  <si>
    <t>ChemElectroChem</t>
  </si>
  <si>
    <t>10.1002/celc.202300286</t>
  </si>
  <si>
    <t>Electrochemistry</t>
  </si>
  <si>
    <t>Q2NX7</t>
  </si>
  <si>
    <t>WOS:001055946100001</t>
  </si>
  <si>
    <t>Islam, R; Sultana, N</t>
  </si>
  <si>
    <t>Islam, Rafiqul; Sultana, Nasrin</t>
  </si>
  <si>
    <t>Efficacy of clove and tulsi supplementation in drinking water in broiler immunity</t>
  </si>
  <si>
    <t>bursa of Fabricius; medicinal plants; phytochemicals; spleen; thymus</t>
  </si>
  <si>
    <t>ORGANS</t>
  </si>
  <si>
    <t>Background: Medicinal plants or their products are popular substitutes for antibiotics or other synthetic growth promoters for their beneficial effects and cost-effectiveness. Clove (Cv) and tulsi (Ts) are rich in phytochemicals and are used to augment the growth performance of poultry. Objectives: The current investigation was carried out to evaluate the effects of Cv and Ts supplementation in drinking water on the morphologic and morphometric adaptations in the lymphoid organs. Methods: The experiment was conducted on 60 broiler chicks, divided into 4 homogenous groups (5 pens/group and 3 broilers/pen) named T0 (control), T1 (0.5% Cv and 2% Ts), T2 (1% Cv and 3% Ts) and T3 (1.5% Cv and 4% Ts). The treatments were administered from days 8 to 28. Lymphoid organs (thymus, spleen and bursa of Fabricius) were collected on days 14, 21 and 28 after sacrificing five broilers from each group. Results: The treatment groups had higher thymus and spleen weights on day 21, whereas the weights of the bursa of Fabriciuswere higher on days 14, 21 and 28. In the histomorphologic study, no noticeable difference in the histoarchitectures of the lymphoid organs was noticed. However, substantial differences in the cortico-medullary ratio and the number of follicles in the thymus and bursa of Fabricius, respectively, were found in the histomorphometric investigation. Conclusion: The inclusion of Cv and Ts in drinking water augments the weight of lymphoid organs with histomorphometric adaptations that might improve the immune status in broilers.</t>
  </si>
  <si>
    <t>[Islam, Rafiqul; Sultana, Nasrin] Bangladesh Agr Univ, Fac Vet Sci, Dept Anat &amp; Histol, Mymensingh, Bangladesh; [Sultana, Nasrin] Bangladesh Agr Univ, Fac Vet Sci, Dept Anat &amp; Histol, Mymensingh 2202, Bangladesh</t>
  </si>
  <si>
    <t>Bangladesh Agricultural University (BAU); Bangladesh Agricultural University (BAU)</t>
  </si>
  <si>
    <t>Sultana, N (corresponding author), Bangladesh Agr Univ, Fac Vet Sci, Dept Anat &amp; Histol, Mymensingh 2202, Bangladesh.</t>
  </si>
  <si>
    <t>nasrin.sultana@bau.edu.bd</t>
  </si>
  <si>
    <t>Islam, Rafiqul/HKO-8350-2023</t>
  </si>
  <si>
    <t>Islam, Rafiqul/0000-0001-6765-2693</t>
  </si>
  <si>
    <t>Ministry of Science and Technology [BS-56/2021-22]</t>
  </si>
  <si>
    <t>Ministry of Science and Technology(Ministry of Science, ICT &amp; Future Planning, Republic of KoreaSpanish Government)</t>
  </si>
  <si>
    <t>Ministry of Science and Technology, Grant/Award Number: BS-56/2021-22</t>
  </si>
  <si>
    <t>10.1002/vms3.1250</t>
  </si>
  <si>
    <t>R2GI0</t>
  </si>
  <si>
    <t>WOS:001062575700001</t>
  </si>
  <si>
    <t>Kakodia, SK; Dyanamina, G</t>
  </si>
  <si>
    <t>Kakodia, Sanjay Kumar; Dyanamina, Giribabu</t>
  </si>
  <si>
    <t>Improved Federal Test Procedure (FTP75) driving cycle performance for PMSM-fed hybrid electric vehicles using artificial neural network</t>
  </si>
  <si>
    <t>INTERNATIONAL JOURNAL OF CIRCUIT THEORY AND APPLICATIONS</t>
  </si>
  <si>
    <t>hybrid electric vehicle; neural network controller; PMSM; speed estimation; vector control</t>
  </si>
  <si>
    <t>SENSORLESS CONTROL; CONTROL-SYSTEM; MOTOR-DRIVES</t>
  </si>
  <si>
    <t>The sensorless speed control of permanent magnet synchronous motor (PMSM) is gaining popularity in hybrid electric vehicle (HEV) applications leading to its enhanced safety, reliability, and cost savings. Speed control using vector control for PMSM-fed HEV requires the speed encoder. When the speed sensor information fails, the inverter must ensure power delivery to the PMSM continuously by estimating the speed; this mode of operation is referred as limp-home mode in HEV. In this paper, a speed sensorless scheme has been proposed for PMSM-based HEV during limp-home mode operation. This paper presents a model reference adaptive system (MRAS) speed estimator based on an adaptive neural network controller (NNC) for speed estimation of PMSM. In the HEV application, in case of speed/position encoder failure, the speed of the PMSM can be estimated by stator flux using stator current.The proposed method employs stator currents in the reference model to eliminate the DC drift problem. Furthermore, the NNC is employed in the adaptation mechanism to improve the Federal Test Procedure (FTP75) driving cycle performance. The performance of the proposed control scheme has been validated with dSPACE 1104 R &amp; D rapid development controller using vector control for the PMSM during variable speed and torque, including the zero-speed applications This paper presents a model reference adaptive system (MRAS) speed observer based on an adaptive neural network controller for speed estimation of permanent magnet synchronous motor (PMSM) fed hybrid electric vehicle. When the speed sensor information fails, the inverter present in the power train of the vehicle must continuously ensure power delivery to the PMSM by estimating the speed; this mode of operation is referred to as limp-home mode in EV. The proposed method employs stator currents in the reference model to eliminate the DC drift problem. The ANN-based stator current MRAS speed observer has been tested for different driving cycles, such as FTP75, Indian urban, Indian highway drive cycle, and staircase reference input. The proposed control scheme enhances the system's dynamic performance by achieving better control and accuracy in speed regulation at different driving cycles, which is verified by comparing standard deviations (SDs) and relative error of speed response. image</t>
  </si>
  <si>
    <t>[Kakodia, Sanjay Kumar; Dyanamina, Giribabu] Maulana Azad Natl Inst Technol Bhopal, Dept Elect Engn, Bhopal, Madhya Pradesh, India</t>
  </si>
  <si>
    <t>National Institute of Technology (NIT System); Maulana Azad National Institute of Technology Bhopal</t>
  </si>
  <si>
    <t>Dyanamina, G (corresponding author), Maulana Azad Natl Inst Technol Bhopal, Dept Elect Engn, Bhopal, Madhya Pradesh, India.</t>
  </si>
  <si>
    <t>dgiribabu208@gmail.com</t>
  </si>
  <si>
    <t>kakodia, SAnjay/GYQ-8426-2022</t>
  </si>
  <si>
    <t>kakodia, SAnjay/0000-0001-7840-2884</t>
  </si>
  <si>
    <t>0098-9886</t>
  </si>
  <si>
    <t>1097-007X</t>
  </si>
  <si>
    <t>INT J CIRC THEOR APP</t>
  </si>
  <si>
    <t>Int. J. Circuit Theory Appl.</t>
  </si>
  <si>
    <t>10.1002/cta.3786</t>
  </si>
  <si>
    <t>Q3TD3</t>
  </si>
  <si>
    <t>WOS:001056766700001</t>
  </si>
  <si>
    <t>Kang, ZY; Ren, FQ; Zhang, HR; Yang, JJ; Hou, KN; Li, QQ; He, DX; Liu, HS; Zhao, YZ; Wen, HX</t>
  </si>
  <si>
    <t>Kang, Zhaoyang; Ren, Fuqiang; Zhang, Hongru; Yang, Jingjing; Hou, Kaining; Li, Qingquan; He, Dongxin; Liu, Hongshun; Zhao, Yongzhi; Wen, Huaxin</t>
  </si>
  <si>
    <t>A method for detecting two-dimensional plane stress distribution in basin-type insulator based on critically refracted longitudinal wave</t>
  </si>
  <si>
    <t>HIGH VOLTAGE</t>
  </si>
  <si>
    <t>RESIDUAL-STRESSES; WELDED-JOINTS; MICRO-DEFECTS</t>
  </si>
  <si>
    <t>Basin-type insulator often has small cracks due to stress concentration. The current method cannot accurately reflect the stress condition of the insulator to find the stress concentration areas. To solve these problems, a method for detecting two-dimensional plane stress (&amp; delta;1 and &amp; delta;2) within different depth ranges in a basin-type insulator is proposed based on critically refracted longitudinal (LCR) wave. First, the acoustoelastic equation characterising the relationship between the variation of LCR wave propagation time and the plane stress was derived. Next, the propagation characteristics of LCR wave in epoxy resin samples were investigated. Then, the stress distribution within different depth ranges of the insulator subjected to hydraulic load was measured using the proposed method, including direction (&amp; theta;), &amp; delta;1 and &amp; delta;2. The results show that the magnitude of the stress alone cannot accurately characterise the stress state. Points with equal distances to the centre have similar stress magnitudes, but their directions are not the same. With increasing depth, &amp; theta; remains essentially unchanged at the same location, while &amp; delta;1 and &amp; delta;2 decrease, and the rate of decrease varies at different locations. Comparing the measured and simulated data, the results showed that they were in good agreement, and the maximum errors of stress value and &amp; theta; were 0.69 MPa and 2.97 &amp; DEG;, respectively, which confirmed the feasibility and accuracy of the stress detection in the proposed method.</t>
  </si>
  <si>
    <t>[Kang, Zhaoyang; Ren, Fuqiang; Zhang, Hongru; Yang, Jingjing; Hou, Kaining; Li, Qingquan; He, Dongxin; Liu, Hongshun] Shandong Univ, Sch Elect Engn, Shandong Prov Key Lab UHV Transmiss Technol &amp; Equi, Jinan, Peoples R China; [Zhao, Yongzhi] Shandong Elect Engn &amp; Equipment Grp Co Ltd, Jinan, Peoples R China; [Wen, Huaxin] SDEE Hitachi High voltage Switchgear Co Ltd, Jinan, Peoples R China; [Ren, Fuqiang] Shandong Univ, Sch Elect Engn, Shandong Prov Key Lab UHV Transmiss Technol &amp; Equi, Jinan 250061, Peoples R China</t>
  </si>
  <si>
    <t>Shandong University; Shandong University</t>
  </si>
  <si>
    <t>Ren, FQ (corresponding author), Shandong Univ, Sch Elect Engn, Shandong Prov Key Lab UHV Transmiss Technol &amp; Equi, Jinan 250061, Peoples R China.</t>
  </si>
  <si>
    <t>renfuqiang@sdu.edu.cn</t>
  </si>
  <si>
    <t>This project was supported by Major Scientific and Technological Innovation Project of Shandong Province (2021CXGC010211).; Major Scientific and Technological Innovation Project of Shandong Province; [2021CXGC010211]</t>
  </si>
  <si>
    <t>This project was supported by Major Scientific and Technological Innovation Project of Shandong Province (2021CXGC010211).; Major Scientific and Technological Innovation Project of Shandong Province;</t>
  </si>
  <si>
    <t>This project was supported by Major Scientific and Technological Innovation Project of Shandong Province (2021CXGC010211).</t>
  </si>
  <si>
    <t>2397-7264</t>
  </si>
  <si>
    <t>HIGH VOLT</t>
  </si>
  <si>
    <t>High Volt.</t>
  </si>
  <si>
    <t>10.1049/hve2.12369</t>
  </si>
  <si>
    <t>Q2EJ4</t>
  </si>
  <si>
    <t>WOS:001055697700001</t>
  </si>
  <si>
    <t>Korfmann, K; Abu Awad, D; Tellier, A</t>
  </si>
  <si>
    <t>Korfmann, Kevin; Abu Awad, Diala; Tellier, Aurelien</t>
  </si>
  <si>
    <t>Weak seed banks influence the signature and detectability of selective sweeps</t>
  </si>
  <si>
    <t>ancestral recombination graph; fixation probability; fixation time; forward simulation; seed bank; selection; tree sequence; tskit; weak dormancy</t>
  </si>
  <si>
    <t>COALESCENT; MODEL; CONSEQUENCES; GERMINATION; EVOLUTION; SEQUENCES; INFERENCE; DORMANCY; GENES; RATES</t>
  </si>
  <si>
    <t>Seed banking (or dormancy) is a widespread bet-hedging strategy, generating a form of population overlap, which decreases the magnitude of genetic drift. The methodological complexity of integrating this trait implies it is ignored when developing tools to detect selective sweeps. But, as dormancy lengthens the ancestral recombination graph (ARG), increasing times to fixation, it can change the genomic signatures of selection. To detect genes under positive selection in seed banking species it is important to (1) determine whether the efficacy of selection is affected, and (2) predict the patterns of nucleotide diversity at and around positively selected alleles. We present the first tree sequence-based simulation program integrating a weak seed bank to examine the dynamics and genomic footprints of beneficial alleles in a finite population. We find that seed banking does not affect the probability of fixation and confirm expectations of increased times to fixation. We also confirm earlier findings that, for strong selection, the times to fixation are not scaled by the inbreeding effective population size in the presence of seed banks, but are shorter than would be expected. As seed banking increases the effective recombination rate, footprints of sweeps appear narrower around the selected sites and due to the scaling of the ARG are detectable for longer periods of time. The developed simulation tool can be used to predict the footprints of selection and draw statistical inference of past evolutionary events in plants, invertebrates, or fungi with seed banks.</t>
  </si>
  <si>
    <t>[Korfmann, Kevin; Abu Awad, Diala; Tellier, Aurelien] Tech Univ Munich, Sch Life Sci, Dept Life Sci Syst, Munich, Germany; [Abu Awad, Diala] Univ Paris Saclay, INRAE, CNRS, AgroParisTech,GQE Le Moulon, Gif Sur Yvette, France</t>
  </si>
  <si>
    <t>Technical University of Munich; AgroParisTech; UDICE-French Research Universities; Universite Paris Saclay; INRAE; Centre National de la Recherche Scientifique (CNRS)</t>
  </si>
  <si>
    <t>Korfmann, K; Tellier, A (corresponding author), Tech Univ Munich, Sch Life Sci, Dept Life Sci Syst, Munich, Germany.</t>
  </si>
  <si>
    <t>kevin.korfmann@tum.de; aurelien.tellier@tum.de</t>
  </si>
  <si>
    <t>Tellier, Aurelien/C-3852-2017; Abu Awad, Diala/O-1764-2018</t>
  </si>
  <si>
    <t>Tellier, Aurelien/0000-0002-8895-0785; Abu Awad, Diala/0000-0002-2680-1223</t>
  </si>
  <si>
    <t>The authors gratefully acknowledge the computational and data resources provided by the Leibniz Supercomputing Centre (). KK is supported by a grant from the Deutsche Forschungsgemeinschaft (DFG) through the TUM International Graduate School of Science and</t>
  </si>
  <si>
    <t>The authors gratefully acknowledge the computational and data resources provided by the Leibniz Supercomputing Centre (). KK is supported by a grant from the Deutsche Forschungsgemeinschaft (DFG) through the TUM International Graduate School of Science and Engineering (IGSSE), GSC 81, within the project GENOMIE QADOP. AT receives funding from the Deutsche Forschungsgemeinschaft (DFG) grant TE809/1-4, project 254587930. DAA was a Humboldt Post-Doctoral fellow. A preprint version of this article has been peer-reviewed and recommended by PCIEvolBiol (). Open Access funding enabled and organized by Projekt DEAL.</t>
  </si>
  <si>
    <t>10.1111/jeb.14204</t>
  </si>
  <si>
    <t>R0OO9</t>
  </si>
  <si>
    <t>hybrid, Green Submitted</t>
  </si>
  <si>
    <t>WOS:001061424300006</t>
  </si>
  <si>
    <t>Kumar, PV; Sivakumar, N; Shukla, P; Prakash, P; Durgaprasad, P; Krishna, CM; Raju, CSK; Reddy, GV</t>
  </si>
  <si>
    <t>Kumar, Poshala Vijay; Sivakumar, Narsu; Shukla, Pankaj; Prakash, Putta; Durgaprasad, Putta; Krishna, Chekolu Murali; Raju, Chakravarthula Siva Krishnam; Reddy, Gottam Viswanatha</t>
  </si>
  <si>
    <t>Dynamics of Brownian motion and flux conditions on naturally unsteady thermophoretic flow with variable fluid properties</t>
  </si>
  <si>
    <t>HEAT TRANSFER</t>
  </si>
  <si>
    <t>Brownian motion; PCF; PHF; radiation parameter; thermophoresis</t>
  </si>
  <si>
    <t>BOUNDARY-LAYER-FLOW; HEAT-TRANSFER CHARACTERISTICS; FREE-CONVECTION FLOW; STRETCHING SHEET; MICROPOLAR FLUID; SAKIADIS FLOWS; RADIATION; NANOFLUID; SURFACE; VISCOSITY</t>
  </si>
  <si>
    <t>This work examines the boundary flow difficulties of the past and the heat transfer properties of Blasius and Sakiadis flows under prescribed concentration flux and prescribed heat flux. The nanofluid is also taken into account in this model, along with impacts from Brownian motion and thermophoresis. The modified system governing partial differential equations is numerically solved by using the R-K method along with the shooting technique. Various values of physical quantities like thermophoresis parameter, Brownian motion parameter, Eckert number, thermal radiation parameter, heat source parameter, and magnetic field parameter along with the C-f, Nu(x), and Sh(x) were calculated using the temperature, concentration, and velocity profiles. Finally, we demonstrated how the Brownian motion, radiation, and thermophoresis parameters can significantly increase the temperature distributions. The concentration distributions were decelerated with an increase in Brownian motion parameters for both Blasius and Sakiadis cases.</t>
  </si>
  <si>
    <t>[Kumar, Poshala Vijay; Shukla, Pankaj; Durgaprasad, Putta] Vellore Inst Technol, Div Math, SAS, Chennai, Tamil Nadu, India; [Sivakumar, Narsu] SRM IST, Dept Math, Chennai, Tamil Nadu, India; [Prakash, Putta] Mohan Babu Univ, Sree Vidyanikethan Engn Coll, Dept Mech Engn, Tirupati, India; [Krishna, Chekolu Murali; Reddy, Gottam Viswanatha] Sri Venkateswara Univ, Dept Math, Tirupati, Andhra Pradesh, India; [Raju, Chakravarthula Siva Krishnam] GITAM Sch Technol, Dept Math, Bangalore, Karnataka, India</t>
  </si>
  <si>
    <t>Vellore Institute of Technology (VIT); VIT Chennai; SRM Institute of Science &amp; Technology Chennai; Sri Venkateswara University; Gandhi Institute of Technology &amp; Management (GITAM)</t>
  </si>
  <si>
    <t>Durgaprasad, P (corresponding author), Vellore Inst Technol, Div Math, SAS, Chennai, Tamil Nadu, India.</t>
  </si>
  <si>
    <t>durgaprasad.p@vit.ac.in</t>
  </si>
  <si>
    <t>, P DURGAPRASAD/AAQ-8839-2020</t>
  </si>
  <si>
    <t>, P DURGAPRASAD/0000-0002-1753-7088</t>
  </si>
  <si>
    <t>2688-4534</t>
  </si>
  <si>
    <t>2688-4542</t>
  </si>
  <si>
    <t>HEAT TRANSF</t>
  </si>
  <si>
    <t>Heat Transf.</t>
  </si>
  <si>
    <t>10.1002/htj.22872</t>
  </si>
  <si>
    <t>Thermodynamics</t>
  </si>
  <si>
    <t>N5XO9</t>
  </si>
  <si>
    <t>WOS:001037741000013</t>
  </si>
  <si>
    <t>Levinson, BA</t>
  </si>
  <si>
    <t>Levinson, Bradley A.</t>
  </si>
  <si>
    <t>Centering knowledge production: A matter of historical memory</t>
  </si>
  <si>
    <t>ANTHROPOLOGY &amp; EDUCATION QUARTERLY</t>
  </si>
  <si>
    <t>[Levinson, Bradley A.] Indiana Univ, Bloomington, IN 47405 USA</t>
  </si>
  <si>
    <t>Indiana University System; Indiana University Bloomington</t>
  </si>
  <si>
    <t>Levinson, BA (corresponding author), Indiana Univ, Bloomington, IN 47405 USA.</t>
  </si>
  <si>
    <t>brlevins@indiana.edu</t>
  </si>
  <si>
    <t>0161-7761</t>
  </si>
  <si>
    <t>1548-1492</t>
  </si>
  <si>
    <t>ANTHROPOL EDUC QUART</t>
  </si>
  <si>
    <t>Anthropol. Educ. Q.</t>
  </si>
  <si>
    <t>10.1111/aeq.12473</t>
  </si>
  <si>
    <t>Anthropology; Education &amp; Educational Research</t>
  </si>
  <si>
    <t>Q7EQ7</t>
  </si>
  <si>
    <t>WOS:001059121800002</t>
  </si>
  <si>
    <t>Li, Y; Yin, HL; Zhang, L; Lu, LJ</t>
  </si>
  <si>
    <t>Li, Yuan; Yin, Hanlin; Zhang, Le; Lu, Liangjing</t>
  </si>
  <si>
    <t>Janus kinase inhibitor for multicentric reticulohistiocytosis, a new potential treatment</t>
  </si>
  <si>
    <t>TOFACITINIB</t>
  </si>
  <si>
    <t>[Li, Yuan; Yin, Hanlin; Zhang, Le; Lu, Liangjing] Shanghai Jiao Tong Univ, Sch Med, Renji Hosp, Dept Rheumatol, Shanghai, Peoples R China; [Zhang, Le] Shanghai Jiao Tong Univ, Sch Med, Renji Hosp, Dept Pharm, Shanghai, Peoples R China; [Lu, Liangjing] Shanghai Jiao Tong Univ, Renji Hosp, Dept Rheumatol, Sch Med, Shanghai 200001, Peoples R China</t>
  </si>
  <si>
    <t>Shanghai Jiao Tong University; Shanghai Jiao Tong University; Shanghai Jiao Tong University</t>
  </si>
  <si>
    <t>Lu, LJ (corresponding author), Shanghai Jiao Tong Univ, Renji Hosp, Dept Rheumatol, Sch Med, Shanghai 200001, Peoples R China.</t>
  </si>
  <si>
    <t>lu_liangjing@163.com</t>
  </si>
  <si>
    <t>Li, Yuan/0000-0001-8211-8480; Zhang, Le/0000-0003-4683-5209; Yin, Hanlin/0000-0003-0706-3998</t>
  </si>
  <si>
    <t>Yuan Li: Data curation; Investigation; Validation; Visualization; Writing - original draft. Hanlin Yin: Conceptualization; Investigation; Project administration; Writing - review amp;amp; editing. Le Zhang: Writing - review amp;amp; editing; Liangjing Lu</t>
  </si>
  <si>
    <t>Yuan Li: Data curation; Investigation; Validation; Visualization; Writing - original draft. Hanlin Yin: Conceptualization; Investigation; Project administration; Writing - review &amp; editing. Le Zhang: Writing - review &amp; editing; Liangjing Lu: Conceptualization; Project administration; Supervision; Writing - review &amp; editing.</t>
  </si>
  <si>
    <t>10.1111/1756-185X.14793</t>
  </si>
  <si>
    <t>R2YM5</t>
  </si>
  <si>
    <t>WOS:001063056800002</t>
  </si>
  <si>
    <t>Liang, XL; Zhang, YX; Li, DY; Ge, SS; How, BVE; Lee, TH</t>
  </si>
  <si>
    <t>Liang, Xiaoling; Zhang, Yuxiang; Li, Dongyu; Ge, Shuzhi Sam; How, Bernard Voon Ee; Lee, Tong Heng</t>
  </si>
  <si>
    <t>Synchronized tracking control for dynamic positioning vessel</t>
  </si>
  <si>
    <t>INTERNATIONAL JOURNAL OF ROBUST AND NONLINEAR CONTROL</t>
  </si>
  <si>
    <t>dynamic positioning vessel; nonsingular sliding mode; synchronized tracking; time synchronized control</t>
  </si>
  <si>
    <t>SLIDING MODE CONTROL; FEEDBACK; SYSTEMS; DESIGN</t>
  </si>
  <si>
    <t>This article addresses the time-synchronized control problem for a floating liquefied natural gas (FLNG) vessel and a liquefied natural gas carrier (LNGC) in side-by-side offloading operation. For such a problem, the existing finite-time control approaches available are essentially only designed to ensure that the system state-variables converge within a certain time. Specifically how each state-variable converges is typically not considered in the design process. Along this line, the approach of time-synchronized design in this paper attains the more comprehensive and desirable outcome of having the marine vessels' state-variables arrive at the sliding mode surface in a fixed time. Also additionally, the state-variables converge at the same moment. This approach thus can attain synchronous tracking of the LNGC to the FLNG vessel. All these desirable properties and outcomes of control system convergence are rigorously proved in the work here via the methods of Lyapunov-type theorems and associated stability analysis. Furthermore, in order to ensure that the approaches developed here are suitably applicable in real-world engineering conditions (with system uncertainties and external disturbances), robustness extensions are also incorporated. In the presented work, the analytical issues and the methodologies in the designed control system solution under the conditions of the disturbed systems are discussed in detail. The numerical simulations conducted verify the merits of the proposed algorithm. Comparative numerical simulations on the developed scheme, and on traditional control, are carried out to demonstrate the important and improved outcomes attained with the time-synchronized features.</t>
  </si>
  <si>
    <t>[Liang, Xiaoling; Zhang, Yuxiang; Ge, Shuzhi Sam; Lee, Tong Heng] Natl Univ Singapore, Coll Design &amp; Engn, Singapore, Singapore; [Li, Dongyu] Beihang Univ, Sch Cyber Sci &amp; Technol, Beijing, Peoples R China; [How, Bernard Voon Ee] Technol Ctr Offshore &amp; Marine, Singapore 18411, Singapore; [Li, Dongyu] Beihang Univ, Sch Cyber Sci &amp; Technol, Beijing 100191, Peoples R China</t>
  </si>
  <si>
    <t>National University of Singapore; Beihang University; Beihang University</t>
  </si>
  <si>
    <t>Li, DY (corresponding author), Beihang Univ, Sch Cyber Sci &amp; Technol, Beijing 100191, Peoples R China.</t>
  </si>
  <si>
    <t>dongyulevyli@gmail.com</t>
  </si>
  <si>
    <t>This work was partially supported by Agency for Science, Technology and Research, Singapore, under RIE2020 Advanced Manufacturing and Engineering (AME) Industry Alignment Fund-Pre-Positioning (IAF-PP), project No. A19F1a0104, and partially supported by the [EDUNC-33-18-279-V12]; Agency for Science, Technology and Research, Singapore, under RIE2020 Advanced Manufacturing and Engineering (AME) Industry Alignment Fund; Ministry of Education, Singapore, under its Research Centre of Excellence award; Institute for Functional Intelligent Materials; [IAF-PP]</t>
  </si>
  <si>
    <t>This work was partially supported by Agency for Science, Technology and Research, Singapore, under RIE2020 Advanced Manufacturing and Engineering (AME) Industry Alignment Fund-Pre-Positioning (IAF-PP), project No. A19F1a0104, and partially supported by the; Agency for Science, Technology and Research, Singapore, under RIE2020 Advanced Manufacturing and Engineering (AME) Industry Alignment Fund; Ministry of Education, Singapore, under its Research Centre of Excellence award; Institute for Functional Intelligent Materials;</t>
  </si>
  <si>
    <t>This work was partially supported by Agency for Science, Technology and Research, Singapore, under RIE2020 Advanced Manufacturing and Engineering (AME) Industry Alignment Fund-Pre-Positioning (IAF-PP), project No. A19F1a0104, and partially supported by the Ministry of Education, Singapore, under its Research Centre of Excellence award to the Institute for Functional Intelligent Materials (I-FIM, project No. EDUNC-33-18-279-V12).</t>
  </si>
  <si>
    <t>1049-8923</t>
  </si>
  <si>
    <t>1099-1239</t>
  </si>
  <si>
    <t>INT J ROBUST NONLIN</t>
  </si>
  <si>
    <t>Int. J. Robust Nonlinear Control</t>
  </si>
  <si>
    <t>10.1002/rnc.6970</t>
  </si>
  <si>
    <t>Automation &amp; Control Systems; Engineering, Electrical &amp; Electronic; Mathematics, Applied</t>
  </si>
  <si>
    <t>Automation &amp; Control Systems; Engineering; Mathematics</t>
  </si>
  <si>
    <t>Q2BO5</t>
  </si>
  <si>
    <t>WOS:001055624500001</t>
  </si>
  <si>
    <t>Matsuoka, T; Narumoto, J; Morii-Kitani, F; Niwa, F; Mizuno, T; Abe, M; Takano, H; Wakasugi, N; Shima, A; Sawamoto, N; Ito, H; Toda, W; Hanakawa, T</t>
  </si>
  <si>
    <t>Matsuoka, Teruyuki; Narumoto, Jin; Morii-Kitani, Fukiko; Niwa, Fumitoshi; Mizuno, Toshiki; Abe, Mitsunari; Takano, Harumasa; Wakasugi, Noritaka; Shima, Atsushi; Sawamoto, Nobukatsu; Ito, Hiroshi; Toda, Wataru; Hanakawa, Takashi</t>
  </si>
  <si>
    <t>Parkinson's Alzheimer's Dis Dime</t>
  </si>
  <si>
    <t>Contribution of amyloid and putative Lewy body pathologies in neuropsychiatric symptoms</t>
  </si>
  <si>
    <t>INTERNATIONAL JOURNAL OF GERIATRIC PSYCHIATRY</t>
  </si>
  <si>
    <t>Alzheimer's disease; amyloid positron emission tomography; dopamine transporter single photon emission computed tomography; Lewy body disease; mild behavioral impairment; neuropsychiatric symptoms</t>
  </si>
  <si>
    <t>MILD BEHAVIORAL IMPAIRMENT; COGNITIVE IMPAIRMENT; DEMENTIA; DISEASE; ASSOCIATION; PREVALENCE; DIAGNOSIS; BODIES; SCALE</t>
  </si>
  <si>
    <t>Objectives: Neuropsychiatric symptom could be useful for detecting patients with prodromal dementia. Similarities and differences in the NPSs between preclinical/prodromal Alzheimer's disease (AD) and prodromal Parkinson's disease dementia (PDD)/Dementia with Lewy bodies (DLB) may exist. This study aimed to compare the NPSs between preclinical/prodromal AD and prodromal PDD/DLB.Methods: One hundred and three participants without dementia aged=50 years were included in this study. The mild behavioral impairment (MBI) total score and the MBI scores for each domain were calculated using the neuropsychiatric inventory questionnaire score. Participants were divided into five groups based on the clinical diagnosis by neurologists or psychiatrists in each institution based on the results of the amyloid positron emission tomography and dopamine transporter single photon emission computed tomography (DAT-SPECT): Group 1: amyloid-positive and abnormal DAT-SPECT, Group 2: amyloid-negative and abnormal DAT-SPECT, Group 3: amyloid-positive and normal DAT-SPECT, Group 4: mild cognitive impairment unlikely due to AD with normal DAT-SPECT, and Group 5: cognitively normal with amyloid-negative and normal DAT-SPECT.Results: The MBI abnormal perception or thought content scores were significantly higher in Group 1 than Group 5 (Bonferroni-corrected p = 0.012). The MBI total score (Bonferroni-corrected p = 0.011) and MBI impulse dyscontrol score (Bonferroni-corrected p = 0.033) in Group 4 were significantly higher than those in Group 5.Conclusion: The presence of both amyloid and putative Lewy body pathologies may be associated with psychotic symptoms.</t>
  </si>
  <si>
    <t>[Matsuoka, Teruyuki; Narumoto, Jin] Kyoto Prefectural Univ Med, Grad Sch Med Sci, Dept Psychiat, Kyoto, Japan; [Matsuoka, Teruyuki] Natl Hosp Org, Dept Psychiat, Maizuru Med Ctr, Kyoto, Japan; [Morii-Kitani, Fukiko; Niwa, Fumitoshi; Mizuno, Toshiki] Kyoto Prefectural Univ Med, Grad Sch Med Sci, Dept Neurol, Kyoto, Japan; [Abe, Mitsunari; Takano, Harumasa; Wakasugi, Noritaka] Natl Ctr Neurol &amp; Psychiat, Integrat Brain Imaging Ctr, Tokyo, Japan; [Shima, Atsushi] Kyoto Univ, Human Brain Res Ctr, Grad Sch Med, Kyoto, Japan; [Sawamoto, Nobukatsu] Kyoto Univ, Grad Sch Med, Dept Human Hlth Sci, Kyoto, Japan; [Ito, Hiroshi] Fukushima Med Univ, Dept Radiol &amp; Nucl Med, Fukushima, Japan; [Toda, Wataru] Fukushima Med Univ, Dept Neuropsychiat, Fukushima, Japan; [Hanakawa, Takashi] Kyoto Univ, Grad Sch Med, Dept Integrated Neuroanat &amp; Neuroimaging, Kyoto, Japan</t>
  </si>
  <si>
    <t>Kyoto Prefectural University of Medicine; Kyoto Prefectural University of Medicine; National Center for Neurology &amp; Psychiatry - Japan; Kyoto University; Kyoto University; Fukushima Medical University; Fukushima Medical University; Kyoto University</t>
  </si>
  <si>
    <t>Matsuoka, T (corresponding author), Kyoto Prefectural Univ Med, Grad Sch Med Sci, Dept Psychiat, 465 Kajii Cho,Kawaramachi Hirokoji,Kamigyo Ku, Kyoto 6028566, Japan.</t>
  </si>
  <si>
    <t>tmms2004@koto.kpu-m.ac.jp</t>
  </si>
  <si>
    <t>Shima, Atsushi/0000-0002-3068-4621</t>
  </si>
  <si>
    <t>Japan Agency for Medical Research and Development</t>
  </si>
  <si>
    <t>Japan Agency for Medical Research and Development(Japan Agency for Medical Research and Development (AMED))</t>
  </si>
  <si>
    <t>0885-6230</t>
  </si>
  <si>
    <t>1099-1166</t>
  </si>
  <si>
    <t>INT J GERIATR PSYCH</t>
  </si>
  <si>
    <t>Int. J. Geriatr. Psychiatr.</t>
  </si>
  <si>
    <t>e5993</t>
  </si>
  <si>
    <t>10.1002/gps.5993</t>
  </si>
  <si>
    <t>Geriatrics &amp; Gerontology; Gerontology; Psychiatry</t>
  </si>
  <si>
    <t>Q7UE7</t>
  </si>
  <si>
    <t>WOS:001059530400001</t>
  </si>
  <si>
    <t>Mills, IG</t>
  </si>
  <si>
    <t>Mills, Ian G.</t>
  </si>
  <si>
    <t>Untangling heterogeneity: From complexity to prediction</t>
  </si>
  <si>
    <t>[Mills, Ian G.] Univ Oxford, Nuffield Dept Surg Sci, Oxford, England; [Mills, Ian G.] Queens Univ Belfast, Patrick G Johnston Ctr Canc Res, Belfast, North Ireland</t>
  </si>
  <si>
    <t>University of Oxford; Queens University Belfast</t>
  </si>
  <si>
    <t>Mills, IG (corresponding author), Univ Oxford, Nuffield Dept Surg Sci, Oxford, England.</t>
  </si>
  <si>
    <t>ian.mills@nds.ox.ac.uk</t>
  </si>
  <si>
    <t>The author receives funding from Prostate Cancer UK, the Rosetrees Trust and the John Black Charitable Foundation. The funders have not been involved in or influenced any aspect of this article.; Prostate Cancer UK; Rosetrees Trust; John Black Charitable Foundation</t>
  </si>
  <si>
    <t>The author receives funding from Prostate Cancer UK, the Rosetrees Trust and the John Black Charitable Foundation. The funders have not been involved in or influenced any aspect of this article.; Prostate Cancer UK; Rosetrees Trust(Rosetrees Trust); John Black Charitable Foundation</t>
  </si>
  <si>
    <t>The author receives funding from Prostate Cancer UK, the Rosetrees Trust and the John Black Charitable Foundation. The funders have not been involved in or influenced any aspect of this article.</t>
  </si>
  <si>
    <t>10.1002/ijc.34709</t>
  </si>
  <si>
    <t>Q8BA4</t>
  </si>
  <si>
    <t>WOS:001059709200001</t>
  </si>
  <si>
    <t>Mu, DN; Xun, YH; Gao, Y; Ren, DY; Sun, C; Ma, X; Huang, GH; Xu, X</t>
  </si>
  <si>
    <t>Mu, Danning; Xun, Yihao; Gao, Ya; Ren, Dongyang; Sun, Chen; Ma, Xin; Huang, Guanhua; Xu, Xu</t>
  </si>
  <si>
    <t>A modified SWAT model for mechanistic simulation of soil water-salt transport and the interactions with shallow groundwater</t>
  </si>
  <si>
    <t>HYDROLOGICAL PROCESSES</t>
  </si>
  <si>
    <t>modified SWAT; numerical simulation; salt transport; shallow groundwater fluctuations; vadose zone flow; water-salt stress</t>
  </si>
  <si>
    <t>IRRIGATION DISTRICT; HYDRAULIC CONDUCTIVITY; HETAO; TABLE; EVAPOTRANSPIRATION; PARAMETERIZATION; AGROECOSYSTEMS; REDUCTION; SALINITY; DYNAMICS</t>
  </si>
  <si>
    <t>Current hydrological models still face difficulties in accurately simulating vadose zone (VZ) hydrological processes in arid watersheds with shallow groundwater environments. Therefore, this article introduces a new mechanistic VZ module coupled with an improved groundwater-balance (GWB) module to enhance the capabilities of the well-known Soil Water Assessment Tools (SWAT) model. The main improvements and features of the modified SWAT model (M-SWAT) include: a numerical VZ module to accurately simulate soil water-salt transport under variably saturated conditions by solving the head-formed Richards' equation and advection-dispersion equation; a GWB module (on a sub-basin scale for shallow aquifer) coupled with VZ module by proposing an effective way of boundary information exchanges; and a more reasonable water-salt stress functions (i.e., based on matric head and osmotic head) to calculate root water uptake and plant growth. The M-SWAT was then tested and evaluated with two-year observation data from the Yangchang canal command area (YCA, an experimental site) and the Jiyuan Irrigation System (Jiyuan, region-scale), located in the arid upper Yellow River basin of northwest China. The model produced a good agreement between the simulated and observed data in both calibration and validation with sufficiently small root mean square error (RMSE). The determination coefficient (R2) was greater than 0.51, 0.36, and 0.87 in simulating the soil water-salt dynamics, groundwater depth fluctuations, and leaf area index development, respectively. Case testing also proved that the M-SWAT had sufficient computational efficiency and stability for regional application. Further comparisons with previous studies indicated that the M-SWAT could more accurately and rationally simulate the soil water-salt dynamics and their interactions in arid watersheds with shallow groundwater tables.</t>
  </si>
  <si>
    <t>[Mu, Danning; Xun, Yihao; Gao, Ya; Ren, Dongyang; Huang, Guanhua; Xu, Xu] China Agr Univ, Coll Water Resources &amp; Civil Engn, Chinese Israeli Int Ctr Res &amp; Training Agr, Beijing 100083, Peoples R China; [Mu, Danning; Xun, Yihao; Gao, Ya; Ren, Dongyang; Huang, Guanhua; Xu, Xu] China Agr Univ, Ctr Agr Water Res China, Beijing, Peoples R China; [Sun, Chen] Chinese Acad Agr Sci, Inst Environm &amp; Sustainable Dev Agr, Beijing, Peoples R China; [Ma, Xin] Water Resources Res Inst Inner Mongolia, Water Resources Dept Inner Mongolia Autonomous Reg, Hohhot, Peoples R China</t>
  </si>
  <si>
    <t>China Agricultural University; China Agricultural University; Chinese Academy of Agricultural Sciences; Institute of Environment &amp; Sustainable Development in Agriculture, CAAS</t>
  </si>
  <si>
    <t>Xu, X (corresponding author), China Agr Univ, Coll Water Resources &amp; Civil Engn, Chinese Israeli Int Ctr Res &amp; Training Agr, Beijing 100083, Peoples R China.</t>
  </si>
  <si>
    <t>xushengwu@cau.edu.cn</t>
  </si>
  <si>
    <t>Bayannur Science and Technology Bureau [NMKJXM202208]; National Natural Science Foundation of China [52022108]; Water Resources Department of Inner Mongolia Autonomous Region [NSK202103]</t>
  </si>
  <si>
    <t>Bayannur Science and Technology Bureau; National Natural Science Foundation of China(National Natural Science Foundation of China (NSFC)); Water Resources Department of Inner Mongolia Autonomous Region</t>
  </si>
  <si>
    <t>Bayannur Science and Technology Bureau, Grant/Award Number: NMKJXM202208; National Natural Science Foundation of China, Grant/Award Number: 52022108; Water Resources Department of Inner Mongolia Autonomous Region, Grant/Award Number: NSK202103</t>
  </si>
  <si>
    <t>0885-6087</t>
  </si>
  <si>
    <t>1099-1085</t>
  </si>
  <si>
    <t>HYDROL PROCESS</t>
  </si>
  <si>
    <t>Hydrol. Process.</t>
  </si>
  <si>
    <t>e14980</t>
  </si>
  <si>
    <t>10.1002/hyp.14980</t>
  </si>
  <si>
    <t>Water Resources</t>
  </si>
  <si>
    <t>R0MX0</t>
  </si>
  <si>
    <t>WOS:001061379800001</t>
  </si>
  <si>
    <t>Naeem, A; Tabassum, S; Bibi, A; Gill, S; Afzal, F; Anand, A</t>
  </si>
  <si>
    <t>Naeem, Aroma; Tabassum, Shehroze; Bibi, Arifa; Gill, Saima; Afzal, Faiza; Anand, Ayush</t>
  </si>
  <si>
    <t>Management of Marjolin's ulcer with popliteal lymphadenopathy with surgical resection and lymphadenectomy in a young patient, an uncommon lesion and overlooked entity: A case report</t>
  </si>
  <si>
    <t>burns; case report; lymphadenectomy; Marjolin's ulcer; skin neoplasms; surgical resection</t>
  </si>
  <si>
    <t>SQUAMOUS-CELL CARCINOMA</t>
  </si>
  <si>
    <t>\Marjolin's ulcer is a rare malignancy arising from chronic inflammation and commonly manifests in burn scars. Thus, in cases of chronic wounds or non-healing ulcers, health professionals should have a high index of suspicion and a low threshold for biopsy, irrespective of age. Early diagnosis and timely management of tumors can improve the prognosis and overall survival rate. Moreover, further studies are needed to develop an evidence-based management approach for Marjolin's ulcer.</t>
  </si>
  <si>
    <t>[Naeem, Aroma; Tabassum, Shehroze; Gill, Saima] King Edward Med Univ, Lahore, Pakistan; [Bibi, Arifa] Fatima Jinnah Med Univ Lahore, Lahore, Pakistan; [Afzal, Faiza] Mayo Hosp, Lahore, Pakistan; [Anand, Ayush] BP Koirala Inst Hlth Sci, Dharan 56700, Nepal</t>
  </si>
  <si>
    <t>B.P. Koirala Institute of Health Sciences</t>
  </si>
  <si>
    <t>Anand, A (corresponding author), BP Koirala Inst Hlth Sci, Dharan 56700, Nepal.</t>
  </si>
  <si>
    <t>ayushanandjha@gmail.com</t>
  </si>
  <si>
    <t>Anand, Ayush/ADC-3782-2022</t>
  </si>
  <si>
    <t>Anand, Ayush/0000-0003-0279-4636</t>
  </si>
  <si>
    <t>e7876</t>
  </si>
  <si>
    <t>10.1002/ccr3.7876</t>
  </si>
  <si>
    <t>R1EI6</t>
  </si>
  <si>
    <t>WOS:001061838400001</t>
  </si>
  <si>
    <t>Padmor, MS; Vishwakarma, P; Tothadi, S; Pratihar, S</t>
  </si>
  <si>
    <t>Padmor, Manohar Shivaji; Vishwakarma, Palak; Tothadi, Srinu; Pratihar, Sanjay</t>
  </si>
  <si>
    <t>Cooperative Bimetallic Co-Mn Catalyst: Exploiting Metallo-Organic and Hydrogen Bonded Interactions for Rechargeable C-/N-Alkylation</t>
  </si>
  <si>
    <t>Cooperativity; Cobalt; Manganese; Tandem; Dehydrogenation; Hydrogenation</t>
  </si>
  <si>
    <t>ONE-POT SYNTHESIS; BORROWING HYDROGEN; ALPHA-ALKYLATION; N-ALKYLATION; ASYMMETRIC HYDROGENATION; HETEROGENEOUS CATALYSIS; X-RAY; ALCOHOLS; AMINES; COMPLEXES</t>
  </si>
  <si>
    <t>Despite the progress on cobalt and manganese catalyzed C-C and C-N bond-forming methodologies, the associated catalyst reusability remains with some unresolved issue, which needs to be addressed. Disclosed herein, a flexible multidentate proton-responsive ligand (L) bearing 2,6-bis(1H-benzo[d]imidazol-2-yl)pyridine (BBP), 6-(1H-benzo[d]imidazol-2-yl)picolinic acid (BPA), and benzene-1,2-diamine (BDA) for Co/Mn-based mono- and bi-metallic supramolecular materials for C-/N-alkylation of alcohols. The flexible binding sites and different hydrogen bond donor-acceptor fragments of L brings the rigidity and self-assembling to ordered crystalline supramolecular materials, which prevented the coordinatively saturated active sites and thus providing much higher reaction efficiency and selectivity, which is highly unlikely in the case of comparable individual components. The easy synthesis, efficient reactivity and selectivity through cooperativity, broad substrate scope, and efficient recycling via recharging of metals make the catalyst and the protocol economical and sustainable. Importantly, the design strategy based on metallo-organic hydrogen bonded coordination assembly has the potential to contribute to the development of supramolecular materials for various advanced catalytic applications. Disclosed, herein, a flexible multidentate ligand (L) for Co/Mn-based supramolecular materials, serving as a reusable catalyst for C-/N-alkylation of alcohols with higher reaction efficiency and selectivity compared to individual components via its flexible binding sites, diverse hydrogen bond donor-acceptor fragments, rigidity, variable coordination mode, and cooperativity.image</t>
  </si>
  <si>
    <t>[Padmor, Manohar Shivaji; Tothadi, Srinu; Pratihar, Sanjay] Acad Sci &amp; Innovat Res AcSIR, Ghaziabad 201002, India; [Padmor, Manohar Shivaji; Vishwakarma, Palak; Pratihar, Sanjay] Cent Salt &amp; Marine Chem Res Inst, Inorgan Mat &amp; Catalysis Div, CSIR, GB Marg, Bhavnagar 364002, Gujarat, India; [Tothadi, Srinu] CSIR Cent Salt &amp; Marine Chem Res Inst, Analyt &amp; Environm Sci Div &amp; Centralized, Instrumentat Facil, Gijubhai Badheka Marg, Bhavnagar 364002, India</t>
  </si>
  <si>
    <t>Academy of Scientific &amp; Innovative Research (AcSIR); Council of Scientific &amp; Industrial Research (CSIR) - India; CSIR - Central Salt &amp; Marine Chemical Research Institute (CSMCRI); Council of Scientific &amp; Industrial Research (CSIR) - India; CSIR - Central Salt &amp; Marine Chemical Research Institute (CSMCRI)</t>
  </si>
  <si>
    <t>Pratihar, S (corresponding author), Acad Sci &amp; Innovat Res AcSIR, Ghaziabad 201002, India.;Pratihar, S (corresponding author), Cent Salt &amp; Marine Chem Res Inst, Inorgan Mat &amp; Catalysis Div, CSIR, GB Marg, Bhavnagar 364002, Gujarat, India.</t>
  </si>
  <si>
    <t>spratihar@csmcri.res.in</t>
  </si>
  <si>
    <t>Pratihar, Sanjay/0000-0002-0229-735X</t>
  </si>
  <si>
    <t>Financial support of this work by DST-SERB (project no. CRG/2021/002384) and UGC-India (M.S.P. for JRF) is gratefully acknowledged. The authors are thankful to Dr. Santanu Karan for the XPS analysis. Analytical and Environmental Science Division an [UGC-India, 110/2023]; DST-SERB; [CRG/2021/002384]</t>
  </si>
  <si>
    <t>Financial support of this work by DST-SERB (project no. CRG/2021/002384) and UGC-India (M.S.P. for JRF) is gratefully acknowledged. The authors are thankful to Dr. Santanu Karan for the XPS analysis. Analytical and Environmental Science Division an; DST-SERB(Department of Science &amp; Technology (India)Science Engineering Research Board (SERB), India);</t>
  </si>
  <si>
    <t>Financial support of this work by DST-SERB (project no. CRG/2021/002384) and UGC-India (M.S.P. for JRF) is gratefully acknowledged. The authors are thankful to Dr. Santanu Karan for the XPS analysis. Analytical and Environmental Science Division and Centralized Instrument Facility of CSIR-CSMCRI for providing instrument facilities. CSIR-CSMCRI communication no. 110/2023.</t>
  </si>
  <si>
    <t>10.1002/cctc.202300828</t>
  </si>
  <si>
    <t>Q2OA9</t>
  </si>
  <si>
    <t>WOS:001055949300001</t>
  </si>
  <si>
    <t>Rajamani, P; Veerasimman, A; Palani, G; Shanmugam, V; Rajendran, S; Subbaiah, A; Rameshkumar, GB</t>
  </si>
  <si>
    <t>Rajamani, Pradeep; Veerasimman, Arumugaprabu; Palani, Geetha; Shanmugam, Vigneshwaran; Rajendran, Sundarakannan; Subbaiah, Ajith; Rameshkumar, G. B.</t>
  </si>
  <si>
    <t>Enhancing vinyl ester properties with eco-friendly sustainable biochar filler</t>
  </si>
  <si>
    <t>mechanical properties; polymer composites; SEM analysis; sustainable biochar</t>
  </si>
  <si>
    <t>WASTE</t>
  </si>
  <si>
    <t>Biomass and other biogenic wastes can be used in polymeric materials, allowing for effective waste utilization. Thus, these materials can be converted into biochar and used in composite fabrication. Biochar was used in the current study to improve the mechanical and thermal properties of vinyl ester-based composites. Waste cashew nut shells were converted into biochar via a slow pyrolysis method. Biochar was added at three different levels (5, 10 and 15 wt.%). Composite with 10 wt.% biochar showed ca.72% and ca.54% higher tensile strength and hardness than the neat vinyl ester. The composite containing 15 wt.% biochar showed the highest impact and flexural strength of ca.47 MPa and ca.13 kJ/m2 respectively. The thermo-gravimetric study showed that the composites with 15 wt.% added biochar performed better than the others, with a yield percentage of ca.45%. This study provides a summary of biochar applications and highlights the advantages of biomass wastes with respect to energy and environmental sustainability for the production of strong and thermally stable composites.</t>
  </si>
  <si>
    <t>[Rajamani, Pradeep] Vaigai Coll Engn, Dept Mech Engn, Madurai, India; [Veerasimman, Arumugaprabu] Kalasalingam Acad Res &amp; Educ, Dept Mech Engn, Krishnankoil, India; [Palani, Geetha; Rajendran, Sundarakannan] Saveetha Inst Med &amp; Tech Sci, Saveetha Sch Engn, Inst Agr Engn, Chennai, India; [Shanmugam, Vigneshwaran] Saveetha Inst Med &amp; Tech Sci, Saveetha Sch Engn, Dept Mech Engn, Chennai, India; [Subbaiah, Ajith] GSFC Univ, Dept Fire &amp; Environm Hlth Safety Engn, Vadodara, India; [Rameshkumar, G. B.] Saveetha Inst Med &amp; Tech Sci, Saveetha Sch Engn, Dept Civil Engn, Chennai, India; [Veerasimman, Arumugaprabu] Kalasalingam Acad Res &amp; Educ, Dept Mech Engn, Krishnankoil 626126, India; [Rajendran, Sundarakannan] Saveetha Inst Med &amp; Tech Sci, Saveetha Sch Engn, Inst Agr Engn, Chennai 602105, India</t>
  </si>
  <si>
    <t>Kalasalingam Academy of Research &amp; Education; Saveetha Institute of Medical &amp; Technical Science; Saveetha School of Engineering; Saveetha Institute of Medical &amp; Technical Science; Saveetha School of Engineering; Saveetha Institute of Medical &amp; Technical Science; Saveetha School of Engineering; Kalasalingam Academy of Research &amp; Education; Saveetha Institute of Medical &amp; Technical Science; Saveetha School of Engineering</t>
  </si>
  <si>
    <t>Veerasimman, A (corresponding author), Kalasalingam Acad Res &amp; Educ, Dept Mech Engn, Krishnankoil 626126, India.;Rajendran, S (corresponding author), Saveetha Inst Med &amp; Tech Sci, Saveetha Sch Engn, Inst Agr Engn, Chennai 602105, India.</t>
  </si>
  <si>
    <t>v.arumugaprabu@klu.ac.in; sundarakannan.r@gmail.com</t>
  </si>
  <si>
    <t>G B, RAMESH KUMAR/0000-0001-9668-6104</t>
  </si>
  <si>
    <t>10.1002/pc.27700</t>
  </si>
  <si>
    <t>Q8IG0</t>
  </si>
  <si>
    <t>WOS:001059897200001</t>
  </si>
  <si>
    <t>Ring, JHN</t>
  </si>
  <si>
    <t>Ring, Johannes</t>
  </si>
  <si>
    <t>Ten Reasons to Accept a Paper</t>
  </si>
  <si>
    <t>JOURNAL OF THE EUROPEAN ACADEMY OF DERMATOLOGY AND VENEREOLOGY</t>
  </si>
  <si>
    <t>[Ring, Johannes] Tech Univ Munich, Dept Dermatol &amp; Allergy Biederstein, Munich, Germany</t>
  </si>
  <si>
    <t>Technical University of Munich</t>
  </si>
  <si>
    <t>Ring, JHN (corresponding author), Tech Univ Munich, Dept Dermatol &amp; Allergy Biederstein, Munich, Germany.</t>
  </si>
  <si>
    <t>johannes.ring@tum.de</t>
  </si>
  <si>
    <t>0926-9959</t>
  </si>
  <si>
    <t>1468-3083</t>
  </si>
  <si>
    <t>J EUR ACAD DERMATOL</t>
  </si>
  <si>
    <t>J. Eur. Acad. Dermatol. Venereol.</t>
  </si>
  <si>
    <t>10.1111/jdv.19333</t>
  </si>
  <si>
    <t>Q7GD9</t>
  </si>
  <si>
    <t>WOS:001059161200004</t>
  </si>
  <si>
    <t>Rizzo, S; Sikorski, E; Park, S; Im, W; Vasquez-Montes, V; Ladokhin, AS; Thevenin, D</t>
  </si>
  <si>
    <t>Rizzo, Sophie; Sikorski, Eden; Park, Soohyung; Im, Wonpil; Vasquez-Montes, Victor; Ladokhin, Alexey S.; Thevenin, Damien</t>
  </si>
  <si>
    <t>Promoting the activity of a receptor tyrosine phosphatase with a novel pH-responsive transmembrane agonist inhibits cancer-associated phenotypes</t>
  </si>
  <si>
    <t>allosteric modulation; cancer; epidermal growth factor receptor (EGFR); peptide binder; receptor protein tyrosine phosphatase (RPTP); receptor tyrosine kinase (RTK); transmembrane domain oligomerization; tumor acidity</t>
  </si>
  <si>
    <t>MOLECULAR-DYNAMICS SIMULATIONS; LUNG-CANCER; COLORECTAL-CANCER; FORCE-FIELD; TUMOR PH; PROTEIN; INSERTION; GROWTH; CHARMM; PHLIP</t>
  </si>
  <si>
    <t>Cell signaling by receptor protein tyrosine kinases (RTKs) is tightly controlled by the counterbalancing actions of receptor protein tyrosine phosphatases (RPTPs). Due to their role in attenuating the signal-initiating potency of RTKs, RPTPs have long been viewed as therapeutic targets. However, the development of activators of RPTPs has remained limited. We previously reported that the homodimerization of a representative member of the RPTP family (protein tyrosine phosphatase receptor J or PTPRJ) is regulated by specific transmembrane (TM) residues. Disrupting this interaction by single point mutations promotes PTPRJ access to its RTK substrates (e.g., EGFR and FLT3), reduces RTK's phosphorylation and downstream signaling, and ultimately antagonizes RTK-driven cell phenotypes. Here, we designed and tested a series of first-in-class pH-responsive TM peptide agonists of PTPRJ that are soluble in aqueous solution but insert as a helical TM domain in lipid membranes when the pH is lowered to match that of the acidic microenvironment of tumors. The most promising peptide reduced EGFR's phosphorylation and inhibited cancer cell EGFR-driven migration and proliferation, similar to the PTPRJ's TM point mutations. Developing tumor-selective and TM-targeting peptide binders of critical RPTPs could afford a potentially transformative approach to studying RPTP's selectivity mechanism without requiring less specific inhibitors and represent a novel class of therapeutics against RTK-driven cancers.</t>
  </si>
  <si>
    <t>[Rizzo, Sophie; Sikorski, Eden; Im, Wonpil; Thevenin, Damien] Lehigh Univ, Dept Chem, Bethlehem, PA 18015 USA; [Park, Soohyung; Im, Wonpil] Lehigh Univ, Dept Biol Sci, Bethlehem, PA 18015 USA; [Vasquez-Montes, Victor; Ladokhin, Alexey S.] Univ Kansas, Med Ctr, Dept Biochem &amp; Mol Biol, Kansas City, KS USA</t>
  </si>
  <si>
    <t>Lehigh University; Lehigh University; University of Kansas; University of Kansas Medical Center</t>
  </si>
  <si>
    <t>Thevenin, D (corresponding author), Lehigh Univ, Dept Chem, Bethlehem, PA 18015 USA.</t>
  </si>
  <si>
    <t>damien.thevenin@lehigh.edu</t>
  </si>
  <si>
    <t>National Institute of General Medical Sciences [R01GM139998, R01GM126778]; National Science Foundation [2111728]</t>
  </si>
  <si>
    <t>National Institute of General Medical Sciences(United States Department of Health &amp; Human ServicesNational Institutes of Health (NIH) - USANIH National Institute of General Medical Sciences (NIGMS)); National Science Foundation(National Science Foundation (NSF))</t>
  </si>
  <si>
    <t>National Institute of General Medical Sciences, Grant/Award Numbers: R01GM139998, R01GM126778; National Science Foundation, Grant/Award Number: 2111728</t>
  </si>
  <si>
    <t>e4742</t>
  </si>
  <si>
    <t>10.1002/pro.4742</t>
  </si>
  <si>
    <t>Q6EI9</t>
  </si>
  <si>
    <t>Green Published, hybrid</t>
  </si>
  <si>
    <t>WOS:001058430700010</t>
  </si>
  <si>
    <t>Salachan, PV; Rasmussen, M; Ulhoi, BP; Jensen, JB; Borre, M; Sorensen, KD</t>
  </si>
  <si>
    <t>Salachan, Paul Vinu; Rasmussen, Martin; Ulhoi, Benedicte Parm; Jensen, Jorgen Bjerggaard; Borre, Michael; Sorensen, Karina Dalsgaard</t>
  </si>
  <si>
    <t>Spatial whole transcriptome profiling of primary tumor from patients with metastatic prostate cancer</t>
  </si>
  <si>
    <t>cancer-associated fibroblasts; immune checkpoint targets; metastatic prostate cancer; spatial gene expression; tumor microenvironment</t>
  </si>
  <si>
    <t>EPITHELIAL-MESENCHYMAL TRANSITION; FIBROBLASTS; MACROPHAGES; ACTIVATION; EXPRESSION; CELLS; B7-H3</t>
  </si>
  <si>
    <t>Prostate cancer (PCa) is a highly heterogeneous disease in terms of its molecular makeup and clinical prognosis. The prostate tumor microenvironment (TME) is hypothesized to play an important role in driving disease aggressiveness, but precise mechanisms remain elusive. In our study, we used spatial transcriptomics to explore for the first time the spatial gene expression heterogeneity within primary prostate tumors from patients with metastatic disease. In total, we analyzed 5459 tissue spots from three PCa patients comprising castration-resistant (CRPC) and neuroendocrine (NEPC) disease stages. Within CRPC, we identified a T cell cluster whose activity might be impaired by nearby regulatory T cells, potentially mediating the aggressive disease phenotype. Moreover, we identified Hallmark signatures of epithelial-mesenchymal transition in a cancer-associated fibroblast (CAF) cluster, indicating the aggressive characteristic of the primary TME leading to metastatic dissemination. Within NEPC, we identified active immune-stroma cross-talk exemplified by significant ligand-receptor interactions between CAFs and M2 macrophages. Further, we identified a malignant cell population that was associated with the down-regulation of an immune-related gene signature. Lower expression of this signature was associated with higher levels of genomic instability in advanced PCa patients (SU2C cohort, n = 99) and poor recurrence free survival in early-stage PCa patients (TCGA cohort, n = 395), suggesting prognostic biomarker potential. Taken together, our study reveals the importance of whole transcriptome profiling at spatial resolution for biomarker discovery and for advancing our understanding of tumor biology.</t>
  </si>
  <si>
    <t>[Salachan, Paul Vinu; Rasmussen, Martin; Sorensen, Karina Dalsgaard] Aarhus Univ Hosp, Dept Mol Med, Aarhus, Denmark; [Salachan, Paul Vinu; Rasmussen, Martin; Jensen, Jorgen Bjerggaard; Borre, Michael; Sorensen, Karina Dalsgaard] Aarhus Univ, Dept Clin Med, Aarhus, Denmark; [Ulhoi, Benedicte Parm] Aarhus Univ Hosp, Dept Pathol, Aarhus, Denmark; [Jensen, Jorgen Bjerggaard] Godstrup Hosp, Dept Urol, Holstebro, Denmark; [Borre, Michael] Aarhus Univ Hosp, Dept Urol, Aarhus, Denmark; [Sorensen, Karina Dalsgaard] Aarhus Univ, Dept Clin Med, DK- 8200 Aarhus N, Denmark; [Sorensen, Karina Dalsgaard] Aarhus Univ Hosp, Dept Mol Med, DK-8200 Aarhus N, Denmark</t>
  </si>
  <si>
    <t>Aarhus University; Aarhus University; Aarhus University; Aarhus University; Aarhus University; Aarhus University</t>
  </si>
  <si>
    <t>Sorensen, KD (corresponding author), Aarhus Univ, Dept Clin Med, DK- 8200 Aarhus N, Denmark.;Sorensen, KD (corresponding author), Aarhus Univ Hosp, Dept Mol Med, DK-8200 Aarhus N, Denmark.</t>
  </si>
  <si>
    <t>kdso@clin.au.dk</t>
  </si>
  <si>
    <t>Rasmussen, Martin/GRY-5664-2022</t>
  </si>
  <si>
    <t>Rasmussen, Martin/0000-0001-9077-7857; Jensen, Jorgen Bjerggaard/0000-0002-4347-739X; Sorensen, Karina Dalsgaard/0000-0002-4902-5490; Salachan, Paul vinu/0000-0002-8179-5989</t>
  </si>
  <si>
    <t>Danmarks Frie Forskningsfond; Novo Nordisk Fonden</t>
  </si>
  <si>
    <t>Danmarks Frie Forskningsfond; Novo Nordisk Fonden(Novo Nordisk Foundation)</t>
  </si>
  <si>
    <t>10.1002/ijc.34708</t>
  </si>
  <si>
    <t>Q8DG3</t>
  </si>
  <si>
    <t>WOS:001059767100001</t>
  </si>
  <si>
    <t>Samir, K; Subash, T; Subash, A; Bilal, H; Shah, HH; Dave, T</t>
  </si>
  <si>
    <t>Samir, Komal; Subash, Tushar; Subash, Arun; Bilal, Hammad; Shah, Hussain Haider; Dave, Tirth</t>
  </si>
  <si>
    <t>Noninvasive diagnosis of Ascaris lumbricoides in the common bile duct: A pediatric case report of acute pancreatitis</t>
  </si>
  <si>
    <t>acute pancreatitis; Ascaris lumbricoides; case report; noninvasive approach</t>
  </si>
  <si>
    <t>Key Clinical MessageThis case report highlights the importance of considering parasitic infections, particularly Ascaris lumbricoides, as a possible cause of acute pancreatitis in children, especially in endemic regions. Noninvasive imaging techniques, such as ultrasonography, can play a crucial role in the early detection and diagnosis of this unusual presentation. Timely administration of anthelmintic therapy led to the resolution of symptoms and prevented the need for invasive procedures. Healthcare providers should be vigilant about the diverse clinical manifestations of ascariasis, and regular deworming programs and health education are essential in minimizing the burden of this neglected tropical disease among children.AbstractAscariasis is a common public health problem globally but it is more prevalent in school-age children and it often goes undiagnosed, leading to severe complications. The purpose of this report is to spread awareness of its unusual presentation and how to judiciously use noninvasive approaches for its diagnosis. We present a case of a 10-year-old girl that was presented in pediatric emergency with gradually worsening epigastric pain. Initial lab work-up showed elevated pancreatic enzymes which lead to the diagnosis of acute pancreatitis. The patient was managed in the line of acute pancreatitis and with further evaluation by imaging techniques such as ultrasound and CT-scan abdomen, Ascaris lumbricoides (A. lumbricoides) was visualized. She was then treated with prophylactic antibiotics and antiparasitic medications, which resolved her symptoms and the child responded to the treatment. In children, parasites should be considered as a cause of acute pancreatitis by clinicians, especially in low-income countries, and before performing invasive procedures, noninvasive approaches should be considered as an initial option. This can save the patient from multiple invasive procedure and its severe complications. image</t>
  </si>
  <si>
    <t>[Samir, Komal; Subash, Arun; Shah, Hussain Haider] Dow Univ Hlth Sci, Karachi, Pakistan; [Subash, Tushar] Aga Khan Univ, Karachi, Pakistan; [Bilal, Hammad] Baqai Med Univ, Karachi, Pakistan; [Dave, Tirth] Bukovinian State Med Univ, Chernovtsy, Ukraine</t>
  </si>
  <si>
    <t>Dow University of Health Sciences; Aga Khan University; Baqai Medical University; Bukovinian State Medical University</t>
  </si>
  <si>
    <t>Dave, T (corresponding author), Bukovinian State Med Univ, Chernovtsy, Ukraine.</t>
  </si>
  <si>
    <t>tirth.snehal.dave@gmail.com</t>
  </si>
  <si>
    <t>Dave, Tirth/HCI-4105-2022</t>
  </si>
  <si>
    <t>Dave, Tirth/0000-0001-7935-7333; Shah, Hussain Haider/0000-0002-8032-7462</t>
  </si>
  <si>
    <t>The authors are very appreciative to the patient for the opportunity to learn as well as thankful to the hospital for providing support for completing this report.</t>
  </si>
  <si>
    <t>e7940</t>
  </si>
  <si>
    <t>10.1002/ccr3.7940</t>
  </si>
  <si>
    <t>S0VX2</t>
  </si>
  <si>
    <t>WOS:001068442900001</t>
  </si>
  <si>
    <t>Schwingrouber, J; Bryant-Lukosius, D; Kilpatrick, K; Mayen, S; Colson, S</t>
  </si>
  <si>
    <t>Schwingrouber, Jocelyn; Bryant-Lukosius, Denise; Kilpatrick, Kelley; Mayen, Sandrine; Colson, Sebastien</t>
  </si>
  <si>
    <t>Evaluation of the implementation of advanced practice nursing roles in France: A multiple case study</t>
  </si>
  <si>
    <t>advanced practice nursing; evaluation; multiple case study; nurse practitioners; qualitative research</t>
  </si>
  <si>
    <t>CARE; PRACTITIONER; FRAMEWORK</t>
  </si>
  <si>
    <t>Aims: The aims of the study were to describe the processes used to introduce advanced practice nursing roles and factors that facilitated or hindered role implementation, examine the time advanced practice nurses (APNs) spend in role activities and how these activities relate to domains of advanced practice nursing and examine how implementation processes influenced APN integration within healthcare teams.Design: A multiple case study was conducted.Methods: Five cases were included, representing the four population areas approved for advanced practice nursing in France. Data were collected from January to March 2021 using observation, interview and document analysis methods. Data were examined using thematic analysis.Results: Participants included APNs (n = 5), nurses/allied health providers (n = 5), physicians (n = 5), managers (n = 4) and decision-makers (n = 4). Stakeholder engagement and leadership provided by decision-makers, managers, physicians and APNs facilitated role implementation. Poor stakeholder role understanding, uncertain role funding, and the COVID-19 pandemic hindered role implementation. APNs spent the most time in clinical activities. Participants perceived the integration of APNs within the healthcare team and their impact on patient care to be positive.Conclusion: Stakeholder engagement and organizational and APN leadership facilitated the implementation of the roles, especially related to team-based patient care. Further efforts are needed to strengthen APN involvement in non-clinical activities and address role barriers.</t>
  </si>
  <si>
    <t>[Schwingrouber, Jocelyn; Mayen, Sandrine; Colson, Sebastien] Aix Marseille Univ, CEReSS, Fac Sci Med &amp; Paramed, Nursing Sch, Marseille, France; [Bryant-Lukosius, Denise] McMaster Univ, Fac Hlth Sci, Hamilton, ON, Canada; [Kilpatrick, Kelley] McGill Univ, Fac Med, Susan E French Chair Nursing Res &amp; Innovat Practic, Ingram Sch Nursing, Montreal, PQ, Canada</t>
  </si>
  <si>
    <t>UDICE-French Research Universities; Aix-Marseille Universite; McMaster University; McGill University</t>
  </si>
  <si>
    <t>Schwingrouber, J (corresponding author), Aix Marseille Univ, CEReSS, Fac Sci Med &amp; Paramed, Nursing Sch, Marseille, France.</t>
  </si>
  <si>
    <t>jocelyn.schwingrouber@univ-amu.fr</t>
  </si>
  <si>
    <t>Bryant-Lukosius, Denise/0000-0002-8269-7977; Kilpatrick, Kelley/0000-0003-2137-6560; Schwingrouber, Jocelyn/0000-0001-8698-7077; Colson, Sebastien/0000-0003-3104-7883</t>
  </si>
  <si>
    <t>The authors warmly thank all the participants in this project, health professionals from hospital administration, management, medical teams and paramedical teams. The authors also thank the organizational managers who allowed the study to be conducted at t</t>
  </si>
  <si>
    <t>The authors warmly thank all the participants in this project, health professionals from hospital administration, management, medical teams and paramedical teams. The authors also thank the organizational managers who allowed the study to be conducted at their site despite the health crisis. The authors especially thank the APNs of each organization for their involvement in the successful conduct of the site visits. The authors would like to thank Prof. Eric Berton, President of Aix-Marseille University, and Prof. Georges Leonetti, Dean of the Faculty of Medical and Paramedical Sciences of Aix-Marseille University, for their support and determination in the recognition of advanced nursing practice in France and the development of university training in particular for financing the linguistic translation of this article. This research received no specific grant from any funding agency in the public, commercial or not-for-profit sectors.</t>
  </si>
  <si>
    <t>10.1111/jan.15840</t>
  </si>
  <si>
    <t>Q8GN7</t>
  </si>
  <si>
    <t>WOS:001059852900001</t>
  </si>
  <si>
    <t>Scordino, AJ</t>
  </si>
  <si>
    <t>Scordino, Anthony J.</t>
  </si>
  <si>
    <t>SPIRITUAL EXERCISES FOR A SECULAR AGE: DESMOND AND THE QUEST FOR GOD</t>
  </si>
  <si>
    <t>NEW BLACKFRIARS</t>
  </si>
  <si>
    <t>Book Review</t>
  </si>
  <si>
    <t>[Scordino, Anthony J.] Univ Notre Dame, Notre Dame, IN 46556 USA</t>
  </si>
  <si>
    <t>University of Notre Dame</t>
  </si>
  <si>
    <t>Scordino, AJ (corresponding author), Univ Notre Dame, Notre Dame, IN 46556 USA.</t>
  </si>
  <si>
    <t>Scordino, Anthony/0000-0001-7968-1969</t>
  </si>
  <si>
    <t>0028-4289</t>
  </si>
  <si>
    <t>1741-2005</t>
  </si>
  <si>
    <t>New Blackfriars</t>
  </si>
  <si>
    <t>10.1111/nbfr.12857</t>
  </si>
  <si>
    <t>P7HD4</t>
  </si>
  <si>
    <t>WOS:001052338900012</t>
  </si>
  <si>
    <t>Shaygani, F; Marzaleh, MA; Gheibi, Z</t>
  </si>
  <si>
    <t>Shaygani, Fatemeh; Ahmadi Marzaleh, Milad; Gheibi, Zahra</t>
  </si>
  <si>
    <t>Knowledge and attitude of students of medical sciences universities regarding health tourism: A cross-sectional study</t>
  </si>
  <si>
    <t>HEALTH SCIENCE REPORTS</t>
  </si>
  <si>
    <t>attitude; health tourism; Iran; knowledge; medical tourism; students</t>
  </si>
  <si>
    <t>IRAN</t>
  </si>
  <si>
    <t>Background and Aims: Health tourism is already one of the most important sources of revenue for many countries all over the world, but it appears that it has not progressed as much in Iran. The aim of this study was to determine the knowledge and attitudes of students of Iranian medical sciences universities about this subject, which could have a great impact on the future of this industry in Iran.Methods: In this cross-sectional study, the students of medical sciences universities in Iran were selected through convenience sampling; they filled out an online 36-item self-administrated questionnaire. The data were analyzed using SPSS software (version 25). Descriptive statistics of knowledge and attitude were provided. Also, independent samples t-test and analysis of variance were used as statistical tests and p value &lt;0.05 was considered as the significant level.Results: Overall, 390 students with a mean age of 24 &amp; PLUSMN; 1.5 years and a female-to-male ratio of 1.9 participated in this study. The respondents answered 38% of the questions correctly in the knowledge section. Age, ethnicity, education level, job experience, experience of a health tourism-related job, participation in health tourism courses, and geographical region of the province of residence showed a significant association with the participants' knowledge. Also, most participants had an almost positive attitude regarding the potential for development of the industry.Conclusion: According to the results obtained, the students' knowledge about health tourism was not desirable; however, their attitudes were almost positive. Therefore, educational interventions are highly recommended to be conducted in this regard.</t>
  </si>
  <si>
    <t>[Shaygani, Fatemeh] Shiraz Univ Med Sci, Student Res Comm, Shiraz, Iran; [Shaygani, Fatemeh] Shiraz Univ Med Sci, Hlth Tourism Student Sci Assoc, Shiraz, Iran, Islamic R; [Ahmadi Marzaleh, Milad] Shiraz Univ Med Sci, Hlth Human Resources Res Ctr, Sch Hlth Management &amp; Informat Sci, Dept Hlth Disasters &amp; Emergencies, Shiraz, Iran; [Gheibi, Zahra] Shiraz Univ Med Sci, Dept Epidemiol, Shiraz, Iran</t>
  </si>
  <si>
    <t>Shiraz University of Medical Science; Shiraz University of Medical Science; Shiraz University of Medical Science</t>
  </si>
  <si>
    <t>Marzaleh, MA (corresponding author), Shiraz Univ Med Sci, Hlth Human Resources Res Ctr, Sch Hlth Management &amp; Informat Sci, Dept Hlth Disasters &amp; Emergencies, Shiraz, Iran.</t>
  </si>
  <si>
    <t>miladahmadimarzaleh@yahoo.com</t>
  </si>
  <si>
    <t>Ahmadi Marzaleh, Milad/G-8521-2017</t>
  </si>
  <si>
    <t>Ahmadi Marzaleh, Milad/0000-0003-1743-0093</t>
  </si>
  <si>
    <t>The authors would like to express their gratitude to all students who participated in this study. This project has partly been supported by a grant from the Shiraz University of Medical Sciences with the code 25664. [25664]; Shiraz University of Medical Sciences</t>
  </si>
  <si>
    <t>The authors would like to express their gratitude to all students who participated in this study. This project has partly been supported by a grant from the Shiraz University of Medical Sciences with the code 25664.; Shiraz University of Medical Sciences</t>
  </si>
  <si>
    <t>The authors would like to express their gratitude to all students who participated in this study. This project has partly been supported by a grant from the Shiraz University of Medical Sciences with the code 25664.</t>
  </si>
  <si>
    <t>2398-8835</t>
  </si>
  <si>
    <t>HEALTH SCI REP-US</t>
  </si>
  <si>
    <t>Health Sci. Rep.</t>
  </si>
  <si>
    <t>e1580</t>
  </si>
  <si>
    <t>10.1002/hsr2.1580</t>
  </si>
  <si>
    <t>Public, Environmental &amp; Occupational Health; Medicine, General &amp; Internal</t>
  </si>
  <si>
    <t>Public, Environmental &amp; Occupational Health; General &amp; Internal Medicine</t>
  </si>
  <si>
    <t>S4RX9</t>
  </si>
  <si>
    <t>WOS:001071067200001</t>
  </si>
  <si>
    <t>Simino, LAP; Baqueiro, MN; Panzarin, C; Lopes, PKF; Gois, MM; Simabuco, FM; Ignacio-Souza, LM; Milanski, M; Ross, MG; Desai, M; Torsoni, AS; Torsoni, MA</t>
  </si>
  <si>
    <t>Simino, Lais A. P.; Baqueiro, Mayara N.; Panzarin, Carolina; Lopes, Priscilla K. F.; Gois, Mariana M.; Simabuco, Fernando M.; Ignacio-Souza, Leticia M.; Milanski, Marciane; Ross, Michael G.; Desai, Mina; Torsoni, Adriana S.; Torsoni, Marcio A.</t>
  </si>
  <si>
    <t>Hypothalamic &amp; alpha;7 nicotinic acetylcholine receptor (&amp; alpha;7nAChR) is downregulated by TNF &amp; alpha;-induced Let-7 overexpression driven by fatty acids</t>
  </si>
  <si>
    <t>alpha7 nicotinic acetylcholine receptor; cytokines; tumor necrosis factor-alpha; diet; high fat; fatty acids; hypothalamus; microRNAs; obesity</t>
  </si>
  <si>
    <t>INFLAMMATION; ACTIVATION</t>
  </si>
  <si>
    <t>The a7nAChR is crucial to the anti-inflammatory reflex, and to the expression of neuropeptides that control food intake, but its expression can be decreased by environmental factors. We aimed to investigate whether microRNA modulation could be an underlying mechanism in the a7nAchR downregulation in mouse hypothalamus following a short-term exposure to an obesogenic diet. Bioinformatic analysis revealed Let-7 microRNAs as candidates to regulate Chrna7, which was confirmed by the luciferase assay. Mice exposed to an obesogenic diet for 3 days had increased Let-7a and decreased a7nAChR levels, accompanied by hypothalamic fatty acids and TNFa content. Hypothalamic neuronal cells exposed to fatty acids presented higher Let-7a and TNFa levels and lower Chrna7 expression, but when the cells were pre-treated with TLR4 inhibitor, Let-7a, TNFa, and Chrna7 were rescued to normal levels. Thus, the fatty acids overload trigger TNFa-induced Let-7 overexpression in hypothalamic neuronal cells, which negatively regulates a7nAChR, an event that can be related to hyperphagia and obesity predisposition in mice.</t>
  </si>
  <si>
    <t>[Simino, Lais A. P.; Baqueiro, Mayara N.; Panzarin, Carolina; Lopes, Priscilla K. F.; Milanski, Marciane; Torsoni, Adriana S.; Torsoni, Marcio A.] Univ Campinas UNICAMP, Sch Appl Sci, Lab Metab Disorders Labdime, Campinas, Brazil; [Gois, Mariana M.; Simabuco, Fernando M.] Univ Campinas UNICAMP, Sch Appl Sci FCA, Multidisciplinary Lab Food &amp; Hlth Labmas, Campinas, Brazil; [Ignacio-Souza, Leticia M.; Milanski, Marciane; Torsoni, Adriana S.; Torsoni, Marcio A.] Univ Campinas UNICAMP, Obes &amp; Comorbid Res Ctr, Campinas, Brazil; [Ross, Michael G.; Desai, Mina] UCLA, UCLA Med Ctr, Lundquist Inst, David Geffen Sch Med Harbor, Los Angeles, CA USA; [Simino, Lais A. P.] Univ Campinas UNICAMP, Sch Appl Sci, Lab Metab Disorders Labdime, 1300 Pedro Zaccaria, BR-13484350 Limeira, SP, Brazil</t>
  </si>
  <si>
    <t>Universidade Estadual de Campinas; Universidade Estadual de Campinas; Universidade Estadual de Campinas; University of California System; University of California Los Angeles; University of California Los Angeles Medical Center; Universidade Estadual de Campinas</t>
  </si>
  <si>
    <t>Simino, LAP (corresponding author), Univ Campinas UNICAMP, Sch Appl Sci, Lab Metab Disorders Labdime, 1300 Pedro Zaccaria, BR-13484350 Limeira, SP, Brazil.</t>
  </si>
  <si>
    <t>lsimino@unicamp.br</t>
  </si>
  <si>
    <t>Sao Paulo Research Foundation-FAPESP [2020/07257-0, 2021/11772-0]; National Institutes of Health; Eunice Kennedy Shriver National Institute of Child [R01HD099813]</t>
  </si>
  <si>
    <t>Sao Paulo Research Foundation-FAPESP(Fundacao de Amparo a Pesquisa do Estado de Sao Paulo (FAPESP)); National Institutes of Health(United States Department of Health &amp; Human ServicesNational Institutes of Health (NIH) - USA); Eunice Kennedy Shriver National Institute of Child</t>
  </si>
  <si>
    <t>Sao Paulo Research Foundation-FAPESP, Grant/Award Number: #2020/07257-0 and #2021/11772-0; National Institutes of Health; Eunice Kennedy Shriver National Institute of Child, Grant/Award Number: R01HD099813</t>
  </si>
  <si>
    <t>e23120</t>
  </si>
  <si>
    <t>10.1096/fj.202300439RR</t>
  </si>
  <si>
    <t>O0YS2</t>
  </si>
  <si>
    <t>WOS:001041170000001</t>
  </si>
  <si>
    <t>The, SMML; The, AFMH; Derikx, JPM; Bakx, R; Visser, DH; de Meij, TGJ; Ket, JCF; van Heurn, ELW; Gorter, RR</t>
  </si>
  <si>
    <t>The, Sarah-May M. L.; The, Anne-Fleur M. H.; Derikx, Joep P. M.; Bakx, Roel; Visser, Douwe H.; de Meij, Tim G. J.; Ket, Johannes C. F.; van Heurn, Ernest L. W.; Gorter, Ramon R.</t>
  </si>
  <si>
    <t>Appendicitis and its associated mortality and morbidity in infants up to 3 months of age: A systematic review</t>
  </si>
  <si>
    <t>appendicitis; infants; morbidity; mortality; neonates; newborns</t>
  </si>
  <si>
    <t>NEONATAL ACUTE APPENDICITIS; AMYANDS HERNIA; PERFORATED APPENDICITIS; LAPAROSCOPIC APPENDECTOMY; CHILDREN; DIAGNOSIS; PRESENTATIONS; COMPLICATION; PRETERM; RISK</t>
  </si>
  <si>
    <t>Background and AimsAlthough appendicitis is rare in young infants, the reported mortality is high. Primary aim of this systematic review was to provide updated insights in the mortality and morbidity (postoperative complications, Clavien-Dindo grades I-IV) of appendicitis in infants &amp; LE;3 months of age. Secondary aims comprised the evaluation of patient characteristics, diagnostic work-up, treatment strategies, comorbidity, and factors associated with poor outcome.MethodsThis systematic review was reported according to the PRISMA statement with a search performed in Pubmed, Embase and Web of Science (up to September 5th 2022). Original articles (published in English &amp; GE;1980) reporting on infants &amp; LE;3 months of age with appendicitis were included. Both patients with abdominal appendicitis and herniated appendicitis (such as Amyand's hernia) were considered. Data were provided descriptively.ResultsIn total, 131 articles were included encompassing 242 cases after identification of 4294 records. Overall, 184 (76%) of the 242 patients had abdominal and 58 (24%) had herniated appendicitis. Two-hundred (83%) of the patients were newborns (&amp; LE;28 days) and 42 (17%) were infants between 29 days and &amp; LE;3 months of age. Either immediate, or after initial conservative treatment, 236 (98%) patients underwent surgical treatment. Some 168 (69%) patients had perforated appendicitis. Mortality was reported in 20 (8%) patients and morbidity in an additional 18 (8%). All fatal cases had abdominal appendicitis and fatal outcome was relatively more often reported in newborns, term patients, patients with relevant comorbidity, nonperforated appendicitis and those presented from home.ConclusionMortality was reported in 20 (8%) infants &amp; LE;3 months of age and additional morbidity in 18 (8%). All patients with fatal outcome had abdominal appendicitis. Several patient characteristics were relatively more often reported in infants with poor outcome and adequate monitoring, early recognition and prompt treatment may favour the outcome.</t>
  </si>
  <si>
    <t>[The, Sarah-May M. L.; Derikx, Joep P. M.; Bakx, Roel; van Heurn, Ernest L. W.; Gorter, Ramon R.] Univ Amsterdam, Amsterdam UMC, Emma Childrens Hosp, Dept Paediat Surg, Amsterdam, Netherlands; [The, Sarah-May M. L.; Bakx, Roel; van Heurn, Ernest L. W.; Gorter, Ramon R.] Vrije Univ, Amsterdam, Netherlands; [The, Sarah-May M. L.; de Meij, Tim G. J.; van Heurn, Ernest L. W.; Gorter, Ramon R.] Amsterdam Reprod &amp; Dev Res Inst, Amsterdam, Netherlands; [The, Anne-Fleur M. H.] Univ Groningen, Univ Med Ctr Groningen, Groningen, Netherlands; [Derikx, Joep P. M.; Bakx, Roel; de Meij, Tim G. J.; Gorter, Ramon R.] Amsterdam Gastroenterol &amp; Metab Res Inst, Amsterdam, Netherlands; [Visser, Douwe H.] Locat Univ Amsterdam, Amsterdam UMC, Emma Childrens Hosp, Dept Neonatol, Amsterdam, Netherlands; [de Meij, Tim G. J.] Locat Univ Amsterdam, Amsterdam UMC, Emma Childrens Hosp, Dept Paediat Gastroenterol, Amsterdam, Netherlands; [Ket, Johannes C. F.] Vrije Univ, Med Lib, Amsterdam, Netherlands</t>
  </si>
  <si>
    <t>Emma Children's Hospital; University of Amsterdam; Vrije Universiteit Amsterdam; University of Groningen; University of Amsterdam; Emma Children's Hospital; University of Amsterdam; Emma Children's Hospital; Vrije Universiteit Amsterdam</t>
  </si>
  <si>
    <t>The, SMML (corresponding author), Univ Amsterdam, Amsterdam UMC, Emma Childrens Hosp, Dept Paediat Surg, Amsterdam, Netherlands.;The, SMML (corresponding author), Vrije Univ, Amsterdam, Netherlands.</t>
  </si>
  <si>
    <t>s.the@amsterdamumc.nl</t>
  </si>
  <si>
    <t>Ket, Johannes C.F./B-7966-2017</t>
  </si>
  <si>
    <t>Ket, Johannes C.F./0000-0002-1909-3150</t>
  </si>
  <si>
    <t>e1435</t>
  </si>
  <si>
    <t>10.1002/hsr2.1435</t>
  </si>
  <si>
    <t>Q6TI0</t>
  </si>
  <si>
    <t>WOS:001058825100001</t>
  </si>
  <si>
    <t>Toyonaga, H; Hayashi, T; Hama, K; Iwano, K; Ando, R; Ishii, T; Kin, T; Motoya, M; Takahashi, K; Katanuma, A</t>
  </si>
  <si>
    <t>Toyonaga, Haruka; Hayashi, Tsuyoshi; Hama, Kazuki; Iwano, Kosuke; Ando, Ryo; Ishii, Tatsuya; Kin, Toshifumi; Motoya, Masayo; Takahashi, Kuniyuki; Katanuma, Akio</t>
  </si>
  <si>
    <t>The application of low echo reduction in endoscopic ultrasound-guided tissue acquisition for pancreatic mass lesions</t>
  </si>
  <si>
    <t>JOURNAL OF HEPATO-BILIARY-PANCREATIC SCIENCES</t>
  </si>
  <si>
    <t>[Toyonaga, Haruka; Hayashi, Tsuyoshi; Hama, Kazuki; Iwano, Kosuke; Ando, Ryo; Ishii, Tatsuya; Kin, Toshifumi; Motoya, Masayo; Takahashi, Kuniyuki; Katanuma, Akio] Teine Keijinkai Hosp, Ctr Gastroenterol, Hokkaido, Japan; [Toyonaga, Haruka] Teine Keijinkai Hosp, Ctr Gastroenterol, 1-40-1-12 Maeda,Teine Ku, Sapporo 0068555, Japan</t>
  </si>
  <si>
    <t>Teine Keijinkai Hospital; Teine Keijinkai Hospital</t>
  </si>
  <si>
    <t>Toyonaga, H (corresponding author), Teine Keijinkai Hosp, Ctr Gastroenterol, 1-40-1-12 Maeda,Teine Ku, Sapporo 0068555, Japan.</t>
  </si>
  <si>
    <t>toyonaga.pc@gmail.com</t>
  </si>
  <si>
    <t>Hama, Kazuki/0000-0003-0149-2249; Kin, Toshifumi/0000-0003-1349-8154; Ishii, Tatsuya/0000-0003-2136-4703</t>
  </si>
  <si>
    <t>1868-6974</t>
  </si>
  <si>
    <t>1868-6982</t>
  </si>
  <si>
    <t>J HEPATO-BIL-PAN SCI</t>
  </si>
  <si>
    <t>J. Hepato-Biliary-Pancreat. Sci.</t>
  </si>
  <si>
    <t>10.1002/jhbp.1348</t>
  </si>
  <si>
    <t>Q3XZ9</t>
  </si>
  <si>
    <t>WOS:001056895100001</t>
  </si>
  <si>
    <t>Wall, BT; Stephens, FB</t>
  </si>
  <si>
    <t>Wall, Benjamin T.; Stephens, Francis B.</t>
  </si>
  <si>
    <t>Reply to LTE: Does caffeine truly raise muscle carnitine in humans?</t>
  </si>
  <si>
    <t>PHYSIOLOGICAL REPORTS</t>
  </si>
  <si>
    <t>INSULIN</t>
  </si>
  <si>
    <t>[Wall, Benjamin T.; Stephens, Francis B.] Univ Exeter, Dept Publ Hlth &amp; Sport Sci, Exeter, England</t>
  </si>
  <si>
    <t>University of Exeter</t>
  </si>
  <si>
    <t>Stephens, FB (corresponding author), Univ Exeter, Dept Publ Hlth &amp; Sport Sci, Exeter, England.</t>
  </si>
  <si>
    <t>f.b.stephens@exeter.ac.uk</t>
  </si>
  <si>
    <t>University of Exeter, Grant/Award Number: N/A</t>
  </si>
  <si>
    <t>2051-817X</t>
  </si>
  <si>
    <t>PHYSIOL REP</t>
  </si>
  <si>
    <t>PHYSIOL. REP.</t>
  </si>
  <si>
    <t>e15796</t>
  </si>
  <si>
    <t>10.14814/phy2.15796</t>
  </si>
  <si>
    <t>Physiology</t>
  </si>
  <si>
    <t>Q7QK8</t>
  </si>
  <si>
    <t>WOS:001059431400001</t>
  </si>
  <si>
    <t>Wang, YY; Lyu, T; Luo, A; Dimitrov, D; Wang, ZH</t>
  </si>
  <si>
    <t>Wang, Yunyun; Lyu, Tong; Luo, Ao; Dimitrov, Dimitar; Wang, Zhiheng</t>
  </si>
  <si>
    <t>Geographic patterns in range sizes and their drivers of endemic angiosperms in China</t>
  </si>
  <si>
    <t>ECOSPHERE</t>
  </si>
  <si>
    <t>biodiversity conservation; climate change; dispersal ability; geographical distribution; macro-evo-devo; narrow-ranged species</t>
  </si>
  <si>
    <t>LONG-DISTANCE DISPERSAL; SEED DISPERSAL; EVOLUTIONARY CONSEQUENCES; POPULUS-CATHAYANA; GLOBAL PATTERNS; CLIMATE-CHANGE; PLANT; RESPONSES; TRAITS; DIOECY</t>
  </si>
  <si>
    <t>Geographic range size of endemic species is the most important indicator of species' vulnerability to extinction and conservation prioritization, yet variation in range size among species and across space has been relatively understudied. We investigated the variations and geographic patterns of the range size of 9898 angiosperm species endemic to China and compared the effects of historical and contemporary climate and species' functional traits associated with dispersal ability (including growth form, fruit type, and sexual system) on range size variations. Our results revealed that narrow-ranged endemic species are clustered in Southwest China where angiosperm species' richness peaks. Winter temperature had the strongest and negative effect on the range size of narrow-ranged endemic species across space and species, while climate seasonality had the strongest and positive effect on the range size of wide-ranged endemic species. Both historical and contemporary climate have also influenced species range size indirectly via their effects on species' functional traits associated with dispersal ability. Range size of all endemic species, narrow-ranged and wide-ranged, showed little phylogenetic signal, suggesting that phylogenetic conservatism plays a minor role in range size variations. Our results show that the range size of angiosperm species endemic to China is driven by both extrinsic spatiotemporal environmental factors and intrinsic species' traits that allow species to cope with environmental change.</t>
  </si>
  <si>
    <t>[Wang, Yunyun] Northwestern Polytech Univ, Sch Ecol &amp; Environm, Xian, Peoples R China; [Wang, Yunyun; Lyu, Tong; Luo, Ao; Wang, Zhiheng] Peking Univ, Inst Ecol, Beijing, Peoples R China; [Wang, Yunyun; Lyu, Tong; Luo, Ao; Wang, Zhiheng] Peking Univ, Coll Urban &amp; Environm Sci, Key Lab Earth Surface Proc, Minist Educ, Beijing, Peoples R China; [Lyu, Tong] Beijing Normal Univ, Fac Geog Sci, Beijing, Peoples R China; [Dimitrov, Dimitar] Univ Bergen, Univ Museum Bergen, Dept Nat Hist, Bergen, Norway</t>
  </si>
  <si>
    <t>Northwestern Polytechnical University; Peking University; Peking University; Beijing Normal University; University of Bergen</t>
  </si>
  <si>
    <t>Wang, ZH (corresponding author), Peking Univ, Inst Ecol, Beijing, Peoples R China.;Wang, ZH (corresponding author), Peking Univ, Coll Urban &amp; Environm Sci, Key Lab Earth Surface Proc, Minist Educ, Beijing, Peoples R China.</t>
  </si>
  <si>
    <t>zhiheng.wang@pku.edu.cn</t>
  </si>
  <si>
    <t>Dimitrov, Dimitar/A-9563-2009</t>
  </si>
  <si>
    <t>Dimitrov, Dimitar/0000-0001-5830-5702</t>
  </si>
  <si>
    <t>National Key Research Development Program of China [2022YFF0802300]; National Natural Science Foundation of China [31901216, 31988102]; Strategic Priority Research Program of Chinese Academy of Sciences [XDB31000000]</t>
  </si>
  <si>
    <t>National Key Research Development Program of China; National Natural Science Foundation of China(National Natural Science Foundation of China (NSFC)); Strategic Priority Research Program of Chinese Academy of Sciences(Chinese Academy of Sciences)</t>
  </si>
  <si>
    <t>National Key Research Development Program of China, Grant/Award Number: #2022YFF0802300; National Natural Science Foundation of China, Grant/Award Numbers: #31901216, #31988102; Strategic Priority Research Program of Chinese Academy of Sciences, Grant/Award Number: #XDB31000000</t>
  </si>
  <si>
    <t>2150-8925</t>
  </si>
  <si>
    <t>Ecosphere</t>
  </si>
  <si>
    <t>e4646</t>
  </si>
  <si>
    <t>10.1002/ecs2.4646</t>
  </si>
  <si>
    <t>R0NS0</t>
  </si>
  <si>
    <t>WOS:001061400900001</t>
  </si>
  <si>
    <t>Yang, XX; Wang, SQ; Wu, JY; Hu, W; Huang, LM; Ling, QD; Lin, ZH</t>
  </si>
  <si>
    <t>Yang, Xinxin; Wang, Shuaiqi; Wu, Junyan; Hu, Wei; Huang, Limei; Ling, Qidan; Lin, Zhenghuan</t>
  </si>
  <si>
    <t>Coordination Trap Induced Structural and Luminescent Property Transformation of Low Dimensional Organic-Inorganic Hybrid Perovskites</t>
  </si>
  <si>
    <t>afterglow; coordination; perovskites; RTP; stimulus response</t>
  </si>
  <si>
    <t>PHOSPHORESCENCE; EMISSION; COLOR</t>
  </si>
  <si>
    <t>Herein, a coordination trap strategy is proposed for constructing stimulus-responsive phosphorescent perovskites. Hydroxyl groups are selected as trap groups and introduced into benzylamine hydrochloride of Cd-based perovskite. The resulting two-dimensional (2D) perovskite (C7H10NO)2CdCl4 &amp; BULL;H2O (H1) exhibits blue fluorescence at 405 nm and green phosphorescence at 482 nm under 365 nm excitation. After introducing guest Mn2+, due to the passivation of defects, the doped H1 (H1-M) achieves orange phosphorescence (&amp; lambda; = 615 nm) of Cd2+. Interestingly, because thermal stimulation induces the coordination of hydroxyl groups with metal ions, H1 and H1-M are transformed into the zero-dimensional (0D) perovskite (C7H10NO)2CdCl4 (H2) and doped H2 (H2-M), respectively. The coordination immobilizes the organic molecules, thus resulting in a large increase in the phosphorescence lifetime and a strong green afterglow of H2. The coordination also transforms the luminescent center of the doped perovskite from the host metal ion of H1-M to the guest metal ion of H2-M, achieving red phosphorescence of Mn2+ at 685 nm. Under water vapor, H2 and H2-M are reversibly converted to H1 and H1-M, respectively. Based on the above phenomena, a multilevel anti-counterfeit encryption system with water/heat stimulus-response is developed, which provides a new idea for the design of stimulus-responsive phosphorescent intelligent materials. Under external stimulation, perovskites with trap groups can induce coordination between ligands and metal ions, thus leading to a structure transition from 2D to 0D and luminescence centers altering from the host metal ions to the guest ones.image</t>
  </si>
  <si>
    <t>[Yang, Xinxin; Wang, Shuaiqi; Wu, Junyan; Hu, Wei; Huang, Limei; Ling, Qidan; Lin, Zhenghuan] Fujian Normal Univ, Coll Chem &amp; Mat Sci, Fujian Key Lab Polymer Mat, Fuzhou 350007, Peoples R China</t>
  </si>
  <si>
    <t>Fujian Normal University</t>
  </si>
  <si>
    <t>Huang, LM; Lin, ZH (corresponding author), Fujian Normal Univ, Coll Chem &amp; Mat Sci, Fujian Key Lab Polymer Mat, Fuzhou 350007, Peoples R China.</t>
  </si>
  <si>
    <t>lmhuang@fjnu.edu.cn; zhlin@fjnu.edu.cn</t>
  </si>
  <si>
    <t>Lin, Zhenghuan/K-2594-2013</t>
  </si>
  <si>
    <t>Lin, Zhenghuan/0000-0002-3900-563X</t>
  </si>
  <si>
    <t>X.Y. and S.W. contributed equally to this work. This work was supported by the National Natural Science Foundation of China (22075044, 22375044) and the Natural Science Foundation of Fujian Province (2017J01684). [22375044, 2017J01684]; National Natural Science Foundation of China; Natural Science Foundation of Fujian Province; [22075044]</t>
  </si>
  <si>
    <t>X.Y. and S.W. contributed equally to this work. This work was supported by the National Natural Science Foundation of China (22075044, 22375044) and the Natural Science Foundation of Fujian Province (2017J01684).; National Natural Science Foundation of China(National Natural Science Foundation of China (NSFC)); Natural Science Foundation of Fujian Province(Natural Science Foundation of Fujian Province);</t>
  </si>
  <si>
    <t>X.Y. and S.W. contributed equally to this work. This work was supported by the National Natural Science Foundation of China (22075044, 22375044) and the Natural Science Foundation of Fujian Province (2017J01684).</t>
  </si>
  <si>
    <t>10.1002/adom.202301661</t>
  </si>
  <si>
    <t>Q2NY5</t>
  </si>
  <si>
    <t>WOS:001055946900001</t>
  </si>
  <si>
    <t>Zhang, ZW; Yan, YJ; Kim, BS; Han, WQ; Chen, XJ; Lin, L; Zhang, Y; Chai, G</t>
  </si>
  <si>
    <t>Zhang, Ziwei; Yan, Yingjie; Seop Kim, Byeong; Han, Wenqing; Chen, Xiaojun; Lin, Li; Zhang, Yan; Chai, Gang</t>
  </si>
  <si>
    <t>iPhone 13 Pro Max photography for quantitative evaluation of fine facial wrinkles: Is it feasible?</t>
  </si>
  <si>
    <t>SKIN RESEARCH AND TECHNOLOGY</t>
  </si>
  <si>
    <t>3D</t>
  </si>
  <si>
    <t>[Zhang, Ziwei; Yan, Yingjie; Seop Kim, Byeong; Han, Wenqing; Chen, Xiaojun; Lin, Li; Zhang, Yan; Chai, Gang] Shanghai Jiao Tong Univ, Sch Med, Shanghai Peoples Hosp 9, Dept Plast &amp; Reconstruct Surg, Shanghai, Peoples R China; [Zhang, Yan; Chai, Gang] Shanghai Jiao Tong Univ, Shanghai Peoples Hosp 9, Dept Plast &amp; Reconstruct Surg, Sch Med, 639 Zhi ZaoJu Rd, Shanghai 200011, Peoples R China</t>
  </si>
  <si>
    <t>Shanghai Jiao Tong University; Shanghai Jiao Tong University</t>
  </si>
  <si>
    <t>Zhang, Y; Chai, G (corresponding author), Shanghai Jiao Tong Univ, Shanghai Peoples Hosp 9, Dept Plast &amp; Reconstruct Surg, Sch Med, 639 Zhi ZaoJu Rd, Shanghai 200011, Peoples R China.</t>
  </si>
  <si>
    <t>zhangy1330@sh9hospital.org.cn; chaig1081@sh9hospital.org.cn</t>
  </si>
  <si>
    <t>This work was supported by Clinical Research Plan of SHDC (grant number: SHDC2020CR3070B), Shanghai Jiao Tong University School of Medicine Two-hundred Talent (grant number: 20161420), Clinical Research Plan of Shanghai 9th Peopleamp;apos;s Hospital affil [20161420]; Clinical Research Plan of SHDC [JYLJ202108, YG2022QN048]; Shanghai Jiao Tong University School of Medicine Two-hundred Talent [22MC1940300]; Shanghai Jiao Tong University Interdisciplinary Plan; Science and Technology Commission of Shanghai Municipality; [SHDC2020CR3070B]</t>
  </si>
  <si>
    <t>This work was supported by Clinical Research Plan of SHDC (grant number: SHDC2020CR3070B), Shanghai Jiao Tong University School of Medicine Two-hundred Talent (grant number: 20161420), Clinical Research Plan of Shanghai 9th Peopleamp;apos;s Hospital affil; Clinical Research Plan of SHDC; Shanghai Jiao Tong University School of Medicine Two-hundred Talent; Shanghai Jiao Tong University Interdisciplinary Plan; Science and Technology Commission of Shanghai Municipality(Science &amp; Technology Commission of Shanghai Municipality (STCSM));</t>
  </si>
  <si>
    <t>This work was supported by Clinical Research Plan of SHDC (grant number: SHDC2020CR3070B), Shanghai Jiao Tong University School of Medicine Two-hundred Talent (grant number: 20161420), Clinical Research Plan of Shanghai 9th People &amp; apos;s Hospital affiliated to Shanghai Jiao Tong university School of Medicine (grant number: JYLJ202108), Shanghai Jiao Tong University Interdisciplinary Plan (grant number: YG2022QN048), and Science and Technology Commission of Shanghai Municipality (grant number: 22MC1940300).</t>
  </si>
  <si>
    <t>0909-752X</t>
  </si>
  <si>
    <t>1600-0846</t>
  </si>
  <si>
    <t>SKIN RES TECHNOL</t>
  </si>
  <si>
    <t>Skin Res. Technol.</t>
  </si>
  <si>
    <t>e13360</t>
  </si>
  <si>
    <t>10.1111/srt.13360</t>
  </si>
  <si>
    <t>Q6AL6</t>
  </si>
  <si>
    <t>Green Accepted, hybrid</t>
  </si>
  <si>
    <t>WOS:001058328500001</t>
  </si>
  <si>
    <t>Fearon, NJ; Kurtzman, J; Benfante, N; Assel, M; Vickers, A; Carlsson, S; Laudone, VP; Levine, M; Simon, BA; Mehrara, BJ; Nelson, JA</t>
  </si>
  <si>
    <t>Fearon, Nkechi J.; Kurtzman, Joey; Benfante, Nicole; Assel, Melissa; Vickers, Andrew; Carlsson, Sigrid; Laudone, Vincent P.; Levine, Marcia; Simon, Brett A.; Mehrara, Babak J.; Nelson, Jonas A.</t>
  </si>
  <si>
    <t>Reducing opioid prescribing after ambulatory breast reconstruction surgery</t>
  </si>
  <si>
    <t>JOURNAL OF SURGICAL ONCOLOGY</t>
  </si>
  <si>
    <t>breast reconstruction; opioids; ostoperative pain; quality improvement</t>
  </si>
  <si>
    <t>POSTOPERATIVE PAIN; ANALGESICS; MANAGEMENT; PRESCRIPTIONS; ABUSE</t>
  </si>
  <si>
    <t>BackgroundThe lack of evidence-based guidelines for postoperative opioid prescriptions following breast reconstruction contributes to a wide variation in prescribing practices and increases potential for misuse and abuse.MethodsBetween August and December 2019, women who underwent outpatient breast reconstruction were surveyed 7-10 days before (n = 97) and after (n = 101) implementing a standardized opioid prescription reduction initiative. We compared postoperative opioid use, pain control, and refills in both groups. Patient reported outcomes were compared using the BREAST-Q physical wellbeing of the chest domain and a novel symptom Recovery Tracker.ResultsBefore changes in prescriptions, patients were prescribed a median of 30 pills and consumed three pills (interquartile range [IQR: 1,9]). After standardization, patients were prescribed eight pills and consumed three pills (IQR: 1,6). There was no evidence of a difference in the proportion of patients experiencing moderate to very severe pain on the Recovery Tracker or in the early BREAST-Q physical wellbeing of the chest scores (p = 0.8 and 0.3, respectively).ConclusionStandardizing and reducing opioid prescriptions for patients undergoing reconstructive breast surgery is feasible and can significantly decrease the number of excess pills prescribed. The was no adverse impact on early physical wellbeing, although larger studies are needed to obtain further data.</t>
  </si>
  <si>
    <t>[Fearon, Nkechi J.; Laudone, Vincent P.; Levine, Marcia; Simon, Brett A.] Mem Sloan Kettering Canc Ctr, Josie Robertson Surg Ctr, New York, NY USA; [Fearon, Nkechi J.; Simon, Brett A.] Mem Sloan Kettering Canc Ctr, Dept Anesthesiol &amp; Crit Care Med, New York, NY USA; [Kurtzman, Joey; Benfante, Nicole; Mehrara, Babak J.; Nelson, Jonas A.] Mem Sloan Kettering Canc Ctr, Dept Surg, Plast &amp; Reconstruct Surg Serv, New York, NY USA; [Assel, Melissa; Vickers, Andrew; Carlsson, Sigrid] Mem Sloan Kettering Canc Ctr, Dept Epidemiol &amp; Biostat, New York, NY USA; [Carlsson, Sigrid; Laudone, Vincent P.] Mem Sloan Kettering Canc Ctr, Dept Surg, Urol Serv, New York, NY USA; [Carlsson, Sigrid] Gothenburg Univ, Inst Clin Sci, Sahlgrenska Acad, Dept Urol, Gothenburg, Sweden; [Levine, Marcia] Mem Sloan Kettering Canc Ctr, Dept Nursing, New York, NY USA; [Mehrara, Babak J.; Nelson, Jonas A.] Mem Sloan Kettering Canc Ctr, Plast &amp; Reconstruct Surg Serv, 530 E 74th St, New York, NY 10021 USA</t>
  </si>
  <si>
    <t>Memorial Sloan Kettering Cancer Center; Memorial Sloan Kettering Cancer Center; Memorial Sloan Kettering Cancer Center; Memorial Sloan Kettering Cancer Center; Memorial Sloan Kettering Cancer Center; University of Gothenburg; Memorial Sloan Kettering Cancer Center; Memorial Sloan Kettering Cancer Center</t>
  </si>
  <si>
    <t>Mehrara, BJ; Nelson, JA (corresponding author), Mem Sloan Kettering Canc Ctr, Plast &amp; Reconstruct Surg Serv, 530 E 74th St, New York, NY 10021 USA.</t>
  </si>
  <si>
    <t>mehrarab@mskcc.org; nelsonj1@mskcc.org</t>
  </si>
  <si>
    <t>National Institutes of Health/National Cancer Institute Cancer Center Support Grant</t>
  </si>
  <si>
    <t>0022-4790</t>
  </si>
  <si>
    <t>1096-9098</t>
  </si>
  <si>
    <t>J SURG ONCOL</t>
  </si>
  <si>
    <t>J. Surg. Oncol.</t>
  </si>
  <si>
    <t>2023 AUG 31</t>
  </si>
  <si>
    <t>10.1002/jso.27427</t>
  </si>
  <si>
    <t>AUG 2023</t>
  </si>
  <si>
    <t>Oncology; Surgery</t>
  </si>
  <si>
    <t>R1FA0</t>
  </si>
  <si>
    <t>WOS:001061856700001</t>
  </si>
  <si>
    <t>Francois, I; Lepage, OM; Schramme, MC; Salciccia, A; Detilleux, J; Grulke, S</t>
  </si>
  <si>
    <t>Francois, Ise; Lepage, Olivier M.; Schramme, Michael C.; Salciccia, Alexandra; Detilleux, Johann; Grulke, Sigrid</t>
  </si>
  <si>
    <t>Clinical findings, surgical techniques, prognostic factors for short-term survival and long-term outcome in horses with acquired inguinal hernias: Ninety-eight cases (2005-2020)</t>
  </si>
  <si>
    <t>VETERINARY SURGERY</t>
  </si>
  <si>
    <t>PREVENTING RECURRENCE; HERNIOPLASTY; HERNIORRHAPHY; COMPLICATION; STALLIONS</t>
  </si>
  <si>
    <t>Objective: To report findings, outcome and determine variables associated with survival in horses with acquired inguinal hernia (AIH).Study design: Retrospective study.Animals: A total of 98 cases in 97 horses.Methods: The medical records (2005-2020) of horses diagnosed with AIH were reviewed. Retrieved data included signalment, history, clinical variables, surgical aspects, postoperative complications, and short- and long-term outcomes. Logistic regression analyses were used to determine factors associated with short-term survival (p &lt; .05).Results: Manual reduction was attempted in a third of the cases (32/98, 33%) and emergency surgery to reduce the hernia was performed in 64 of 98 (65%) cases. Concurrent small intestinal (SI) volvulus was identified in 26 (26/98, 27%) cases. Castration was the most common technique used to prevent recurrence (64/94, 68%). Overall AIH recurrence rate was 11% (11/98). A total of 59 (59/98, 60%) cases survived to hospital discharge and 49 of 52 (94%) cases were still alive after 12 months. Cases admitted within 10 h of colic signs had increased odds of survival (72%) compared to those admitted after 10 h (26%; p &lt; .001). Draft breeds (p = .021), high heart rate on admission (p = .001) and concurrent SI volvulus (p = .048) were associated with reduced survival to hospital discharge.Conclusions: Horses with AIH had a higher risk of concurrent SI volvulus and lower survival than reported. Draft breeds, high heart rate on admission and concurrent SI volvulus were associated with reduced short-term survival.Clinical significance: The results of this study should help in prognostication for horses with AIH.</t>
  </si>
  <si>
    <t>[Francois, Ise; Lepage, Olivier M.; Schramme, Michael C.] Univ Lyon, VetAgro Sup, Vet Sch Lyon, Ctr Equine Hlth, Marcy Letoile, France; [Salciccia, Alexandra; Detilleux, Johann; Grulke, Sigrid] Univ Liege, Clin Dept Equids, Liege, Belgium; [Grulke, Sigrid] Univ Liege, Fac Vet Med, Equine Clin, B-4000 Liege, Belgium</t>
  </si>
  <si>
    <t>VetAgro Sup; University of Liege; University of Liege</t>
  </si>
  <si>
    <t>Grulke, S (corresponding author), Univ Liege, Fac Vet Med, Equine Clin, B-4000 Liege, Belgium.</t>
  </si>
  <si>
    <t>sgrulke@uliege.be</t>
  </si>
  <si>
    <t>Grulke, Sigrid/0000-0001-7402-533X</t>
  </si>
  <si>
    <t>0161-3499</t>
  </si>
  <si>
    <t>1532-950X</t>
  </si>
  <si>
    <t>VET SURG</t>
  </si>
  <si>
    <t>Vet. Surg.</t>
  </si>
  <si>
    <t>10.1111/vsu.14023</t>
  </si>
  <si>
    <t>R5ZF3</t>
  </si>
  <si>
    <t>WOS:001065126500001</t>
  </si>
  <si>
    <t>Hamed, NS; Taha, EFS; Khateeb, S</t>
  </si>
  <si>
    <t>Hamed, Noha Sayed; Taha, Eman F. S.; Khateeb, Sahar</t>
  </si>
  <si>
    <t>Matcha-silver nanoparticles reduce gamma radiation-induced oxidative and inflammatory responses by activating SIRT1 and NLRP-3 signaling pathways in the Wistar rat spleen</t>
  </si>
  <si>
    <t>CELL BIOCHEMISTRY AND FUNCTION</t>
  </si>
  <si>
    <t>antioxidant activity; gamma radiation; inflammation; matcha; silver nanoparticles</t>
  </si>
  <si>
    <t>GREEN SYNTHESIS; LEAF EXTRACT; ANTIOXIDANT; CYTOTOXICITY; STRESS; CELLS; PHYTOSYNTHESIS; LEAVES; TISSUE; ASSAY</t>
  </si>
  <si>
    <t>The biogenic synthesis of nanoparticles has drawn significant attention. The spleen is the largest lymphatic organ that is adversely impacted during irradiation. The current study was designated to evaluate the possible anti-inflammatory effect of matcha-silver nanoparticles (M-AgNPs) to reduce inflammation associated with &amp; gamma;-radiation induced-oxidative stress and inflammation in rats' spleen. Silver nanoparticles (AgNPs) were synthesized by biogenic synthesis using a green sonochemical method from matcha (M) green tea. The obtained M-AgNPs were extensively characterized by dynamic light scattering, transmission electron microscopy, thermogravimetric analysis, and Fourier-transform infrared spectroscopy. Using zetasizer analysis, the surface charge, particle size, and radical scavenging DPPH assay of M-AgNPs were also examined. Biocompatibility and cytotoxicity were analyzed by MTT assay, and the IC50 was calculated. Four groups of 24 Wistar rats each had an equal number of animals. The next step involved measuring the levels of oxidative stress markers in the rat splenic tissue. Additionally, the amounts of inflammatory protein expression were evaluated using the ELISA analysis. The results indicated the formation of spherical nanoparticles of pure Ag &amp; DEG; coated with matcha polyphenols at the nanoscale, as well as uniform monodisperse particles suited for cellular absorption. Results revealed that M-AgNPs improved all biochemical parameters. Furthermore, M-AgNPs relieve inflammation by reducing the expression of NOD-like receptor family pyrin domain-containing 3 (NLRP3), interleukin-1 &amp; beta; (IL-1 &amp; beta;), and enhancing the levels of ileSnt information regulator 1 (SIRT1). Histopathological examinations demonstrated the ability of M-AgNPs to overcome the damage consequent to irradiation and recover the spleen's cellular structure. These results confirmed that matcha is a potential biomaterial for synthesizing AgNPs, which can be exploited for their anti-inflammatory activity. This study is significant as it explores the biogenic synthesis of silver nanoparticles using matcha green tea and their potential anti-inflammatory activity in reducing inflammation associated with irradiation-induced oxidative stress. The study provides a detailed characterization of the synthesized nanoparticles using various techniques. The results of the study show that M-AgNPs improved all biochemical parameters and reduced the expression of inflammatory markers while enhancing the levels of SIRT1. The study also demonstrated the ability of M-AgNPs to recover the spleen's cellular structure after irradiation-induced damage. These findings suggest that matcha could be a potential biomaterial for synthesizing AgNPs with anti-inflammatory properties for treating inflammation-associated disorders.</t>
  </si>
  <si>
    <t>[Hamed, Noha Sayed] Egyptian Atom Energy Author EAEA, Radioisotope Dept, Nucl Res Ctr, Cairo, Egypt; [Taha, Eman F. S.] Egyptian Atom Energy Author EAEA, Natl Ctr Radiat Res &amp; Technol NCRRT, Hlth Radiat Res Dept, Cairo, Egypt; [Khateeb, Sahar] Fayum Univ, Fac Sci, Dept Chem, Biochem Div, Fayum, Egypt</t>
  </si>
  <si>
    <t>Egyptian Knowledge Bank (EKB); Egyptian Atomic Energy Authority (EAEA); Egyptian Knowledge Bank (EKB); Egyptian Atomic Energy Authority (EAEA); National Center for Radiation Research &amp; Technology; Egyptian Knowledge Bank (EKB); Fayoum University</t>
  </si>
  <si>
    <t>Taha, EFS (corresponding author), Egyptian Atom Energy Author EAEA, Natl Ctr Radiat Res &amp; Technol NCRRT, Hlth Radiat Res Dept, Cairo, Egypt.</t>
  </si>
  <si>
    <t>emanfayezsaid@gmail.com</t>
  </si>
  <si>
    <t>Khateeb, Sahar/HJH-1942-2023</t>
  </si>
  <si>
    <t>Khateeb, Sahar/0000-0002-1524-7247; Hamed, Noha/0000-0001-7607-176X</t>
  </si>
  <si>
    <t>The authors want to express their thanks and gratitude to the National Centre for Radiation Research and Technology (NCRRT) and the Egyptian Atomic Energy Authority and Faculty of Science, Fayum University, Fayum, Egypt.; National Centre for Radiation Research and Technology (NCRRT); Egyptian Atomic Energy Authority</t>
  </si>
  <si>
    <t>The authors want to express their thanks and gratitude to the National Centre for Radiation Research and Technology (NCRRT) and the Egyptian Atomic Energy Authority and Faculty of Science, Fayum University, Fayum, Egypt.; National Centre for Radiation Research and Technology (NCRRT)(Egyptian Atomic Energy Authority (EAEA)); Egyptian Atomic Energy Authority(Egyptian Atomic Energy Authority (EAEA))</t>
  </si>
  <si>
    <t>The authors want to express their thanks and gratitude to the National Centre for Radiation Research and Technology (NCRRT) and the Egyptian Atomic Energy Authority and Faculty of Science, Fayum University, Fayum, Egypt.</t>
  </si>
  <si>
    <t>0263-6484</t>
  </si>
  <si>
    <t>1099-0844</t>
  </si>
  <si>
    <t>CELL BIOCHEM FUNCT</t>
  </si>
  <si>
    <t>Cell Biochem. Funct.</t>
  </si>
  <si>
    <t>10.1002/cbf.3844</t>
  </si>
  <si>
    <t>R1FD9</t>
  </si>
  <si>
    <t>WOS:001061860600001</t>
  </si>
  <si>
    <t>Hara, K; Cho, HRHK; Onodera, A; Endo, K; Maezawa, Y; Aoyama, T; Yamada, T; Oshima, T; Rino, Y</t>
  </si>
  <si>
    <t>Hara, Kentaro; Cho, Haruhiko; Onodera, Atsushi; Endo, Kazuya; Maezawa, Yukio; Aoyama, Toru; Yamada, Takanobu; Oshima, Takashi; Rino, Yasushi</t>
  </si>
  <si>
    <t>Long-term treatment outcomes in gastric cancer with oligometastasis</t>
  </si>
  <si>
    <t>ANNALS OF GASTROENTEROLOGICAL SURGERY</t>
  </si>
  <si>
    <t>chemotherapy; gastrectomy; gastric cancer; metastasectomy; oligometastasis</t>
  </si>
  <si>
    <t>GASTROESOPHAGEAL JUNCTION CANCER; ESOPHAGOGASTRIC CANCER; NEOADJUVANT CHEMOTHERAPY; INFECTIOUS COMPLICATIONS; SURGICAL RESECTION; POOR SURVIVAL; WEIGHT-LOSS; PHASE-III; S-1; CISPLATIN</t>
  </si>
  <si>
    <t>Aim: While surgery is essential for curative treatment of gastric cancer with oligometastasis, its target, timing, and possibility of combination with other treatments are unclear. We herein investigated the clinical course and long -term outcomes of gastric cancer with oligometastasis in the real world setting to determine the opti-mal therapeutic strategy.Methods: The present study retrospectively analyzed 992 patients who received any treatment for metastatic or recurrent gastric adenocarcinoma at Tokyo Metropolitan Komagome Hospital between 2007 and 2019. Oligometastasis was defined as any one of the following: liver metastases (HEP) &lt;3; lung metastases (PUL) &lt;3; unilateral adrenal gland metastasis (ADR); para-aortic lymph node metastasis (PALN); or one, distant, lymph node metastasis, excluding the regional lymph nodes (LYM). Overall survival was compared by the characteristics and treatments for the oligometastasis, and univariate and multivariate analyses were used to identify the prognostic factors of overall survival.Results: Ninety- seven patients (9.8%) with the following metastasis sites were enrolled: HEP (n = 27), PUL (n = 2), ADR (n = 3), PALN (n = 55), and LYM (n = 10). The median survival time of the cohort was 22.8 months, and the five- year overall survival rate was 28.4%. On multivariate analysis, chemotherapy for the initial treatment (hazard ratio [HR]: 0.438; p = 0.048), distal gastrectomy and/or metastasectomy (HR: 0.290; p = 0.001), and R0 resection (HR: 0.373; p = 0.005) were identified as independent, positive factors of overall survival.Conclusion: The long -term outcomes of gastric cancer in patients with oligometastasis may improve if treatment is begun with chemotherapy rather than surgery.</t>
  </si>
  <si>
    <t>[Hara, Kentaro; Cho, Haruhiko; Onodera, Atsushi; Endo, Kazuya] Komagome Hosp, Tokyo Metropolitan Canc &amp; Infect Dis Ctr, Dept Gastr Surg, Tokyo, Japan; [Aoyama, Toru; Rino, Yasushi] Yokohama City Univ, Dept Surg, Yokohama, Japan; [Yamada, Takanobu; Oshima, Takashi] Kanagawa Canc Ctr, Dept Gastrointestinal Surg, Yokohama, Japan; [Hara, Kentaro] Komagome Hosp, Tokyo Metropolitan Canc &amp; Infect Dis Ctr, Dept Gastr Surg, 3-18-22 Honkomagome, Bunkyo ku, Tokyo 1138677, Japan</t>
  </si>
  <si>
    <t>Tokyo Metropolitan Cancer &amp; Infectious Diseases Center Komagome Hospital; Yokohama City University; Kanagawa Prefectural Cancer Center; Tokyo Metropolitan Cancer &amp; Infectious Diseases Center Komagome Hospital</t>
  </si>
  <si>
    <t>Hara, K (corresponding author), Komagome Hosp, Tokyo Metropolitan Canc &amp; Infect Dis Ctr, Dept Gastr Surg, 3-18-22 Honkomagome, Bunkyo ku, Tokyo 1138677, Japan.</t>
  </si>
  <si>
    <t>hara-ken221@hotmail.co.jp</t>
  </si>
  <si>
    <t>The authors sincerely thank Ms. Emiko Saito and Ms. Saki Mori for their excellent data management, and Mr. James R. Valera for his assistance with editing and checking the English in this article.</t>
  </si>
  <si>
    <t>2475-0328</t>
  </si>
  <si>
    <t>ANN GASTROENT SURG</t>
  </si>
  <si>
    <t>Ann. Gastroent. Surg.</t>
  </si>
  <si>
    <t>10.1002/ags3.12733</t>
  </si>
  <si>
    <t>R5UA7</t>
  </si>
  <si>
    <t>WOS:001064990300001</t>
  </si>
  <si>
    <t>Li, GL; Lin, HP; Sripongpun, P; Liang, LY; Zhang, XR; Wong, VWS; Wong, GLH; Kim, WR; Yip, TCF</t>
  </si>
  <si>
    <t>Li, Guanlin; Lin, Huapeng; Sripongpun, Pimsiri; Liang, Lilian Y.; Zhang, Xinrong; Wong, Vincent W. S.; Wong, Grace L. H.; Kim, W. Ray; Yip, Terry C. F.</t>
  </si>
  <si>
    <t>Diagnostic and prognostic performance of the SAFE score in non-alcoholic fatty liver disease</t>
  </si>
  <si>
    <t>LIVER INTERNATIONAL</t>
  </si>
  <si>
    <t>cirrhosis; hepatocellular carcinoma; liver fibrosis; non-alcoholic steatohepatitis</t>
  </si>
  <si>
    <t>SIMPLE NONINVASIVE INDEX; SIGNIFICANT FIBROSIS; STEATOHEPATITIS; VALIDATION; CIRRHOSIS; PREDICT; SYSTEM; FIB-4; NAFLD</t>
  </si>
  <si>
    <t>Background &amp; Aims The steatosis-associated fibrosis estimator (SAFE) score was developed to detect clinically significant liver fibrosis in patients with NAFLD in the United States. We compare the performance of the SAFE score and other non-invasive tests to diagnose liver fibrosis and to correlate the scores with liver-related outcomes in patients with NAFLD in Hong Kong.Methods This was a retrospective cohort study involving two data sets. The first cohort was a biopsy cohort of NAFLD patients (n = 279), and the second was a territory-wide cohort of NAFLD patients (n = 4603) retrieved from a territory-wide electronic healthcare database in Hong Kong.Results In detecting significant fibrosis, liver stiffness measured by transient elastography had the highest area under the receiver operating characteristic curve (AUROC) (.844), followed by SAFE score (.773). SAFE score had the highest AUROC among blood-based algorithms (.773 vs. .746 for FIB-4, .697 for APRI). Based on cut-off values of SAFE score (0 and 100 points), 854 (18.6%), 1596 (34.6%) and 2153 (46.8%) were in the low-, intermediate- and high-risk groups, respectively, in the territory-wide cohort. Six (.7%), 15 (.9%) and 59 (2.7%) developed liver-related events in those three groups respectively. Among patients who had liver-related events at 5 years, using the high cut-off, SAFE score could predict 84.9% of patients accurately, compared to 40.9% for FIB-4 and 27.2% for APRI.Conclusion The SAFE score performed well and better than other blood-based markers in diagnosing significant fibrosis and predicting liver-related events in Asian patients with NAFLD.</t>
  </si>
  <si>
    <t>[Li, Guanlin; Lin, Huapeng; Liang, Lilian Y.; Zhang, Xinrong; Wong, Vincent W. S.; Wong, Grace L. H.; Yip, Terry C. F.] Chinese Univ Hong Kong, Med Data Analyt Ctr, Dept Med &amp; Therapeut, Hong Kong, Peoples R China; [Li, Guanlin; Lin, Huapeng; Liang, Lilian Y.; Zhang, Xinrong; Wong, Vincent W. S.; Wong, Grace L. H.; Yip, Terry C. F.] Chinese Univ Hong Kong, Inst Digest Dis, State Key Lab Digest Dis, Hong Kong, Peoples R China; [Sripongpun, Pimsiri; Kim, W. Ray] Stanford Univ, Dept Med, Div Gastroenterol &amp; Hepatol, Redwood City, CA USA; [Sripongpun, Pimsiri] Prince Songkla Univ, Div Internal Med, Gastroenterol &amp; Hepatol Unit, Hat Yai, Thailand; [Yip, Terry C. F.] Prince Wales Hosp, Dept Med &amp; Therapeut, Shatin, 30-32 Ngan Shing St, Hong Kong, Peoples R China</t>
  </si>
  <si>
    <t>Chinese University of Hong Kong; Chinese University of Hong Kong; Stanford University; Prince of Songkla University; Chinese University of Hong Kong; Prince of Wales Hospital</t>
  </si>
  <si>
    <t>Yip, TCF (corresponding author), Prince Wales Hosp, Dept Med &amp; Therapeut, Shatin, 30-32 Ngan Shing St, Hong Kong, Peoples R China.</t>
  </si>
  <si>
    <t>tcfyip@cuhk.edu.hk</t>
  </si>
  <si>
    <t>; Yip, Terry Cheuk-Fung/ABH-3221-2021</t>
  </si>
  <si>
    <t>Kim, W. Ray/0000-0002-3030-860X; Liang, Lilian/0000-0003-4108-504X; Yip, Terry Cheuk-Fung/0000-0002-1819-2464; Zhang, Xinrong/0000-0002-8393-8904</t>
  </si>
  <si>
    <t>Chinese University of Hong Kong</t>
  </si>
  <si>
    <t>Chinese University of Hong Kong(Chinese University of Hong Kong)</t>
  </si>
  <si>
    <t>1478-3223</t>
  </si>
  <si>
    <t>1478-3231</t>
  </si>
  <si>
    <t>LIVER INT</t>
  </si>
  <si>
    <t>Liver Int.</t>
  </si>
  <si>
    <t>10.1111/liv.15718</t>
  </si>
  <si>
    <t>R5ZH0</t>
  </si>
  <si>
    <t>WOS:001065128200001</t>
  </si>
  <si>
    <t>Lu, XS; Lian, GJ; Ge, RH; Parker, J; Sadan, MK; Smith, R; Cumming, D</t>
  </si>
  <si>
    <t>Lu, Xuesong; Lian, Guo J.; Ge, Ruihuan; Parker, James; Sadan, Milan K.; Smith, Rachel; Cumming, Denis</t>
  </si>
  <si>
    <t>Microstructure of Conductive Binder Domain for Electrical Conduction in Next-Generation Lithium-Ion Batteries</t>
  </si>
  <si>
    <t>bridge structures; conductive binder domain; lithium-ion electrodes; long-range electronic contact; percolation system; pore system</t>
  </si>
  <si>
    <t>RHEOLOGICAL PROPERTIES; CARBON-BLACK; ELECTRODES; CATHODES; MESOSCALE; COMPOSITE; IMPEDANCE; RANGE; PERFORMANCE; PARTICLES</t>
  </si>
  <si>
    <t>The purpose of this work is to investigate the structure and mechanism of long-range electronic contacts which are formed by wet mixing and their interaction and relationship with the structure responsible for ion transfer within the conductive binder domain of next-generation LiNi(0.6)Mn(0.)2Co(0.2)O(2) lithium-ion batteries. This article introduces a novel concept involving an efficient adapted structure model, which includes a bridge structure with two nested small and large pore systems, and an effective electrode conduction mechanism involving two nested percolation systems. The article also highlights a limitation in the improvement of the battery performance by percolation systems for electron transfer, which is restricted by pore systems for ion transfer through the ratio of electrical conductivity (s) and ionic conductivity (?) as s/? = 10. The findings of this article may provide valuable insight for formulation design and manufacturing of an optimal structure of the conductive binder domain for next-generation lithium-ion batteries.</t>
  </si>
  <si>
    <t>[Lu, Xuesong; Lian, Guo J.; Ge, Ruihuan; Parker, James; Sadan, Milan K.; Smith, Rachel; Cumming, Denis] Univ Sheffield, Dept Chem &amp; Biol Engn, Mappin St, Sheffield S1 3JD, England; [Lu, Xuesong; Ge, Ruihuan; Sadan, Milan K.; Smith, Rachel; Cumming, Denis] Faraday Inst, Quad One Harwell Campus, Didcot OX11 0RA, England</t>
  </si>
  <si>
    <t>University of Sheffield</t>
  </si>
  <si>
    <t>Cumming, D (corresponding author), Univ Sheffield, Dept Chem &amp; Biol Engn, Mappin St, Sheffield S1 3JD, England.;Cumming, D (corresponding author), Faraday Inst, Quad One Harwell Campus, Didcot OX11 0RA, England.</t>
  </si>
  <si>
    <t>d.cumming@sheffield.ac.uk</t>
  </si>
  <si>
    <t>This work was supported by the Faraday Institution [grant number FIRG015].; Faraday Institution; [FIRG015]</t>
  </si>
  <si>
    <t>This work was supported by the Faraday Institution [grant number FIRG015].; Faraday Institution;</t>
  </si>
  <si>
    <t>This work was supported by the Faraday Institution [grant number FIRG015].</t>
  </si>
  <si>
    <t>AUG 31</t>
  </si>
  <si>
    <t>10.1002/ente.202300446</t>
  </si>
  <si>
    <t>Q6NX4</t>
  </si>
  <si>
    <t>WOS:001058683000001</t>
  </si>
  <si>
    <t>Milani, NBL; van Gilst, E; Pirok, BWJ; Schoenmakers, PJ</t>
  </si>
  <si>
    <t>Milani, Nino B. L.; van Gilst, Eric; Pirok, Bob W. J.; Schoenmakers, Peter J.</t>
  </si>
  <si>
    <t>Comprehensive two-dimensional gas chromatography- A discussion on recent innovations</t>
  </si>
  <si>
    <t>JOURNAL OF SEPARATION SCIENCE</t>
  </si>
  <si>
    <t>Complex samples; Comprehensive two-dimensional gas chromatography; Data analysis; Gas chromatography Mass spectrometry; Modulation</t>
  </si>
  <si>
    <t>FLIGHT MASS-SPECTROMETRY; GC X GC; NITROGEN-CONTAINING COMPOUNDS; QUANTITATIVE-ANALYSIS; THERMAL MODULATOR; RETENTION TIME; LEAST-SQUARES; LIQUID-CHROMATOGRAPHY; FLOW MODULATOR; PEAK DETECTION</t>
  </si>
  <si>
    <t>Although comprehensive 2-D GC is an established and often applied analytical method, the field is still highly dynamic thanks to a remarkable number of innovations. In this review, we discuss a number of recent developments in comprehensive 2-D GC technology. A variety of modulation methods are still being actively investigated and many exciting improvements are discussed in this review. We also review interesting developments in detection methods, retention modeling, and data analysis.</t>
  </si>
  <si>
    <t>[Milani, Nino B. L.; van Gilst, Eric; Pirok, Bob W. J.; Schoenmakers, Peter J.] Univ Amsterdam, Vant Hoff Inst Mol Sci HIMS, Amsterdam, Netherlands; [Milani, Nino B. L.] Univ Amsterdam, Vant HoffInst Mol Sci HIMS, POB 94157, NL-1090 GD Amsterdam, Netherlands</t>
  </si>
  <si>
    <t>Milani, NBL (corresponding author), Univ Amsterdam, Vant HoffInst Mol Sci HIMS, POB 94157, NL-1090 GD Amsterdam, Netherlands.</t>
  </si>
  <si>
    <t>n.b.l.milani@uva.nl</t>
  </si>
  <si>
    <t>Milani, Nino/0009-0005-8350-4531</t>
  </si>
  <si>
    <t>This work was performed in the context of the Chemometrics and Advanced Separations Team (CAST) within the Centre for Analytical Sciences Amsterdam (CASA). The valuable contributions of all CAST members are gratefully acknowledged.; Chemometrics and Advanced Separations Team (CAST) within the Centre for Analytical Sciences Amsterdam (CASA)</t>
  </si>
  <si>
    <t>This research is part of the PARADISE project (ENPPS.TA.019.001) and received funding from the Dutch Research Council (NWO) in the framework of the Science PPP Fund for the top sectors and from the Ministry of Economic Affairs of the Netherlands in the framework of the PPS Toeslagregeling.r This publication is part of the project Unleashing the Potential of Separation Technology to Achieve Innovation in Research and Society (UPSTAIRS) (with project number 19173) of the research programme TTW-VENI, which is financed by the Dutch Research Council (NWO).r This work was performed in the context of the Chemometrics and Advanced Separations Team (CAST) within the Centre for Analytical Sciences Amsterdam (CASA). The valuable contributions of all CAST members are gratefully acknowledged.</t>
  </si>
  <si>
    <t>1615-9306</t>
  </si>
  <si>
    <t>1615-9314</t>
  </si>
  <si>
    <t>J SEP SCI</t>
  </si>
  <si>
    <t>J. Sep. Sci.</t>
  </si>
  <si>
    <t>10.1002/jssc.202300304</t>
  </si>
  <si>
    <t>Chemistry, Analytical</t>
  </si>
  <si>
    <t>Q7RR2</t>
  </si>
  <si>
    <t>WOS:001059463800001</t>
  </si>
  <si>
    <t>Neishaboori, FM; Sohrabi, MR; Motiee, F; Davallo, M</t>
  </si>
  <si>
    <t>Neishaboori, Fahimehsadat Mostafavi; Sohrabi, Mahmoud Reza; Motiee, Fereshteh; Davallo, Mehran</t>
  </si>
  <si>
    <t>Synthesis of Nano-zero-valent Iron/Chitosan based on Bimetallic Nanoparticles for the Simultaneous Removal of Reactive Violet 5 and Reactive Blue 171 from Aquatic Media: Response Surface Methodology</t>
  </si>
  <si>
    <t>Adsorption; Chitosan; Composite design; Copper; Nanoparticles</t>
  </si>
  <si>
    <t>AZO-DYE; AQUEOUS-SOLUTION; EFFICIENT REMOVAL; WASTE-WATER; DEGRADATION; CHITOSAN; ADSORPTION; CARBON; COAGULATION</t>
  </si>
  <si>
    <t>In this study, a nanostructure adsorbent was fabricated from mixed nanosized zero-valent iron (nZVI), chitosan (CS), and copper (Cu) for the simultaneous removal of Reactive Violet 5 and Reactive Blue 171 from the aqueous media. The prepared adsorbent was characterized by scanning electron microscopy, energy-dispersive X-ray spectroscopy, Brunauer-Emmett-Teller, Fourier transform infrared spectroscopy, and X-ray diffraction. The impact of variables, including pH, adsorbing dosage, contact time, and temperature on the removal percentages of RV5 and RB171 dyes were simultaneously investigated using response surface methodology (RSM) based on a central composite design. The maximum removal efficiency (77.67 %) was obtained at a pH of 3, an adsorbent dosage of 0.3 g, a contact time of 15 min, and a temperature of 10 &amp; DEG;C. The adsorption process fitted well with the Langmuir isotherm model with a coefficient of determination (R-2) equal to 0.9996 and the pseudo-second-order kinetic model (R-2=0.9988). Hence, it could be concluded that the process of adsorption mechanism is monolayer and chemical. The maximum adsorption capacity (q(max)) was 50.25 mg g(-1). In conclusion, nZVI-CS-Cu can be considered as an efficient and inexpensive adsorbent for dye removal from aqueous solutions, because its separation is quick and easy, it possesses high efficiency, and there is no secondary pollution.</t>
  </si>
  <si>
    <t>[Neishaboori, Fahimehsadat Mostafavi; Sohrabi, Mahmoud Reza; Motiee, Fereshteh; Davallo, Mehran] Islamic Azad Univ, Dept Chem, North Tehran Branch, Tehran, Iran</t>
  </si>
  <si>
    <t>Sohrabi, MR (corresponding author), Islamic Azad Univ, Dept Chem, North Tehran Branch, Tehran, Iran.</t>
  </si>
  <si>
    <t>sohrabi.m46@yahoo.com</t>
  </si>
  <si>
    <t>e202302549</t>
  </si>
  <si>
    <t>10.1002/slct.202302549</t>
  </si>
  <si>
    <t>P6VO8</t>
  </si>
  <si>
    <t>WOS:001052034800001</t>
  </si>
  <si>
    <t>Qosa, H; de Oliveira, CHMC; Cizza, G; Lawitz, EJ; Colletti, N; Wetherington, J; Charles, ED; Tirucherai, GS</t>
  </si>
  <si>
    <t>Qosa, Hisham; de Oliveira, Claudia H. M. C.; Cizza, Giovanni; Lawitz, Eric J.; Colletti, Nicholas; Wetherington, Jeffrey; Charles, Edgar D.; Tirucherai, Giridhar S.</t>
  </si>
  <si>
    <t>Pharmacokinetics, safety, and tolerability of BMS-986263, a lipid nanoparticle containing HSP47 siRNA, in participants with hepatic impairment</t>
  </si>
  <si>
    <t>CTS-CLINICAL AND TRANSLATIONAL SCIENCE</t>
  </si>
  <si>
    <t>LIVER-CIRRHOSIS</t>
  </si>
  <si>
    <t>BMS-986263 is a retinoid-conjugated lipid nanoparticle delivering small interfering RNA designed to inhibit synthesis of HSP47 protein, a collagen-specific chaperone protein involved in fibrosis development. This is a phase I, open-label, two-part study evaluating pharmacokinetics and safety of BMS-986263 in participants with hepatic impairment (HI). Part 1 (n = 24) of this study enrolled two cohorts with mild and moderate HI and a separate cohort of age-and body mass index (BMI)-matched participants with normal hepatic function. Part 2 enrolled eight participants with severe HI and eight age-and BMI-matched participants with normal hepatic function. All participants received a single intravenous 90 mg BMS-986263 infusion. Compared with normal-matched participants, geometric mean area under the plasma concentration-time curve time zero to the time of the last quantifiable concentration (AUC((0-T))) and AUC from zero to infinity (AUC((INF))) of HSP47 siRNA were similar in participants with mild HI and 34% and 163% greater in those with moderate and severe HI, respectively, whereas the maximum plasma concentration was similar to 25% lower in mild and moderate HI groups but 58% higher in the severe HI group than in the normal group. Adverse events were reported by two of eight, four of eight, and three of eight participants with mild, moderate, or severe HI, respectively; none were reported in the normal-matched group. Overall, single-dose BMS-986263 was generally safe and well-tolerated and dose adjustment is not considered necessary for participants with mild or moderate HI. Although available data do not indicate that dose adjustment should be performed in patients with severe HI; the optimal posology of BMS-986263 in patients with severe HI may be determined later in its clinical development when additional data to establish exposure-safety/efficacy relationship becomes available. Study Highlights WHAT IS THE CURRENT KNOWLEDGE ON THE TOPIC? Hepatic impairment (HI) study is usually not needed for small interfering RNA (siRNA) and oligonucleotide therapeutics because these therapeutics are typically eliminated from the body by nuclease-mediated degradation. However, for therapeutics that target the liver, HI studies may be required, regardless of the modality. WHAT QUESTION DID THIS STUDY ADDRESS? BMS-986263 is an siRNA that inhibits the expression of HSP47. BMS-986263 targets hepatic stellate cell in the liver and is being developed for the treatment of nonalcoholic steatohepatitis. The current study investigated the effect of varying degrees of HI on the disposition of BMS-986263. WHAT DOES THIS STUDY ADD TO OUR KNOWLEDGE? Impaired hepatic function may change the pharmacokinetics (PKs) of siRNA therapeutics, and the excipients of the delivery system. The totality of the safety, efficacy, and exposure data should be considered to make appropriate dose adjustment for BMS-986263 in participants with HI. HOW MIGHT THIS CHANGE CLINICAL PHARMACOLOGY OR TRANSLATIONAL SCIENCE? A full study design to characterize the effect of various degrees of HI on the PKs of a liver-directed siRNA during early development can inform on inclusion of participants with HI during clinical development.</t>
  </si>
  <si>
    <t>[Qosa, Hisham; de Oliveira, Claudia H. M. C.; Cizza, Giovanni; Colletti, Nicholas; Wetherington, Jeffrey; Charles, Edgar D.; Tirucherai, Giridhar S.] Bristol Myers Squibb, Princeton, NJ USA; [Lawitz, Eric J.] Univ Texas Hlth San Antonio, Texas Liver Inst, San Antonio, TX USA; [Qosa, Hisham] Bristol Myers Squibb, Route 206 &amp; Prov Line Rd, Princeton, NJ 08540 USA</t>
  </si>
  <si>
    <t>Bristol-Myers Squibb; University of Texas System; University of Texas Health Science Center at San Antonio; Bristol-Myers Squibb</t>
  </si>
  <si>
    <t>Qosa, H (corresponding author), Bristol Myers Squibb, Route 206 &amp; Prov Line Rd, Princeton, NJ 08540 USA.</t>
  </si>
  <si>
    <t>hisham.qosa@bms.com</t>
  </si>
  <si>
    <t>The authors thank Ashfaq Parkar and William Achanzar of Bristol Myers Squibb for their critical review and guidance in the development of the manuscript, George Klinger of Bristol Myers Squibb for serving as the clinical operations lead for this study, Uma; Uma Kavita of Bristol Myers Squibb for helping in the bioanalytical methods development; Medical Expressions (Chicago, IL) - Bristol Myers Squibb</t>
  </si>
  <si>
    <t>The authors thank Ashfaq Parkar and William Achanzar of Bristol Myers Squibb for their critical review and guidance in the development of the manuscript, George Klinger of Bristol Myers Squibb for serving as the clinical operations lead for this study, Uma Kavita of Bristol Myers Squibb for helping in the bioanalytical methods development, Jocelyn Courville and Jessica Ma of ICON plc. for serving as the Pharmacokineticists for this trial and Heather Jordan of ICON plc. for serving as the medical monitor for this trial. Medical writing support was provided by Medical Expressions (Chicago, IL) and was funded by Bristol Myers Squibb. The Bristol Myers Squibb policy on data sharing may be found at .</t>
  </si>
  <si>
    <t>1752-8054</t>
  </si>
  <si>
    <t>1752-8062</t>
  </si>
  <si>
    <t>CTS-CLIN TRANSL SCI</t>
  </si>
  <si>
    <t>CTS-Clin. Transl. Sci.</t>
  </si>
  <si>
    <t>10.1111/cts.13581</t>
  </si>
  <si>
    <t>R5YU5</t>
  </si>
  <si>
    <t>WOS:001065115700001</t>
  </si>
  <si>
    <t>Ren, SH; Wang, KY; Jia, YF; Yan, XB</t>
  </si>
  <si>
    <t>Ren, Shuhui; Wang, Kaiyang; Jia, Yunfang; Yan, Xiaobing</t>
  </si>
  <si>
    <t>Ion Migration-Modulated Flexible MXene Synapse for Biomimetic Multimode Afferent Nervous System: Material and Motion Cognition</t>
  </si>
  <si>
    <t>ADVANCED INTELLIGENT SYSTEMS</t>
  </si>
  <si>
    <t>afferent nervous systems; biomimetic cognition; ionic conductive elastomers; multimode perception; MXene synapses</t>
  </si>
  <si>
    <t>MEMRISTOR; SENSOR; SPONGE</t>
  </si>
  <si>
    <t>The biomimetic afferent nervous system (ANS) is significant for transporting external stimuli into intelligent robots; however, it is still far from bionics due to traditional multisensor and single-cognition strategies. Herein, a flexible biomimetic ANS with multimode fuzzy perception and brain-like cognition is developed, by fusing the ion migration-modulated MXene synapse and machine learning (ML). First of all, the elementary perceptual ability to mimic biological neuroreceptors is demonstrated. Motion artifact in the ionic conductive elastomer (ICE) current is eliminated. Furthermore, the multimode perception and brain-like cognition are accomplished by synaptic currents (SCs) and nine ML algorithms. Finally, the cognitions of materials, gestures, and motions are conducted by distributing the ANS devices across body joints, and with the optimal ML method, the accuracies can reach 80%, 100%, and 90%, respectively. This synapse-based ANS may provide a new idea for developing next-generation neuromorphic intelligent robots.</t>
  </si>
  <si>
    <t>[Ren, Shuhui; Wang, Kaiyang; Jia, Yunfang] Nankai Univ, Coll Elect Informat &amp; Opt Engn, Tianjin 300071, Peoples R China; [Yan, Xiaobing] Hebei Univ, Coll Electron &amp; Informat Engn, Key Lab Brain Like Neuromorph Devices &amp; Syst Hebei, Baoding 071002, Peoples R China</t>
  </si>
  <si>
    <t>Nankai University; Hebei University</t>
  </si>
  <si>
    <t>Jia, YF (corresponding author), Nankai Univ, Coll Elect Informat &amp; Opt Engn, Tianjin 300071, Peoples R China.;Yan, XB (corresponding author), Hebei Univ, Coll Electron &amp; Informat Engn, Key Lab Brain Like Neuromorph Devices &amp; Syst Hebei, Baoding 071002, Peoples R China.</t>
  </si>
  <si>
    <t>jiayf@nankai.edu.cn; yanxiaobing@ime.ac.cn</t>
  </si>
  <si>
    <t>S.R. and K.W. contributed equally to this work. This work was supported by the National Natural Science Foundation of China (grant no. 61771260 and grant no. 62271269), National Key R amp;amp; D Plan Nano Frontier Key Special Project (grant no. 2021YFA1 [62271269, 2021YFA1200502]; National Natural Science Foundation of China [92164109]; National Key R amp;amp; D Plan Nano Frontier Key Special Project; Cultivation Projects of National Major R amp;amp; D Project; [61771260]</t>
  </si>
  <si>
    <t>S.R. and K.W. contributed equally to this work. This work was supported by the National Natural Science Foundation of China (grant no. 61771260 and grant no. 62271269), National Key R amp;amp; D Plan Nano Frontier Key Special Project (grant no. 2021YFA1; National Natural Science Foundation of China(National Natural Science Foundation of China (NSFC)); National Key R amp;amp; D Plan Nano Frontier Key Special Project; Cultivation Projects of National Major R amp;amp; D Project;</t>
  </si>
  <si>
    <t>S.R. and K.W. contributed equally to this work. This work was supported by the National Natural Science Foundation of China (grant no. 61771260 and grant no. 62271269), National Key R &amp; amp; D Plan Nano Frontier Key Special Project (grant no. 2021YFA1200502), and Cultivation Projects of National Major R &amp; amp; D Project (grant no. 92164109).</t>
  </si>
  <si>
    <t>2640-4567</t>
  </si>
  <si>
    <t>ADV INTELL SYST-GER</t>
  </si>
  <si>
    <t>Adv. Intell. Syst.</t>
  </si>
  <si>
    <t>10.1002/aisy.202300402</t>
  </si>
  <si>
    <t>Automation &amp; Control Systems; Computer Science, Artificial Intelligence; Robotics</t>
  </si>
  <si>
    <t>Automation &amp; Control Systems; Computer Science; Robotics</t>
  </si>
  <si>
    <t>Q7ED7</t>
  </si>
  <si>
    <t>WOS:001059108700001</t>
  </si>
  <si>
    <t>Shourkaei, MM; Taylor, KM; Dyck, B</t>
  </si>
  <si>
    <t>Shourkaei, Mojtaba M.; Taylor, Kelsey M.; Dyck, Bruno</t>
  </si>
  <si>
    <t>Examining sustainable supply chain management via a social-symbolic work lens: Lessons from Patagonia</t>
  </si>
  <si>
    <t>holistic view; social-symbolic work; sustainability; sustainable supply chain management</t>
  </si>
  <si>
    <t>PERFORMANCE; GREEN; RESPONSIBILITY; IMPLEMENTATION; ORGANIZATION; CAPABILITIES; TECHNOLOGY; GOVERNANCE; INNOVATION; LOGISTICS</t>
  </si>
  <si>
    <t>Patagonia, Inc. is widely recognized as a leading brand in sustainable supply chain management in the garment industry, an industry known for its sustainability shortcomings. This study examines Patagonia's supply chain practices through a social-symbolic work lens. It describes the intentional material work related to Patagonia's inputs, throughputs, and outputs, and also its complementary relational and discursive work. We argue that Patagonia's relational and discursive work are crucial to understanding how Patagonia (a) pursues sustainable supply chain practices, (b) influences its stakeholders to support sustainability, and (c) has positive spillover effects beyond its primary stakeholders. Incorporating a social-symbolic work lens draws attention to important theoretical and managerial insights-in particular, the need for a holistic rather than reductionist approach and the merit in creating self-reinforcing positive feedback loops-which are prone to be overlooked in conventional studies of sustainable supply chain management.</t>
  </si>
  <si>
    <t>[Shourkaei, Mojtaba M.; Taylor, Kelsey M.; Dyck, Bruno] Univ Manitoba, IH Asper Sch Business, Winnipeg, MB, Canada; [Shourkaei, Mojtaba M.] Univ Manitoba, Drake Ctr, IH Asper Sch Business, 181 Freedman Crescent, Winnipeg, MB R3T 5V4, Canada</t>
  </si>
  <si>
    <t>University of Manitoba; University of Manitoba</t>
  </si>
  <si>
    <t>Shourkaei, MM (corresponding author), Univ Manitoba, Drake Ctr, IH Asper Sch Business, 181 Freedman Crescent, Winnipeg, MB R3T 5V4, Canada.</t>
  </si>
  <si>
    <t>mohamm44@myumanitoba.ca</t>
  </si>
  <si>
    <t>Social Sciences and Humanities Research Council of Canada [435-2022-281]; Norman Frohlich Professorship in Business Sustainability</t>
  </si>
  <si>
    <t>Social Sciences and Humanities Research Council of Canada(Social Sciences and Humanities Research Council of Canada (SSHRC)); Norman Frohlich Professorship in Business Sustainability</t>
  </si>
  <si>
    <t>The research benefitted from funding from Social Sciences and Humanities Research Council of Canada (Grant #435-2022-281) and from the Norman Frohlich Professorship in Business Sustainability (no grant number: Asper School of Business).</t>
  </si>
  <si>
    <t>10.1002/bse.3552</t>
  </si>
  <si>
    <t>R2BQ5</t>
  </si>
  <si>
    <t>WOS:001062448200001</t>
  </si>
  <si>
    <t>Sun, WH; Zhang, X; Zhang, HL; Ren, ZC; Chen, MJ; Xiao, YJ; Li, ZT; Deng, JB; Yan, DK; Zhang, LP; Li, Y</t>
  </si>
  <si>
    <t>Sun, Wenhai; Zhang, Xiang; Zhang, Hulin; Ren, Zichen; Chen, Mingjun; Xiao, Yingjun; Li, Zitong; Deng, Jianbo; Yan, Dukang; Zhang, Leipeng; Li, Yao</t>
  </si>
  <si>
    <t>Statically Multiple Colors and Dynamically Infrared Emissivity Modulation Compatible Electrochromic Devices via Simple Fabry-Perot Photonic Structures</t>
  </si>
  <si>
    <t>compatible; electrochromic; Fabry-Perot; infrared emissivity modulation; visible multicolor</t>
  </si>
  <si>
    <t>EFFICIENCY</t>
  </si>
  <si>
    <t>The development of electrochromic devices (ECDs) that can dynamically modulate infrared (IR) emissivity while maintaining a wide color gamut distribution for visible (VIS)-IR compatible spectral manipulation has been a long-standing challenge. Current ECDs are limited by simultaneous changes in IR emissivity and VIS colors when subjected to external potential, restricting their potential applications. This work presents, for the first time, VIS-IR compatible ECDs capable of displaying VIS multicolor and dynamically modulating IR emissivity via a Ge/HfO2 Fabry-Perot cavity structure. The all-solid-state VIS-IR compatible ECD with the structure of ITO/NiO/Ta2O5/Li/WO3/ITO/Ge/HfO2 achieves not only emissivity modulation of 0.20 at potentials of -2.5 V and +2.5 V in the wavelength range of 2.5-25 mu m, but also, due to the presence of Fabry-Perot cavity, the novelty compatible device structure achieves static multicolor modulation, thus decoupling VIS and IR emissivity modulation. Additionally, a flexible VIS-IR compatible ECD based on polyaniline is also constructed. This novel approach offers a promising possibility for multispectral compatible manipulation, VIS multicolor, and IR signal processing applications.</t>
  </si>
  <si>
    <t>[Sun, Wenhai; Zhang, Xiang; Zhang, Hulin; Li, Zitong; Li, Yao] Harbin Inst Technol, Ctr Composite Mat &amp; Struct, Harbin 150001, Peoples R China; [Ren, Zichen; Chen, Mingjun; Xiao, Yingjun; Deng, Jianbo; Yan, Dukang] Harbin Inst Technol, Sch Chem &amp; Chem Engn, Harbin 150001, Peoples R China</t>
  </si>
  <si>
    <t>Harbin Institute of Technology; Harbin Institute of Technology</t>
  </si>
  <si>
    <t>Zhang, X; Li, Y (corresponding author), Harbin Inst Technol, Ctr Composite Mat &amp; Struct, Harbin 150001, Peoples R China.</t>
  </si>
  <si>
    <t>zhangxhit@hit.edu.cn; yaoli@hit.edu.cn</t>
  </si>
  <si>
    <t>National Key Ramp;amp;D Program of China [HIT.OCEF.2022014]; National Natural Science Foundation of China [HIT.OCEF.2021004, JCKYS2022603C014]; Fundamental Research Funds for the Central Universities; Science Foundation of National Key Laboratory of Science and Technology on Advanced Composites; [2022YFB3902704]</t>
  </si>
  <si>
    <t>National Key Ramp;amp;D Program of China; National Natural Science Foundation of China(National Natural Science Foundation of China (NSFC)); Fundamental Research Funds for the Central Universities(Fundamental Research Funds for the Central Universities); Science Foundation of National Key Laboratory of Science and Technology on Advanced Composites;</t>
  </si>
  <si>
    <t>The authors thank the National Key R &amp; amp;D Program of China (2022YFB3902704), the National Natural Science Foundation of China (52002097), the Fundamental Research Funds for the Central Universities (Grant Nos. HIT.OCEF.2022014 and HIT.OCEF.2021004), and the Science Foundation of National Key Laboratory of Science and Technology on Advanced Composites (JCKYS2022603C014). The human experiments shown in Figure 4h,i were not subject to ethical approval. The volunteer took part in the experiments following informed consent.</t>
  </si>
  <si>
    <t>10.1002/lpor.202300476</t>
  </si>
  <si>
    <t>Q7RQ1</t>
  </si>
  <si>
    <t>WOS:001059462700001</t>
  </si>
  <si>
    <t>Vecchietti, J; Belletti, G; Quaino, P; Bonivardi, A; Collins, S</t>
  </si>
  <si>
    <t>Vecchietti, Julia; Belletti, Gustavo; Quaino, Paola; Bonivardi, Adrian; Collins, Sebastian</t>
  </si>
  <si>
    <t>Time-resolved DRIFT Spectroscopy Study of Carbonaceous Intermediates during the Water Gas Shift Reaction over Au/Ceria Catalyst</t>
  </si>
  <si>
    <t>carboxyl; carboxylate; cerium oxide; formate; gold catalysts; modulation spectroscopy</t>
  </si>
  <si>
    <t>INITIO MOLECULAR-DYNAMICS; DENSITY-FUNCTIONAL THEORY; GOLD CLUSTER CARBONYLS; METAL-OXIDE INTERFACE; VIBRATIONAL SPECTROSCOPY; IN-SITU; ULTRASOFT PSEUDOPOTENTIALS; PT/CEO2 CATALYST; CERIA; CO</t>
  </si>
  <si>
    <t>ChemCatChem homepage for more articles in the collection. The mechanism of the low-temperature water gas shift reaction (LTWGS) on an Au/CeO2 catalyst was investigated by means of in situ diffuse reflectance infrared (DRIFT) spectroscopy. Under steady-state LTWGS reaction (373-623 K), the catalyst is partially reduced, and signals from carbonate/formate dominates the infrared spectra. Time-resolved pulse of CO experiment under a constant partial pressure of water at 423 K indicates that Ce4+ can be reduced to Ce3+ and that formate (HCOO) species cannot be directly related to the CO2 production. Further information was obtained by performing modulation excitation spectroscopy (MES) experiments coupled with a phase-sensitive detection (PSD) method. Under periodic modulation of the CO partial pressure while keeping the H2O concentration constant, most of the intense bands of carbonate and formate remained constant, indicating that these species are only spectators. The same is observed for the concentration of Ce3+. Conversely, signals in-phase with the conversion of CO to CO2 are observed and assigned to carboxyl [C(O)OH] and carboxylate (CO(2)d-) species, while some monodentate formate (m-HCOO) also changes but at a lower rate. A plausible associative reaction mechanism where carboxyl/carboxylate are key intermediates is postulated.</t>
  </si>
  <si>
    <t>[Vecchietti, Julia; Bonivardi, Adrian; Collins, Sebastian] Univ Nacl Litoral, Inst Desarrollo Tecnol Ind Quim INTEC, Guemes 3450, RA-3000 Santa Fe, Argentina; [Vecchietti, Julia; Bonivardi, Adrian; Collins, Sebastian] Consejo Nacl Invest Cient &amp; Tecn, Guemes 3450, RA-3000 Santa Fe, Argentina; [Belletti, Gustavo; Quaino, Paola] Univ Nacl Litoral, Inst Quim Aplicada Litoral IQAL, Santiago Estero 2829, RA-3000 Santa Fe, Argentina; [Belletti, Gustavo; Quaino, Paola] Consejo Nacl Invest Cient &amp; Tecn, Santiago Estero 2829, RA-3000 Santa Fe, Argentina; [Belletti, Gustavo; Quaino, Paola; Bonivardi, Adrian; Collins, Sebastian] Univ Nacl Litoral, Fac Ingn Quim, Santiago Estero 2829, RA-3000 Santa Fe, Argentina</t>
  </si>
  <si>
    <t>National University of the Littoral; Consejo Nacional de Investigaciones Cientificas y Tecnicas (CONICET); National University of the Littoral; Consejo Nacional de Investigaciones Cientificas y Tecnicas (CONICET); National University of the Littoral</t>
  </si>
  <si>
    <t>Collins, S (corresponding author), Univ Nacl Litoral, Inst Desarrollo Tecnol Ind Quim INTEC, Guemes 3450, RA-3000 Santa Fe, Argentina.;Collins, S (corresponding author), Consejo Nacl Invest Cient &amp; Tecn, Guemes 3450, RA-3000 Santa Fe, Argentina.;Collins, S (corresponding author), Univ Nacl Litoral, Fac Ingn Quim, Santiago Estero 2829, RA-3000 Santa Fe, Argentina.</t>
  </si>
  <si>
    <t>scollins@santafe-conicet.gov.ar</t>
  </si>
  <si>
    <t>Collins, Sebastian/0000-0002-2157-3305; Quaino, Paola/0000-0003-1311-5213</t>
  </si>
  <si>
    <t>Consejo Nacional de Investigaciones Cientificas y Tecnicas (CONICET) [PIP-2022-08CO]; Agencia Nacional de Promocion de la Investigacion, el Desarrollo Tecnologico y la Innovacion (ANPCyT) [PICT-2018-01332, PICT-2020-03720]; National University of Litoral [CAI+D PI 2020-058LI]</t>
  </si>
  <si>
    <t>Consejo Nacional de Investigaciones Cientificas y Tecnicas (CONICET)(Consejo Nacional de Investigaciones Cientificas y Tecnicas (CONICET)); Agencia Nacional de Promocion de la Investigacion, el Desarrollo Tecnologico y la Innovacion (ANPCyT); National University of Litoral</t>
  </si>
  <si>
    <t>The authors are grateful for the financial support from the Consejo Nacional de Investigaciones Cientificas y Tecnicas (CONICET) [Grant No. PIP-2022-08CO] and Agencia Nacional de Promocion de la Investigacion, el Desarrollo Tecnologico y la Innovacion (ANPCyT) [Grant Nos. PICT-2018-01332 and PICT-2020-03720]. The authors would also like to thank National University of Litoral for support in grant CAI+D PI 2020-058LI.</t>
  </si>
  <si>
    <t>e202300435</t>
  </si>
  <si>
    <t>10.1002/cctc.202300435</t>
  </si>
  <si>
    <t>Q7FI2</t>
  </si>
  <si>
    <t>WOS:001059139300001</t>
  </si>
  <si>
    <t>Yeung, RO; Retnakaran, R; Savu, A; Butalia, S; Kaul, P</t>
  </si>
  <si>
    <t>Yeung, Roseanne O.; Retnakaran, Ravi; Savu, Anamaria; Butalia, Sonia; Kaul, Padma</t>
  </si>
  <si>
    <t>Gestational diabetes: One size does not fit all-an observational study of maternal and neonatal outcomes by maternal glucose profile</t>
  </si>
  <si>
    <t>INSULIN SENSITIVITY; TOLERANCE; MELLITUS; RISK; RESISTANCE; PREGNANCY; SECRETION; DIFFER; WOMEN</t>
  </si>
  <si>
    <t>Objectives: To examine obstetrical and neonatal outcomes across maternal glucose profiles at the population level and to explore insulin sensitivity and beta-cell function across profiles in an independent, well-phenotyped cohort for potential pathophysiologic explanation.Research Design and Methods: Observational cohort study of all pregnancies with gestational diabetes screening between October 2008 and December 2018 resulting in live singleton birth in Alberta, Canada (n = 436,773) were categorized into seven maternal glucose profiles: (1) normal 50 g-glucose challenge test (nGCT), (2) normal 75-g OGTT (nOGTT), (3) isolated elevated 1 h post-load glucose (ePLPG1), (4) isolated elevated 2 h post-load glucose (ePLPG2), (5) elevated 1 and 2 h post-load glucose (ePLPG12), (6) isolated elevated FPG (eFPG), and (7) elevated FPG + elevated 1-h and/or 2-h PLG (Combined). Primary outcomes were large for gestational age (LGA) and neonatal intensive care unit (NICU) admission rates. An independent observational cohort of 1451 women was examined for measures of beta-cell function (ISSI-2, insulinogenic index/HOMA-IR) and insulin sensitivity/resistance (Matsuda index, HOMA-IR) by similar maternal glucose profiles.Results: Pregnancies with elevated FPG, either isolated or combined, had higher adverse events and lower insulin sensitivity. The combination of elevated FPG + elevated 1-h and/or 2-h PLG had the highest rates of LGA(20.9%), NICU admissions (14.7%), and lowest insulin sensitivity as measured by Matsuda index and HOMA-IR, and beta-cell function as measured by ISSI-2 and Insulinogenic index/HOMA-IR.Conclusions: Elevated fasting plasma glucose, either alone or combined with post-load glucose elevation is associated with worse outcomes than isolated post-load glucose elevation, possibly due to higher degrees of insulin resistance. Future work is needed to better understand these differences, and explore whether tailored treatment of GDM can improve neonatal outcomes.</t>
  </si>
  <si>
    <t>[Yeung, Roseanne O.] Univ Toronto, Div Endocrinol, Toronto, ON, Canada; [Yeung, Roseanne O.] Univ Alberta, Fac Med &amp; Dent, Div Endocrinol &amp; Metab, Edmonton, AB, Canada; [Yeung, Roseanne O.] Univ Alberta, Fac Med &amp; Dent, Phys Learning Program, Off Lifelong Learning, Edmonton, AB, Canada; [Retnakaran, Ravi; Savu, Anamaria; Kaul, Padma] Univ Alberta, Dept Med, Div Cardiol, Edmonton, AB, Canada; [Savu, Anamaria; Kaul, Padma] Univ Alberta, Canadian Vigour Ctr, Edmonton, AB, Canada; [Butalia, Sonia] Univ Calgary, Dept Med, Div Endocrinol, Calgary, AB, Canada; [Butalia, Sonia] Univ Calgary, Dept Community Hlth Sci, Div Endocrinol, Calgary, AB, Canada; [Yeung, Roseanne O.] Univ Alberta, Fac Med &amp; Dent, Div Endocrinol &amp; Metab, 9111K Clin Sci Bldg,11350-83 Ave, Edmonton, AB T6G 2G3, Canada; [Yeung, Roseanne O.] Univ Alberta, Fac Med &amp; Dent, Phys Learning Program, Off Lifelong Learning, 9111K Clin Sci Bldg,11350-83 Ave, Edmonton, AB T6G 2G3, Canada</t>
  </si>
  <si>
    <t>University of Toronto; University of Alberta; University of Alberta; University of Alberta; University of Alberta; University of Calgary; University of Calgary; University of Alberta; University of Alberta</t>
  </si>
  <si>
    <t>Yeung, RO (corresponding author), Univ Alberta, Fac Med &amp; Dent, Div Endocrinol &amp; Metab, 9111K Clin Sci Bldg,11350-83 Ave, Edmonton, AB T6G 2G3, Canada.;Yeung, RO (corresponding author), Univ Alberta, Fac Med &amp; Dent, Phys Learning Program, Off Lifelong Learning, 9111K Clin Sci Bldg,11350-83 Ave, Edmonton, AB T6G 2G3, Canada.</t>
  </si>
  <si>
    <t>ryeung@ualberta.ca</t>
  </si>
  <si>
    <t>; Yeung, Roseanne/H-3729-2016</t>
  </si>
  <si>
    <t>Kaul, Padma/0000-0003-2239-3944; Yeung, Roseanne/0000-0002-7670-4923; Butalia, Sonia/0000-0001-7865-9161</t>
  </si>
  <si>
    <t>Canadian Institutes of Health Research</t>
  </si>
  <si>
    <t>Canadian Institutes of Health Research(Canadian Institutes of Health Research (CIHR))</t>
  </si>
  <si>
    <t>e15205</t>
  </si>
  <si>
    <t>10.1111/dme.15205</t>
  </si>
  <si>
    <t>Q7PD2</t>
  </si>
  <si>
    <t>WOS:001059397700001</t>
  </si>
  <si>
    <t>Zhang, CJ; Lu, ST; Deng, K; Qian, W; Liu, Y; Li, Y; Jin, SQ; Suo, RY; Xu, HB; Wu, B</t>
  </si>
  <si>
    <t>Zhang, Caiju; Lu, Shuting; Deng, Kai; Qian, Wang; Liu, Yue; Li, Yi; Jin, Shiqi; Suo, Ruiyang; Xu, Haibo; Wu, Bo</t>
  </si>
  <si>
    <t>Nanoscintillator-Mediated X-Ray-Triggered Boosting Transformation of Fe3+ into Fe2+ for Enhancing Tumor Ferroptosis/Immunotherapy</t>
  </si>
  <si>
    <t>Fe photoreduction; Fenton reaction; ferroptosis; immunotherapy; iron redox cycling</t>
  </si>
  <si>
    <t>CELL-DEATH; IRON; NANOPARTICLES; FERROPTOSIS; ENHANCEMENT; ACID</t>
  </si>
  <si>
    <t>Ferroptosis therapy induced by iron-catalyzed Fenton reaction has offered enormous opportunities for tumor therapy. Unfortunately, high catalytic activity ferrous (Fe2+)-based therapeutic agent has remained challenging due to the instability of Fe2+. Herein, an X-ray-activated Fe2+ supply platform, termed PFCN, containing the core of CaWO4 nanoscintillator to emit ultraviolet (UV) light and Fe3O4 decorated on the surface to deliver excessive Fe2+ is proposed. Under X-ray excitation, the UV light emitted by CaWO4 can catalyze ferric (Fe3+) to generate Fe2+, which further cascades the Fenton reaction to induce highly toxic hydroxyl radicals generation. More importantly, immunogenic cell death-associated immunotherapy is simultaneously triggered during this process. Experiments conducted in vitro and in vivo revealed that X-ray-triggered PFCN shows superior tumor therapeutic efficacy, contributing i) enhanced radiotherapy; ii) X-ray-activated ferroptosis therapy; and iii) ferroptosis/radiotherapy-induced immunotherapy. Besides, PFCN can be utilized as an MR/CT dual-mode imaging contrast agent for tumor diagnosis and treatment monitoring. The study provides a novel example of an X-ray-activated ferrous-regeneration platform for imaging-guided augmenting tumor ferroptosis/immunotherapy</t>
  </si>
  <si>
    <t>[Zhang, Caiju; Lu, Shuting; Deng, Kai; Liu, Yue; Suo, Ruiyang; Xu, Haibo; Wu, Bo] Wuhan Univ, Zhongnan Hosp, Dept Radiol, Wuhan 430071, Peoples R China; [Zhang, Caiju] Hainan Gen Hosp, Dept Radiol, Haikou 570311, Peoples R China; [Qian, Wang] Wuhan Univ, Zhongnan Hosp, Dept Radiat &amp; Med Oncol, Wuhan 430071, Peoples R China; [Li, Yi; Jin, Shiqi] Hubei Univ, Sch Chem &amp; Chem Engn, Wuhan 430071, Peoples R China</t>
  </si>
  <si>
    <t>Wuhan University; Wuhan University; Hubei University</t>
  </si>
  <si>
    <t>Xu, HB; Wu, B (corresponding author), Wuhan Univ, Zhongnan Hosp, Dept Radiol, Wuhan 430071, Peoples R China.</t>
  </si>
  <si>
    <t>xuhaibo@whu.edu.cn; wubo5317@whu.edu.cn</t>
  </si>
  <si>
    <t>This work was financially supported by the National Natural Science Foundation of China (82171922), Natural Science Foundation of Hubei Province (2021CFB055), Fundamental Research Funds for the Central Universities, 2019 Wuhan Young and Middle-aged Medical [2021CFB055]; National Natural Science Foundation of China [2042018kf0245]; Natural Science Foundation of Hubei Province [PTXM2022035]; Fundamental Research Funds for the Central Universities; Wuhan Young and Middle-aged Medical Talents Program [2020BCB030]; Medical Sci-Tech Innovation Platform of Zhongnan Hospital, Wuhan University [ZNJC201911]; Key Ramp;amp;D Program of Hubei Province; Translational Medicine and Interdisciplinary Research Joint Fund of Zhongnan Hospital of Wuhan University; [82171922]</t>
  </si>
  <si>
    <t>This work was financially supported by the National Natural Science Foundation of China (82171922), Natural Science Foundation of Hubei Province (2021CFB055), Fundamental Research Funds for the Central Universities, 2019 Wuhan Young and Middle-aged Medical; National Natural Science Foundation of China(National Natural Science Foundation of China (NSFC)); Natural Science Foundation of Hubei Province(Natural Science Foundation of Hubei Province); Fundamental Research Funds for the Central Universities(Fundamental Research Funds for the Central Universities); Wuhan Young and Middle-aged Medical Talents Program; Medical Sci-Tech Innovation Platform of Zhongnan Hospital, Wuhan University; Key Ramp;amp;D Program of Hubei Province; Translational Medicine and Interdisciplinary Research Joint Fund of Zhongnan Hospital of Wuhan University;</t>
  </si>
  <si>
    <t>This work was financially supported by the National Natural Science Foundation of China (82171922), Natural Science Foundation of Hubei Province (2021CFB055), Fundamental Research Funds for the Central Universities, 2019 Wuhan Young and Middle-aged Medical Talents Program, the Fundamental Research Funds for the Central Universities (2042018kf0245), Medical Sci-Tech Innovation Platform of Zhongnan Hospital, Wuhan University (PTXM2022035), partly supported by Key R &amp; D Program of Hubei Province (Grant No. 2020BCB030), partly supported by the Translational Medicine and Interdisciplinary Research Joint Fund of Zhongnan Hospital of Wuhan University (Grant No. ZNJC201911).</t>
  </si>
  <si>
    <t>10.1002/adfm.202301462</t>
  </si>
  <si>
    <t>Q7NK7</t>
  </si>
  <si>
    <t>WOS:001059353200001</t>
  </si>
  <si>
    <t>Zhang, Q; Wang, XT; Chen, SW; Tang, M; Zhang, Q; Xia, YW</t>
  </si>
  <si>
    <t>Zhang, Qi; Wang, Xueting; Chen, Shi-Wu; Tang, Meng; Zhang, Qian; Xia, Yiwen</t>
  </si>
  <si>
    <t>Amination of Isonitriles in Water: Urea Synthesis under Biocompatible Conditions</t>
  </si>
  <si>
    <t>amines; bioorthogonal; direct labeling amines; isonitriles; ureas</t>
  </si>
  <si>
    <t>ISOCYANIDE INSERTION; CLICK CHEMISTRY; LIGATION; AMINES</t>
  </si>
  <si>
    <t>Bioorthogonal reactions have been widely used to track biomolecules in living systems. Due to stringent requirements of physiological conditions, enriching the toolkit of bioorthogonal reactions remains the most important and challenging issue. Herein, the biocompatible ligation of isonitriles and amines to ureas in neutral aqueous medium was developed for the first time. The ligation showed benign nature of biocompatibility, broad substrate scope, and specific chemoselectivity. Meanwhile, urea as a natural linkage, its derivatives played an important role in medicinal chemistry. The second-order reaction rate constant (k2) was determined, which was higher or comparable to that of Staudinger ligation and strain-promoted azide-alkyne cycloaddition (SPAAC). Direct labeling of Ac4GlcN has been achieved in Hep G2 cells.</t>
  </si>
  <si>
    <t>[Zhang, Qi; Wang, Xueting; Chen, Shi-Wu; Tang, Meng; Zhang, Qian; Xia, Yiwen] Lanzhou Univ, Sch Pharm, Lanzhou 730000, Peoples R China</t>
  </si>
  <si>
    <t>Lanzhou University</t>
  </si>
  <si>
    <t>Tang, M (corresponding author), Lanzhou Univ, Sch Pharm, Lanzhou 730000, Peoples R China.</t>
  </si>
  <si>
    <t>tangmeng@lzu.edu.cn</t>
  </si>
  <si>
    <t>Tang, Meng/0000-0003-4398-3900</t>
  </si>
  <si>
    <t>We are grateful for financial support from NSFC (21772073).; NSFC; [21772073]</t>
  </si>
  <si>
    <t>We are grateful for financial support from NSFC (21772073).; NSFC(National Natural Science Foundation of China (NSFC));</t>
  </si>
  <si>
    <t>We are grateful for financial support from NSFC (21772073).</t>
  </si>
  <si>
    <t>e202300779</t>
  </si>
  <si>
    <t>10.1002/ejoc.202300779</t>
  </si>
  <si>
    <t>Science Citation Index Expanded (SCI-EXPANDED); Index Chemicus (IC); Current Chemical Reactions (CCR-EXPANDED)</t>
  </si>
  <si>
    <t>Q7EP7</t>
  </si>
  <si>
    <t>WOS:001059120800001</t>
  </si>
  <si>
    <t>Zhang, W; Zhong, XL; Li, X</t>
  </si>
  <si>
    <t>Zhang, Wei; Zhong, Xiuli; Li, Xue</t>
  </si>
  <si>
    <t>The impact of degree of internationalization of MNEs on green innovation performance: The moderating role of absorptive capacity and global dynamic management capability</t>
  </si>
  <si>
    <t>CORPORATE SOCIAL RESPONSIBILITY AND ENVIRONMENTAL MANAGEMENT</t>
  </si>
  <si>
    <t>absorptive capacity; global dynamic management capability; green innovation; internationalization breadth; internationalization depth</t>
  </si>
  <si>
    <t>RESEARCH-AND-DEVELOPMENT; MULTINATIONAL-ENTERPRISES; INSTITUTIONAL PRESSURES; MANAGERIAL CAPABILITIES; KNOWLEDGE TRANSFER; FIRM PERFORMANCE; CONSEQUENCES; ANTECEDENTS; QUALITY; STRATEGY</t>
  </si>
  <si>
    <t>With the increasing attention given to resource scarcity and environmental destruction, growing pressure is imposed upon MNEs (multinational enterprises) by a wide range of stakeholders to exert green innovation. Although an emerging body of research has explored the contributing factors of green innovation, little attention has been paid to the impact of internationalization, especially the different dimensions of internationalization, on green innovation performance. To address this research gap, this research aims to examine the role of both the breadth (geographical range) and depth (intensity) of internationalization on green innovation performance of MNEs, and investigate the moderating roles of MNEs' global dynamic management capability and absorptive capacity. Based on organizational learning theory, this study used secondary data from Chinese listed companies and established econometric models to test the proposed research framework. The results indicated that the breadth of internationalization could enhance MNEs' green innovation performance. Alternatively, the depth of internationalization could inhibit green innovation performance. In addition, the results also revealed that global dynamic managerial and absorptive capacities can both enhance the positive effect between internationalization breadth and green innovation performance while weakening the negative effect of internationalization depth on green innovation performance. This study has implications for strengthening our knowledge of green innovation performance as well as enhancing policy design for sustainable development.</t>
  </si>
  <si>
    <t>[Zhang, Wei] Wuhan Univ Technol, Sch Safety Sci &amp; Emergency Management, Wuhan, Peoples R China; [Zhong, Xiuli] Shanghai Univ Finance &amp; Econ, Coll Business, Shanghai, Peoples R China; [Li, Xue] Zhongnan Univ Econ &amp; Law, Sch Foreign Studies, Wuhan, Hubei, Peoples R China</t>
  </si>
  <si>
    <t>Wuhan University of Technology; Shanghai University of Finance &amp; Economics; Zhongnan University of Economics &amp; Law</t>
  </si>
  <si>
    <t>Li, X (corresponding author), Zhongnan Univ Econ &amp; Law, Sch Foreign Studies, Wuhan, Hubei, Peoples R China.</t>
  </si>
  <si>
    <t>xueli@zuel.edu.cn</t>
  </si>
  <si>
    <t>National Natural Science Foundation of China [72102172, 72302233]</t>
  </si>
  <si>
    <t>The authors gratefully acknowledge financial support from the National Natural Science Foundation of China (Grant No. 72102172; 72302233).</t>
  </si>
  <si>
    <t>1535-3958</t>
  </si>
  <si>
    <t>1535-3966</t>
  </si>
  <si>
    <t>CORP SOC RESP ENV MA</t>
  </si>
  <si>
    <t>Corp. Soc. Responsib. Environ. Manag.</t>
  </si>
  <si>
    <t>10.1002/csr.2592</t>
  </si>
  <si>
    <t>R5SY8</t>
  </si>
  <si>
    <t>WOS:001064962100001</t>
  </si>
  <si>
    <t>Bano, S; Khan, N; Fatima, M; Khalique, A; Arslan, M; Wan, AHL</t>
  </si>
  <si>
    <t>Bano, Sheeza; Khan, Noor; Fatima, Mahroze; Khalique, Anjum; Arslan, Murat; Wan, Alex H. L.</t>
  </si>
  <si>
    <t>Mitigating the impact of winter temperatures on striped catfish (Pangasianodon hypophthalmus) using functional feed additives</t>
  </si>
  <si>
    <t>JOURNAL OF THE WORLD AQUACULTURE SOCIETY</t>
  </si>
  <si>
    <t>antioxidative enzymes; cold stress; fatty acids; functional feed additives; stress indicators</t>
  </si>
  <si>
    <t>HEAT-SHOCK-PROTEIN; GROWTH-PERFORMANCE; THERMAL TOLERANCE; DIETARY SELENIUM; ICTALURUS-PUNCTATUS; ANTIOXIDANT STATUS; CHANNEL CATFISH; RAINBOW-TROUT; ONCORHYNCHUS-MYKISS; MUSCLE COMPOSITION</t>
  </si>
  <si>
    <t>The drop in temperature during the winter months can lead to a decrease in growth, induce metabolic stress, and increase mortality incidences. The present study evaluated the potential of functional feed additives in mitigating the negative impacts of winter-rearing conditions in striped catfish (Pangasianodon hypophthalmus). Four test diets were evaluated over a twelve-week feed trial: (1) zinc-acetate (Zn-acetate), (2) selenomethionine (Se-Met), (3) ss-glucan, and (4) control with no added feed additive. The survival rate in the ss-glucan (95.00%) and Zn-acetate (93.30%) dietary groups was higher than the control (78.30%) and Se-Met (85.00%). Fish fed with the ss-glucan had the highest weight gain (20.75% increase), specific growth rate (13.75% increase), and lower feed conversion ratio (9.64 % decrease). However, feed additives did not influence the fatty acid profiles or whole-body proximate composition. Although, Zn-acetate and Se-Met had higher body ash content. Serum cortisol and glucose levels were lower in ss-glucan and Zn-acetate than in other treatment groups. All feed additives resulted in higher superoxide dismutase, glutathione peroxidase, and catalase activity in the liver and muscle. This study found that ss-glucan and zinc-acetate can improve cold stress resistance and offer a sustainable strategy for catfish rearing over winter.</t>
  </si>
  <si>
    <t>[Bano, Sheeza; Khan, Noor; Fatima, Mahroze] Univ Vet &amp; Anim Sci, Dept Fisheries &amp; Aquaculture, Lahore, Pakistan; [Khalique, Anjum] Univ Vet &amp; Anim Sci, Dept Anim Nutr, Lahore, Pakistan; [Arslan, Murat] Ataturk Univ, Fac Fisheries, Dept Aquaculture, Erzurum, Turkiye; [Wan, Alex H. L.] Univ Galway, Sch Nat Sci, Aquaculture &amp; Nutr Res Unit ANRU, Carna Res Stn, Carna, Ireland; [Wan, Alex H. L.] Univ Galway, Ryan Inst, Carna, Ireland; [Wan, Alex H. L.] Univ Galway, Sch Nat Sci, Aquaculture &amp; Nutr Res Unit ANRU, Room 204,Annex Bldg, Galway City, Ireland; [Wan, Alex H. L.] Univ Galway, Ryan Inst, Room 204,Annex Bldg, Galway City, Ireland; [Wan, Alex H. L.] Univ Galway, Ryan Inst, Aquaculture &amp; Nutr Res Unit ANRU, Carna Res Stn, Galway, Ireland; [Wan, Alex H. L.] Univ Galway, Sch Nat Sci, Galway, Ireland</t>
  </si>
  <si>
    <t>University of Veterinary &amp; Animal Science - Pakistan; University of Veterinary &amp; Animal Science - Pakistan; Ataturk University; Ollscoil na Gaillimhe-University of Galway; Ollscoil na Gaillimhe-University of Galway</t>
  </si>
  <si>
    <t>Wan, AHL (corresponding author), Univ Galway, Ryan Inst, Aquaculture &amp; Nutr Res Unit ANRU, Carna Res Stn, Galway, Ireland.;Wan, AHL (corresponding author), Univ Galway, Sch Nat Sci, Galway, Ireland.</t>
  </si>
  <si>
    <t>alex.wan@universityofgalway.ie</t>
  </si>
  <si>
    <t>The authors would like to thank Professor Simon Davies for his editorial review of this research manuscript. This study received financial assistance from the Punjab Agricultural Research Board (PARB) under the collaborative Project: Interactive Effects of; Punjab Agricultural Research Board (PARB) under the collaborative Project; Marine Institute under the Marine Research Programme; Irish Government; [NET/22/94]</t>
  </si>
  <si>
    <t>The authors would like to thank Professor Simon Davies for his editorial review of this research manuscript. This study received financial assistance from the Punjab Agricultural Research Board (PARB) under the collaborative Project: Interactive Effects of; Punjab Agricultural Research Board (PARB) under the collaborative Project; Marine Institute under the Marine Research Programme; Irish Government;</t>
  </si>
  <si>
    <t>The authors would like to thank Professor Simon Davies for his editorial review of this research manuscript. This study received financial assistance from the Punjab Agricultural Research Board (PARB) under the collaborative Project: Interactive Effects of Manipulated Artificial Feeds on Growth and Breeding Potential of Channa spp. Special thanks to the Faculty of Fisheries, Ataturk University, Erzurum, Turkey, for technical support with fatty acids analysis. This research was carried out with the support of the Marine Institute under the Marine Research Programme with the support of the Irish Government, (Grant/AwardNumber: NET/22/94).</t>
  </si>
  <si>
    <t>0893-8849</t>
  </si>
  <si>
    <t>1749-7345</t>
  </si>
  <si>
    <t>J WORLD AQUACULT SOC</t>
  </si>
  <si>
    <t>J. World Aquacult. Soc.</t>
  </si>
  <si>
    <t>AUG 30</t>
  </si>
  <si>
    <t>10.1111/jwas.13010</t>
  </si>
  <si>
    <t>Q6EU0</t>
  </si>
  <si>
    <t>WOS:001058441900001</t>
  </si>
  <si>
    <t>Bayram, A; Ozsaban, A; Kilic, CT</t>
  </si>
  <si>
    <t>Bayram, Aysun; Ozsaban, Aysel; Kilic, Cigdem Torun</t>
  </si>
  <si>
    <t>Verbal violence and missed nursing care: A phenomenological study</t>
  </si>
  <si>
    <t>INTERNATIONAL NURSING REVIEW</t>
  </si>
  <si>
    <t>Care; missed nursing care; nurse; nursing care; qualitative design; Turkey; verbal violence</t>
  </si>
  <si>
    <t>WORKPLACE VIOLENCE; NURSES; HOSPITALS</t>
  </si>
  <si>
    <t>AimTo define the missed care experiences of nurses exposed to verbal violence from patients.BackgroundVerbal violence takes the first place among the types of violence that nurses face in healthcare settings. This can cause negative emotional and physical responses in nurses and issues in patient and nurse interaction. As a result, it may lead to missed nursing care, defined as skipped, postponed or incomplete care during the patient's care.MethodsThis is a phenomenological study. The study sample included 16 nurses working in inpatient clinics who reported experiencing verbal violence at least once in Turkey. The study was conducted between January and February 2022 with institutional permission and ethics committee approval (09/12/2021-2021/357). A semi-structured interview method was used to collect data. The information gathered from the interviews underwent thematic analysis using an inductive approach. The 'Consolidated Criteria for Reporting Qualitative Research (COREQ)' was used to report this qualitative study based on a comprehensive protocol.ResultsThe types of verbal violence most frequently faced by nurses were determined as swearing, insulting, shouting and threats. Study findings were classified into three main themes: (i) response to verbal violence, (ii) missed nursing care experiences and (iii) suggestions to cope with verbal violence. The most felt emotions in the face of verbal violence were feeling sad, unsafe and worthless. Nurses common behaviours, in response to verbal abuse were ignoring, getting used to, and wishing to get away. The examples of missed care included using non-therapeutic communication, postponing care or withdrawing from care.ConclusionVerbal violence caused negative emotional and behavioural responses in nurses, which, in turn, negatively affected the nurse-patient interaction. These findings mean that verbal violence may pave the way for missed nursing care.Implications for nursing policyAccording to these findings, an uninterrupted nursing care process needs to focus on preventive measures against verbal violence and increase the administrative and legal support offered to nurses.</t>
  </si>
  <si>
    <t>[Bayram, Aysun; Ozsaban, Aysel] Karadeniz Tech Univ, Fac Hlth Sci, Fundamentals Nursing Dept, Farabi St 88, TR-61080 Ortahisar, Trabzon, Turkiye; [Kilic, Cigdem Torun] Karadeniz Tech Univ, Fac Hlth Sci, Nursing Management Dept, Trabzon, Turkiye</t>
  </si>
  <si>
    <t>Karadeniz Technical University; Karadeniz Technical University</t>
  </si>
  <si>
    <t>Bayram, A (corresponding author), Karadeniz Tech Univ, Fac Hlth Sci, Fundamentals Nursing Dept, Farabi St 88, TR-61080 Ortahisar, Trabzon, Turkiye.</t>
  </si>
  <si>
    <t>aysunbayram@ktu.edu.tr; cigdemtorunkilic@gmail.com</t>
  </si>
  <si>
    <t>Bayram, Aysun/ACQ-7823-2022</t>
  </si>
  <si>
    <t>Bayram, Aysun/0000-0003-2038-6265</t>
  </si>
  <si>
    <t>0020-8132</t>
  </si>
  <si>
    <t>1466-7657</t>
  </si>
  <si>
    <t>INT NURS REV</t>
  </si>
  <si>
    <t>Int. Nurs. Rev.</t>
  </si>
  <si>
    <t>2023 AUG 30</t>
  </si>
  <si>
    <t>10.1111/inr.12882</t>
  </si>
  <si>
    <t>R1LY4</t>
  </si>
  <si>
    <t>WOS:001062038000001</t>
  </si>
  <si>
    <t>Bertolini, MC; Ramoa, SDAS; Pereira, ECL; Soares, BG; Barra, GMO; Pegoretti, A</t>
  </si>
  <si>
    <t>Bertolini, Mayara C.; Ramoa, Silvia D. A. S.; Pereira, Elaine C. L.; Soares, Bluma G.; Barra, Guilherme M. O.; Pegoretti, Alessandro</t>
  </si>
  <si>
    <t>Poly(vinylidene fluoride) and thermoplastic polyurethane composites filled with carbon black-polypyrrole for electromagnetic shielding applications</t>
  </si>
  <si>
    <t>POLYMERS FOR ADVANCED TECHNOLOGIES</t>
  </si>
  <si>
    <t>carbon filler; conductive composites; electromagnetic interference shielding; fused filament fabrication; polymer blend</t>
  </si>
  <si>
    <t>NANOTUBES; NANOCOMPOSITES; INTERFACE</t>
  </si>
  <si>
    <t>This study aims to investigate the electromagnetic interference shielding properties of composites based on immiscible polymer blends of poly(vinylidene fluoride) (PVDF) and thermoplastic polyurethane (TPU) filled with carbon black doped with polypyrrole (CB-PPy) prepared by compression molding and fused filament fabrication. Composites of PVDF/CB-PPy and TPU/CB-PPy were also prepared for comparison. Rheological measurements showed that although the rheological behavior of PVDF/TPU composites was an intermediate behavior between PVDF/CB-PPy and TPU/CB-PPy composites, the effect of the conductive filler was much more pronounced in PVDF than in TPU. Moreover, the addition of CB-PPy was found to increase the storage modulus of the composites leading to more rigid materials, and to decrease the T-g values of the composites due to the reduction of the mobility of the polymeric chains. In addition, PVDF/TPU composites presented an intermediate behavior when compared to composites based on the neat polymers demonstrating that the addition of TPU to PVDF contributes to the development of composites with improved flexibility. Furthermore, the addition of CB-PPy increased the electrical conductivity of all composites. However, the electrical conductivity of PVDF/TPU 50/50 vol% co-continuous blends was higher than the electrical conductivity of PVDF/TPU 38/62 vol% composites with the same amount of conductive filler. Composites with higher electrical conductivity showed better shielding from electromagnetic radiation. As expected, composites based on the co-continuous blend displayed higher EMI shielding efficiency than the 38/62 vol% composites. The main mechanism of shielding was absorption for all composites. Overall, composites based on the PVDF/TPU 50/50 vol% co-continuous blend showed a better combination of EMI shielding efficiency and mechanical properties. Moreover, specimens prepared by fused filament fabrication displayed diminished electrical conductivity and EMI-SE responses when compared to compression-molded samples with the same composition. This difference is attributed to the presence of voids, defects, and overlapping layers, which can hamper the electron flow.</t>
  </si>
  <si>
    <t>[Bertolini, Mayara C.; Pegoretti, Alessandro] Univ Trento, Dept Ind Engn, Trento, Italy; [Bertolini, Mayara C.; Ramoa, Silvia D. A. S.; Barra, Guilherme M. O.] Univ Fed Santa Catarina, Dept Mech Engn, Florianopolis, Brazil; [Pereira, Elaine C. L.; Soares, Bluma G.] Univ Fed Rio de Janeiro, Dept Met &amp; Mat Engn, Rio De Janeiro, Brazil; [Pegoretti, Alessandro] Natl Interuniv Consortium Mat Sci &amp; Technol INSTM, Florence, Italy</t>
  </si>
  <si>
    <t>University of Trento; Universidade Federal de Santa Catarina (UFSC); Universidade Federal do Rio de Janeiro</t>
  </si>
  <si>
    <t>Bertolini, MC; Pegoretti, A (corresponding author), Univ Trento, Dept Ind Engn, Trento, Italy.</t>
  </si>
  <si>
    <t>mayaracbertolini@gmail.com; Alessandro.Pegoretti@unitn.it</t>
  </si>
  <si>
    <t>Bertolini, Mayara/HJZ-4450-2023</t>
  </si>
  <si>
    <t>This research has been funded by the Italian Ministry for Education, University of Trento, and the Italian Ministry for University and Research (MUR) through the Departments of Excellence program and Mayara Cristina Bertolini is supported by the Departm; CAPES -PRINT [88881.310728/2018-01]; CNPq (Conselho Nacional de Desenvolvimento Cientifico e Tecnologico) [309125/2020-0]; Italian Ministry for University and Research (MUR) [L.232/2016]</t>
  </si>
  <si>
    <t>This research has been funded by the Italian Ministry for Education, University of Trento, and the Italian Ministry for University and Research (MUR) through the Departments of Excellence program and Mayara Cristina Bertolini is supported by the Departm; CAPES -PRINT(Coordenacao de Aperfeicoamento de Pessoal de Nivel Superior (CAPES)); CNPq (Conselho Nacional de Desenvolvimento Cientifico e Tecnologico)(Conselho Nacional de Desenvolvimento Cientifico e Tecnologico (CNPQ)); Italian Ministry for University and Research (MUR)(Ministry of Education, Universities and Research (MIUR))</t>
  </si>
  <si>
    <t>CAPES -PRINT, Grant/Award Number: 88881.310728/2018-01; CNPq (Conselho Nacional de Desenvolvimento Cientifico e Tecnologico), Grant/Award Number: 309125/2020-0; Italian Ministry for University and Research (MUR), Grant/Award Number: L.232/2016</t>
  </si>
  <si>
    <t>1042-7147</t>
  </si>
  <si>
    <t>1099-1581</t>
  </si>
  <si>
    <t>POLYM ADVAN TECHNOL</t>
  </si>
  <si>
    <t>Polym. Adv. Technol.</t>
  </si>
  <si>
    <t>10.1002/pat.6184</t>
  </si>
  <si>
    <t>Q6BS6</t>
  </si>
  <si>
    <t>WOS:001058362000001</t>
  </si>
  <si>
    <t>Chen, SR; Xu, JL; Chen, JY; Yao, YY; Wang, F</t>
  </si>
  <si>
    <t>Chen, Siru; Xu, Junlong; Chen, Junyan; Yao, Yingying; Wang, Fang</t>
  </si>
  <si>
    <t>Current Progress of Mo-Based Metal Organic Frameworks Derived Electrocatalysts for Hydrogen Evolution Reaction</t>
  </si>
  <si>
    <t>electrocatalysis; hydrogen evolution reaction; metal organic frameworks; Mo2C; MoS2</t>
  </si>
  <si>
    <t>DOPED CARBON; EFFICIENT ELECTROCATALYST; CONFINED CARBURIZATION; OXYGEN; CATALYSIS; STRATEGY; HYBRID</t>
  </si>
  <si>
    <t>As an important half-reaction for electrochemical water splitting, electrocatalytic hydrogen evolution reaction suffers from sluggish kinetics, and it is still urgent to search high efficiency non-platinum-based electrocatalysts. Mo-based catalysts such as Mo2C, MoO2, MoP, MoS2, and MoNx have emerged as promising alternatives to Pt/C owing to their similar electronic structure with Pt and abundant reserve of Mo. On the other hand, due to the adjustable topology, porosity, and nanostructure of metal organic frameworks (MOFs), MOFs are extensively used as precursors to prepare nano-electrocatalysts. In this review, for the first time, the progress of Mo-MOFs-derived electrocatalysts for hydrogen evolution reaction is summarized. The preparation method, structures, and catalytic performance of the catalysts are illustrated based on the types of the derived electrocatalysts including Mo2C, MoO2 MoP, MoS2, and MoNx. Especially, the commonly used strategies to improve catalytic performance such as heteroatoms doping, constructing heterogeneous structure, and composited with noble metal are discussed. Moreover, the opportunities and challenges in this area are proposed to guide the designment and development of Mo-based MOF derived electrocatalysts.</t>
  </si>
  <si>
    <t>[Chen, Siru; Xu, Junlong; Chen, Junyan; Yao, Yingying; Wang, Fang] Zhongyuan Univ Technol, Ctr Adv Mat Res, Sch Mat &amp; Chem Engn, Zhengzhou 450007, Peoples R China</t>
  </si>
  <si>
    <t>Zhongyuan University of Technology</t>
  </si>
  <si>
    <t>Chen, SR; Wang, F (corresponding author), Zhongyuan Univ Technol, Ctr Adv Mat Res, Sch Mat &amp; Chem Engn, Zhengzhou 450007, Peoples R China.</t>
  </si>
  <si>
    <t>siruchen@zut.edu.cn; fwang@zut.edu.cn</t>
  </si>
  <si>
    <t>This work was financially supported by the National Natural Science Foundation of China (No. 21902189), Key Scientific Research Projects of Universities in Henan Province (21A150062), Young Backbone Teacher of Zhongyuan University of Technology (2020XQG09) [21A150062]; National Natural Science Foundation of China [2020XQG09]; Key Scientific Research Projects of Universities in Henan Province [K2020YY003]; Young Backbone Teacher of Zhongyuan University of Technology; Fundamental Research Funds of Zhongyuan University of Technology; [21902189]</t>
  </si>
  <si>
    <t>This work was financially supported by the National Natural Science Foundation of China (No. 21902189), Key Scientific Research Projects of Universities in Henan Province (21A150062), Young Backbone Teacher of Zhongyuan University of Technology (2020XQG09); National Natural Science Foundation of China(National Natural Science Foundation of China (NSFC)); Key Scientific Research Projects of Universities in Henan Province; Young Backbone Teacher of Zhongyuan University of Technology; Fundamental Research Funds of Zhongyuan University of Technology;</t>
  </si>
  <si>
    <t>This work was financially supported by the National Natural Science Foundation of China (No. 21902189), Key Scientific Research Projects of Universities in Henan Province (21A150062), Young Backbone Teacher of Zhongyuan University of Technology (2020XQG09), and the Fundamental Research Funds of Zhongyuan University of Technology (K2020YY003).</t>
  </si>
  <si>
    <t>10.1002/smll.202304681</t>
  </si>
  <si>
    <t>Q5ZS9</t>
  </si>
  <si>
    <t>WOS:001058309800001</t>
  </si>
  <si>
    <t>Dutta, C; Sandhya, P; Vidhya, K; Rajalakshmi, R; Ramya, D; Madhubabu, K</t>
  </si>
  <si>
    <t>Dutta, Chiranjit; Sandhya, Prasad; Vidhya, Kandasamy; Rajalakshmi, Ramanathan; Ramya, Devasahayam; Madhubabu, Kotakonda</t>
  </si>
  <si>
    <t>Effectiveness of deep learning in early-stage oral cancer detections and classification using histogram of oriented gradients</t>
  </si>
  <si>
    <t>EXPERT SYSTEMS</t>
  </si>
  <si>
    <t>artificial intelligence (AI); deep learning; histogram of oriented gradients (HoG); oral cancer (OC); radial basis function networks (RBFN); stochastic gradient descent algorithm (SGDA)</t>
  </si>
  <si>
    <t>BURDEN</t>
  </si>
  <si>
    <t>Early detection of oral cancer (OC) improves survival prospects. Artificial intelligence (AI) is gaining popularity in diagnostic medicine. Oral cancer is a primary global health concern, accounting for 177,384 deaths in 2018; most cases occur in low- and middle-income countries. Automated disease identification in the oral cavity may be facilitated by the ability to identify both possibly and definite malignant lesions. This study aimed to examine the evidence currently available on the effectiveness of AI in diagnosing OC. They highlighted the ability of AI to analyse and identify the early stages of OC. Furthermore, radial basis function networks (RBFN) were employed to develop automated systems to generate intricate patterns for this challenging operation. The stochastic gradient descent algorithm (SGDA) selected the model parameters that best matched the predicted and observed results. It can be used. The initial data was collected for this study to evaluate. Two deep learning-based computer vision algorithms have been developed to recognize and categorize oral lesions, which is necessary for the early detection of oral cancer. Several examples of HoG include the Canny edge detector, SIFT (scale invariant and feature transform), and SIFT (scale invariant and feature transform). In computer vision and image processing, it is used to find objects. We investigated the potential uses of deep learning-based computer vision techniques in oral cancer and the viability of an automated system for OC recognition based on photographic images. That made calculations to determine the accuracy, sensitivity, specificity, and receiver operating characteristic curve areas across all validation datasets, including internal, external, and clinical validation (AUC). The RBFN-SDC model outperformed all others. For 1000 data points, the accuracy of the RBFN-SDC model is 99.99%, while the accuracy of the R-CNN, CNN, DCNN, and SVM models is 91.54%, 90.14%, 93.89%, and 94.87%, respectively.</t>
  </si>
  <si>
    <t>[Dutta, Chiranjit] SRM Inst Sci &amp; Technol, Dept Comp Sci &amp; Engn, NCR Campus, Ghaziabad, India; [Sandhya, Prasad] Vellore Inst Technol, Sch Comp Sci &amp; Engn, Chennai, India; [Vidhya, Kandasamy] Karunya Inst Technol &amp; Sci, Dept Comp Sci &amp; Engn, Coimbatore, India; [Rajalakshmi, Ramanathan] Panimalar Engn Coll, Dept Elect &amp; Commun Engn, Chennai, India; [Ramya, Devasahayam] Sathyabama Inst Sci &amp; Technol, Dept Elect &amp; Elect Engn, Chennai, India; [Ramya, Devasahayam] Mahatma Gandhi Inst Technol, Dept Comp Sci &amp; Engn, Hyderabad, India; [Dutta, Chiranjit] SRM Inst Sci &amp; Technol, Dept Comp Sci &amp; Engn, NCR Campus, Ghaziabad 201204, India</t>
  </si>
  <si>
    <t>SRM Institute of Science &amp; Technology Delhi NCR (Ghaziabad); Vellore Institute of Technology (VIT); VIT Chennai; Karunya Institute of Technology &amp; Sciences; Sathyabama Institute of Science &amp; Technology; SRM Institute of Science &amp; Technology Delhi NCR (Ghaziabad)</t>
  </si>
  <si>
    <t>Dutta, C (corresponding author), SRM Inst Sci &amp; Technol, Dept Comp Sci &amp; Engn, NCR Campus, Ghaziabad 201204, India.</t>
  </si>
  <si>
    <t>chiranjd@srmist.edu.in</t>
  </si>
  <si>
    <t>MADHUBABU, KOTAKONDA/HTS-0510-2023; Dutta, Chiranjit/ABE-5928-2021</t>
  </si>
  <si>
    <t>MADHUBABU, KOTAKONDA/0000-0003-4857-3142; Dutta, Chiranjit/0000-0002-5836-8719</t>
  </si>
  <si>
    <t>0266-4720</t>
  </si>
  <si>
    <t>1468-0394</t>
  </si>
  <si>
    <t>EXPERT SYST</t>
  </si>
  <si>
    <t>Expert Syst.</t>
  </si>
  <si>
    <t>e13439</t>
  </si>
  <si>
    <t>10.1111/exsy.13439</t>
  </si>
  <si>
    <t>Q5VH5</t>
  </si>
  <si>
    <t>WOS:001058193900001</t>
  </si>
  <si>
    <t>Fang, F; van der Valk, W; Vos, B; Akkermans, HA</t>
  </si>
  <si>
    <t>Fang, F.; van Der Valk, W.; Vos, B.; Akkermans, H. A.</t>
  </si>
  <si>
    <t>Down the drain: The dynamic interplay of governance adjustments addressing setbacks in large public-private projects</t>
  </si>
  <si>
    <t>JOURNAL OF OPERATIONS MANAGEMENT</t>
  </si>
  <si>
    <t>interorganizational governance; interorganizational projects; longitudinal case research; public-private collaboration; system dynamics simulation; utilities</t>
  </si>
  <si>
    <t>RELATIONAL GOVERNANCE; PERFORMANCE IMPLICATIONS; CONTRACTUAL GOVERNANCE; SUPPLIER RELATIONSHIPS; TRUST TRUST; EXCHANGE; MECHANISMS; COMPLEX; BUYER; OPPORTUNISM</t>
  </si>
  <si>
    <t>Large government projects involving public-private collaborations inherently suffer from setbacks such as delays, cost overruns, or failure to meet contracted performance. Such setbacks may effectively be addressed through adjustments to contractual and relational governance; yet to date, the dynamics of governance adjustments and their interplay in addressing setbacks is not well understood. This research presents a dynamic theory of how parties can effectively address project setbacks through adjustments to contractual and relational governance. The dynamic theory was generated using longitudinal case data from two large public-private projects in the Netherlands that faced comparable project setbacks but deployed opposing governance adjustments, leading to drastically different project outcomes (i.e., collapse vs. recovery). This theory was then elaborated through two more cases and evidence from the literature. A system dynamics simulation model was then built that reproduces the different governance adjustments and outcomes observed in the four projects and serves to extend theory building. The refined theory not only shows under what conditions adjustments to contractual or relational governance are most effective, but also that governance adjustment interplay may trigger unintended side effects. As such, the theory explains why the careful balancing of governance adjustments is critical to project outcomes. Setbacks in public-private projects can effectively be addressed through adjustments to contractual governance (e.g., more flexible vs. more strict contract application) and relational governance (e.g., trusting more or less).Project setbacks can effectively be addressed through adjustments to relational governance, which subsequently allow adjustments to contractual governance, while adjustments to contractual governance preclude adjustments to relational governance and may lead projects to recover slowly or not at all.Contractual and relational governance adjustments warrant careful balancing, as their interplay may lead well-intentioned governance adjustments to have unintended side effects (e.g., adjustments to contractual governance triggering resource investment but also smothering communication).</t>
  </si>
  <si>
    <t>[Fang, F.; van Der Valk, W.; Akkermans, H. A.] Tilburg Univ, Tilburg Sch Econ &amp; Management, Dept Management, Tilburg, Netherlands; [Fang, F.] Rotterdam Univ Appl Sci, Rotterdam Business Sch, Dept Masters Int Business, Rotterdam, Netherlands; [Vos, B.] Maastricht Univ, Sch Business &amp; Econ, Dept Mkt &amp; Supply Chain Management, Maastricht, Netherlands; [van Der Valk, W.] Tilburg Univ, Tilburg Sch Econ &amp; Management, Dept Management, POB 90153, NL-5000LE Tilburg, Netherlands</t>
  </si>
  <si>
    <t>Tilburg University; Maastricht University; Tilburg University</t>
  </si>
  <si>
    <t>van der Valk, W (corresponding author), Tilburg Univ, Tilburg Sch Econ &amp; Management, Dept Management, POB 90153, NL-5000LE Tilburg, Netherlands.</t>
  </si>
  <si>
    <t>w.vdrvalk@tilburguniversity.edu</t>
  </si>
  <si>
    <t>van der Valk, Wendy/E-6890-2011</t>
  </si>
  <si>
    <t>van der Valk, Wendy/0000-0002-8581-1851; Akkermans, Henk/0000-0001-6365-1052; Fang, Feng/0000-0001-6704-3636</t>
  </si>
  <si>
    <t>This work was supported by four Dutch water authorities and the World Class Maintenance Foundation. Sponsorship involved financial support, the provision of data, and communication and coordination support. The sponsors were not involved in study design; d; World Class Maintenance Foundation</t>
  </si>
  <si>
    <t>This work was supported by four Dutch water authorities and the World Class Maintenance Foundation. Sponsorship involved financial support, the provision of data, and communication and coordination support. The sponsors were not involved in study design; data collection, analysis and interpretation; writing, or in the decision to submit the article for publication.</t>
  </si>
  <si>
    <t>0272-6963</t>
  </si>
  <si>
    <t>1873-1317</t>
  </si>
  <si>
    <t>J OPER MANAG</t>
  </si>
  <si>
    <t>J. Oper. Manag.</t>
  </si>
  <si>
    <t>10.1002/joom.1277</t>
  </si>
  <si>
    <t>Management; Operations Research &amp; Management Science</t>
  </si>
  <si>
    <t>Business &amp; Economics; Operations Research &amp; Management Science</t>
  </si>
  <si>
    <t>Q8UN9</t>
  </si>
  <si>
    <t>WOS:001060217800001</t>
  </si>
  <si>
    <t>Hu, RH; Mei, J; Ma, GF</t>
  </si>
  <si>
    <t>Hu, Renhong; Mei, Jie; Ma, Guangfu</t>
  </si>
  <si>
    <t>Estimating the delay margin for stability of linear delay systems by the weighted matrix measure</t>
  </si>
  <si>
    <t>delay margin; linear delay systems; matrix measure; optimization</t>
  </si>
  <si>
    <t>ROBUST STABILITY; NORM</t>
  </si>
  <si>
    <t>In this paper, the delay margin problem of a linear system with multiple delays is investigated. Estimations for allowable delay bounds of the system are provided in the form of matrix measure. By means of the weighted matrix measure and optimization technologies, the conservatism of estimated delay bounds is reduced. Numerical examples show that the weighted matrix measure has better performance in estimating the delay margin of the system than usual matrix measures.</t>
  </si>
  <si>
    <t>[Hu, Renhong; Mei, Jie; Ma, Guangfu] Harbin Inst Technol, Sch Mech Engn &amp; Automat, Shenzhen, Guangdong, Peoples R China</t>
  </si>
  <si>
    <t>Harbin Institute of Technology</t>
  </si>
  <si>
    <t>Mei, J (corresponding author), Harbin Inst Technol, Sch Mech Engn &amp; Automat, Shenzhen, Guangdong, Peoples R China.</t>
  </si>
  <si>
    <t>jmei@hit.edu.cn</t>
  </si>
  <si>
    <t>The authors would like to thank the anonymous reviewers for providing many substantial comments which greatly improved the quality of this paper.</t>
  </si>
  <si>
    <t>10.1002/rnc.6936</t>
  </si>
  <si>
    <t>Q8UY9</t>
  </si>
  <si>
    <t>WOS:001060228800001</t>
  </si>
  <si>
    <t>Hwang, J; Barman, S; Gao, RX; Yang, XM; O'Malley, A; Nagarkatti, P; Nagarkatti, M; Chruszcz, M; Tang, CB</t>
  </si>
  <si>
    <t>Hwang, Jihyeon; Barman, Swagatam; Gao, Ruixuan; Yang, Xiaoming; O'Malley, Andrea; Nagarkatti, Prakash; Nagarkatti, Mitzi; Chruszcz, Maksymilian; Tang, Chuanbing</t>
  </si>
  <si>
    <t>Membrane-Active Metallopolymers: Repurposing and Rehabilitating Antibiotics to Gram-Negative Superbugs</t>
  </si>
  <si>
    <t>adjuvants; biofilms; antimicrobial resistance; metallopolymers; stationary phase</t>
  </si>
  <si>
    <t>PROTON MOTIVE FORCE; OUTER-MEMBRANE; RESISTANCE; COMPLEXES; BACTERIA; ANTIBACTERIAL; BIOFILMS; MACROMOLECULES; MECHANISMS; ADJUVANTS</t>
  </si>
  <si>
    <t>Among multiple approaches to combating antimicrobial resistance, a combination therapy of existing antibiotics with bacterial membrane-perturbing agents is promising. A viable platform of metallopolymers as adjuvants in combination with traditional antibiotics is reported in this work to combat both planktonic and stationary cells of Gram-negative superbugs and their biofilms. Antibacterial efficacy, toxicity, antibiofilm activity, bacterial resistance propensity, and mechanisms of action of metallopolymer-antibiotic combinations are investigated. These metallopolymers exhibit 4-16-fold potentiation of antibiotics against Gram-negative bacteria with negligible toxicity toward mammalian cells. More importantly, the lead combinations (polymer-ceftazidime and polymer-rifampicin) eradicate preformed biofilms of MDR E. coli and P. aeruginosa, respectively. Further, beta-lactamase inhibition, outer membrane permeabilization, and membrane depolarization demonstrate synergy of these adjuvants with different antibiotics. Moreover, the membrane-active metallopolymers enable the antibiotics to circumvent bacterial resistance development. Altogether, the results indicate that such non-antibiotic adjuvants bear the promise to revitalize the efficacy of existing antibiotics to tackle Gram-negative bacterial infections.</t>
  </si>
  <si>
    <t>[Hwang, Jihyeon; Barman, Swagatam; O'Malley, Andrea; Chruszcz, Maksymilian; Tang, Chuanbing] Univ South Carolina, Dept Chem &amp; Biochem, Columbia, SC 29208 USA; [Gao, Ruixuan] Univ S Florida, Dept Chem, Tampa, FL 33620 USA; [Yang, Xiaoming; Nagarkatti, Prakash; Nagarkatti, Mitzi] Univ South Carolina, Sch Med, Dept Pathol Microbiol &amp; Immunol, Columbia, SC 29209 USA; [O'Malley, Andrea; Chruszcz, Maksymilian] Michigan State Univ, Dept Biochem &amp; Mol Biol, E Lansing, MI 48824 USA</t>
  </si>
  <si>
    <t>University of South Carolina System; University of South Carolina Columbia; State University System of Florida; University of South Florida; University of South Carolina System; University of South Carolina Columbia; Michigan State University</t>
  </si>
  <si>
    <t>Tang, CB (corresponding author), Univ South Carolina, Dept Chem &amp; Biochem, Columbia, SC 29208 USA.</t>
  </si>
  <si>
    <t>tang4@mailbox.sc.edu</t>
  </si>
  <si>
    <t>Hwang, Jihyeon/0000-0001-5782-7496; Barman, Swagatam/0009-0007-7277-8945; O'Malley, Andrea/0000-0003-0584-677X</t>
  </si>
  <si>
    <t>The partial funding support from the National Institutes of Health (R01AI149810) and the University of South Carolina was acknowledged.; National Institutes of Health; University of South Carolina; [R01AI149810]</t>
  </si>
  <si>
    <t>The partial funding support from the National Institutes of Health (R01AI149810) and the University of South Carolina was acknowledged.(United States Department of Health &amp; Human ServicesNational Institutes of Health (NIH) - USA); National Institutes of Health(United States Department of Health &amp; Human ServicesNational Institutes of Health (NIH) - USA); University of South Carolina;</t>
  </si>
  <si>
    <t>The partial funding support from the National Institutes of Health (R01AI149810) and the University of South Carolina was acknowledged.</t>
  </si>
  <si>
    <t>10.1002/adhm.202301764</t>
  </si>
  <si>
    <t>Q5XR7</t>
  </si>
  <si>
    <t>WOS:001058256300001</t>
  </si>
  <si>
    <t>Jin, ZQ; Jin, SJ; Tang, XF; Tan, WX; Wang, D; Song, S; Zhang, HY; Zeng, T</t>
  </si>
  <si>
    <t>Jin, Zhiquan; Jin, Sijia; Tang, Xiaofeng; Tan, Wenxian; Wang, Da; Song, Shuang; Zhang, Haiyan; Zeng, Tao</t>
  </si>
  <si>
    <t>?Rational Design of Conjugated Acetylenic Polymers Enables a Two-Electron Water Oxidation Pathway for Enhanced Photosynthetic Hydrogen Peroxide Generation</t>
  </si>
  <si>
    <t>conjugated acetylenic polymers; hydrogen peroxide production; linear and cross-linked configuration; separated redox centers; spatial arrangements and intramolecular spacers</t>
  </si>
  <si>
    <t>Herein, the design of conjugated acetylenic polymers (CAPs) featuring diverse spatial arrangements and intramolecular spacers of diacetylene moieties (-C=C-C=C-) for photocatalytic hydrogen peroxide (H2O2) production from water and O-2, without the need for sacrificial agents, is presented. It is shown that the linear configuration of diacetylene moieties within conjugated acetylenic polymers (CAPs) induces a pronounced polarization of electron distribution, which imparts enhanced charge-carrier mobility when compared to CAPs' networks featuring cross-linked arrangements. Moreover, optimizing the intramolecular spacer between diacetylene moieties within the linear structure leads to the exceptional modulation of the band structures, specifically resulting in a downshifted valence band (VB) and rendering the two-electron water oxidation pathway thermodynamically feasible for H2O2 production. Consequently, the optimized CAPs with a linear configuration (LCAP-2), featuring spatially separated reduction centers (benzene rings) and oxidation centers (diacetylene moieties), exhibit a remarkable H2O2 yield rate of 920.1 mu mol g(-1) h(-1), superior than that of the linear LCAP-1 (593.2 mu mol g(-1) h(-1)) and the cross-linked CCAP (433.4 mu mol g(-1) h(-1)). The apparent quantum efficiency (AQE) and solar-to-chemical energy conversion (SCC) efficiency of LCAP-2 are calculated to be 9.1% ( lambda = 420 nm) and 0.59%, respectively, surpassing the performance of most previously reported conjugated polymers.</t>
  </si>
  <si>
    <t>[Jin, Zhiquan; Jin, Sijia; Tang, Xiaofeng; Tan, Wenxian; Wang, Da; Song, Shuang; Zhang, Haiyan; Zeng, Tao] Zhejiang Univ Technol, Coll Environm, Key Lab Microbial Technol Ind Pollut Control Zheji, Hangzhou 310032, Zhejiang, Peoples R China; [Zhang, Haiyan] Univ Chinese Acad Sci, Hangzhou Inst Adv Study, Hangzhou 310024, Zhejiang, Peoples R China; [Zeng, Tao] Zhejiang Univ Technol, Shaoxing Res Inst, Shaoxing 312000, Zhejiang, Peoples R China</t>
  </si>
  <si>
    <t>Zhejiang University of Technology; Chinese Academy of Sciences; University of Chinese Academy of Sciences, CAS; Zhejiang University of Technology</t>
  </si>
  <si>
    <t>Zeng, T (corresponding author), Zhejiang Univ Technol, Coll Environm, Key Lab Microbial Technol Ind Pollut Control Zheji, Hangzhou 310032, Zhejiang, Peoples R China.</t>
  </si>
  <si>
    <t>zengtao@zjut.edu.cn</t>
  </si>
  <si>
    <t>This work was supported by the Zhejiang Provincial Natural Science Foundation of China (Grant No. LR21E080001), the National Natural Science Foundation of China (Grant Nos. 22076168, and 52000158), andthe Fundamental Research Funds for the Provincial Unive [22076168]; Zhejiang Provincial Natural Science Foundation of China [52000158, RF-B2022005]; National Natural Science Foundation of China; Fundamental Research Funds for the Provincial Universities of Zhejiang; [LR21E080001]</t>
  </si>
  <si>
    <t>This work was supported by the Zhejiang Provincial Natural Science Foundation of China (Grant No. LR21E080001), the National Natural Science Foundation of China (Grant Nos. 22076168, and 52000158), andthe Fundamental Research Funds for the Provincial Unive; Zhejiang Provincial Natural Science Foundation of China(Natural Science Foundation of Zhejiang Province); National Natural Science Foundation of China(National Natural Science Foundation of China (NSFC)); Fundamental Research Funds for the Provincial Universities of Zhejiang;</t>
  </si>
  <si>
    <t>This work was supported by the Zhejiang Provincial Natural Science Foundation of China (Grant No. LR21E080001), the National Natural Science Foundation of China (Grant Nos. 22076168, and 52000158), andthe Fundamental Research Funds for the Provincial Universities of Zhejiang (Grant No. RF-B2022005).</t>
  </si>
  <si>
    <t>10.1002/smll.202305004</t>
  </si>
  <si>
    <t>Q5ZU1</t>
  </si>
  <si>
    <t>WOS:001058311000001</t>
  </si>
  <si>
    <t>Linkosalmi, M; Lohila, A; Biasi, C</t>
  </si>
  <si>
    <t>Linkosalmi, Maiju; Lohila, Annalea; Biasi, Christina</t>
  </si>
  <si>
    <t>Stronger negative priming effect and lower basal respiration rates in nutrient-poor as compared to nutrient-rich forestry-drained peatland</t>
  </si>
  <si>
    <t>SOIL MICROBIAL BIOMASS; ORGANIC-MATTER; CARBON SINK; PINE MIRES; DECOMPOSITION; CO2; MECHANISMS; VEGETATION; MINERALIZATION; MICROORGANISMS</t>
  </si>
  <si>
    <t>RationaleLand-use changes, e.g., forestry drainage, modify the characteristics of peatland soil and affect the peatland carbon (C) balance. Peat soil nutrient status, related mainly to the original peatland type, also has an impact on the C balance after drainage, as observed earlier at the ecosystem scale for two forestry-drained sites in Southern Finland. Here the aim was to compare the soil CO2 fluxes from the two sites, nutrient-poor and nutirent-rich forestry-drained peatlands, and study the effect of plant photosynthates on the decomposition of peat C. Therefore, the respiration rates and priming effect (PE) of peat soils with variable nutrient status were examined in the laboratory. MethodsHalf of the samples were labelled with C-13-glucose to study the effect of fresh C addition on the soil decomposition. The (CO2)-C-13-samples were analysed with isotope ratio mass spectrometry. A two-pool mixing model was applied to separate the soil- and sugar-derived respirations and to determine the PE. ResultsThe nutrient-rich peat soil respired generally more than the nutrient-poor peat. A negative PE was observed in both peat soils, suggesting that the addition of fresh C did not increase the soil decomposition, but on the contrary decreased it. The negative PE was significantly more pronounced in nutrient-poor peat soil than in the nutrient-rich peat treatments, suggesting that the higher nutrient availability suppresses the negative PE. ConclusionsThese results imply that microbes prefer utilizing fresh C instead of old C in the short term and that the peat decomposition is suppressed in the presence of fresh C inputs from vegetation at forestry-drained peatlands. These effects are even stronger in peat soils with less nutrients available. Ecosystem scale and soil process models could be improved with the help of these results.</t>
  </si>
  <si>
    <t>[Linkosalmi, Maiju; Lohila, Annalea] Finnish Meteorol Inst, Climate Syst Res, POB 503, FI-00101 Helsinki, Finland; [Lohila, Annalea] Univ Helsinki, INAR Inst Atmospher &amp; Earth Syst Res Phys, Fac Sci, Helsinki, Finland; [Biasi, Christina] Univ Eastern Finland, Dept Environm &amp; Biol Sci, Kuopio, Finland; [Biasi, Christina] Univ Innsbruck, Dept Ecol, Innsbruck, Austria</t>
  </si>
  <si>
    <t>Finnish Meteorological Institute; University of Helsinki; University of Eastern Finland; University of Innsbruck</t>
  </si>
  <si>
    <t>Linkosalmi, M (corresponding author), Finnish Meteorol Inst, Climate Syst Res, POB 503, FI-00101 Helsinki, Finland.</t>
  </si>
  <si>
    <t>maiju.linkosalmi@fmi.fi</t>
  </si>
  <si>
    <t>Biasi, Christina/E-1130-2013</t>
  </si>
  <si>
    <t>Biasi, Christina/0000-0002-7413-3354</t>
  </si>
  <si>
    <t>Academy of Finland [337552, 341348]; Maj and Tor Nessling Foundation; Academy of Finland (AKA) [337552] Funding Source: Academy of Finland (AKA)</t>
  </si>
  <si>
    <t>Academy of Finland(Research Council of Finland); Maj and Tor Nessling Foundation; Academy of Finland (AKA)(Research Council of Finland)</t>
  </si>
  <si>
    <t>ACCC Flagship funded by the Academy of Finland, Grant/Award Number: 337552; N-PERM project funded by the Academy of Finland, Grant/Award Number: 341348; Maj and Tor Nessling Foundation</t>
  </si>
  <si>
    <t>e9540</t>
  </si>
  <si>
    <t>10.1002/rcm.9540</t>
  </si>
  <si>
    <t>K7CV4</t>
  </si>
  <si>
    <t>WOS:001017992200001</t>
  </si>
  <si>
    <t>Liu, YZ; Wu, ZD; Wang, YY; Dong, ZW; Sun, ZY; Gan, YQ</t>
  </si>
  <si>
    <t>Liu, Yuanze; Wu, Zhongda; Wang, Yuying; Dong, Zhiwen; Sun, Zhaoyang; Gan, Yiqun</t>
  </si>
  <si>
    <t>Neoliberalism and governmental and individual responses to the COVID-19 pandemic: A cross-national analysis</t>
  </si>
  <si>
    <t>POLITICAL PSYCHOLOGY</t>
  </si>
  <si>
    <t>COVID-19; cultural differences; government responses; neoliberalism; policy</t>
  </si>
  <si>
    <t>SOCIAL NORMS; PSYCHOLOGY; IDEOLOGY; INEQUALITY; HOMICIDE; POLICIES; HEALTH; TRUST</t>
  </si>
  <si>
    <t>Given the deficiencies of traditional government capacity indicators and cultural factors (e.g., individualism) in explaining the discrepancies of different agents' responses to the coronavirus disease 2019 (COVID-19) pandemic, the present study proposed and examined the role of neoliberalism, a novel cultural tradition of knowledge emphasizing the principles of free markets and self-governance, as an additional explanation of the discrepancies in the governmental and individual responses to the pandemic. Analyzing policy responses of 106 nations and personal responses from 105,203 individuals in 104 nations during the first wave of the pandemic, we found that nation-level neoliberalism (delineated by the economic freedom index) negatively predicted the nonlinear trajectories of government policy responses to contain the pandemic. Specifically, in more neoliberal countries, stringent containment policy responses showed a sharper decline in the later stage of the first wave of the pandemic. Moreover, nation-level neoliberalism negatively predicted individuals' pandemic-protective attitudes and behaviors. All these effects are independent of and incremental to those of nation-level individualism. In conclusion, this study sheds light on how neoliberalism could lead to negative consequences during large-scale, long-lasting public threats, offering practical guidance for adjusting public crisis management in the future.</t>
  </si>
  <si>
    <t>[Liu, Yuanze; Wu, Zhongda; Wang, Yuying; Dong, Zhiwen; Sun, Zhaoyang; Gan, Yiqun] Peking Univ, Sch Psychol &amp; Cognit Sci, Beijing Key Lab Behav &amp; Mental Hlth, Beijing, Peoples R China; [Gan, Yiqun] Peking Univ, Sch Psychol &amp; Cognit Sci, Beijing Key Lab Behav &amp; Mental Hlth, Beijing 100871, Peoples R China</t>
  </si>
  <si>
    <t>Peking University; Peking University</t>
  </si>
  <si>
    <t>Gan, YQ (corresponding author), Peking Univ, Sch Psychol &amp; Cognit Sci, Beijing Key Lab Behav &amp; Mental Hlth, Beijing 100871, Peoples R China.</t>
  </si>
  <si>
    <t>ygan@pku.edu.cn</t>
  </si>
  <si>
    <t>Wu, Zhongda/AAI-9581-2020</t>
  </si>
  <si>
    <t>Wu, Zhongda/0000-0002-9417-6562; Liu, Yuanze/0000-0003-1437-1892</t>
  </si>
  <si>
    <t>We thank Chunmiao Lou and Yingshengnan Wu for their help in conducting the research and preparing the manuscript.</t>
  </si>
  <si>
    <t>0162-895X</t>
  </si>
  <si>
    <t>1467-9221</t>
  </si>
  <si>
    <t>POLIT PSYCHOL</t>
  </si>
  <si>
    <t>Polit. Psychol.</t>
  </si>
  <si>
    <t>10.1111/pops.12927</t>
  </si>
  <si>
    <t>Political Science; Psychology, Social</t>
  </si>
  <si>
    <t>Government &amp; Law; Psychology</t>
  </si>
  <si>
    <t>R4FV9</t>
  </si>
  <si>
    <t>WOS:001063930600001</t>
  </si>
  <si>
    <t>Lourie, B; Shanthikumar, D; Yoo, I</t>
  </si>
  <si>
    <t>Lourie, Ben; Shanthikumar, Devin; Yoo, Il Sun</t>
  </si>
  <si>
    <t>MiFID II and the unbundling of analyst research from trading execution</t>
  </si>
  <si>
    <t>CONTEMPORARY ACCOUNTING RESEARCH</t>
  </si>
  <si>
    <t>brokerage houses; conflicts of interest; earnings forecasts; incentives; sell-side analysts; trading volume; analystes sell-side; conflits d'interets; incitations; maisons de courtage; previsions de resultats; volume des transactions</t>
  </si>
  <si>
    <t>MARKET; BIAS; INFORMATION; INVESTORS</t>
  </si>
  <si>
    <t>The revised Markets in Financial Instruments Directive (MiFID II) requires the unbundling of research payments from trading execution, fundamentally changing the way in which investors typically pay for analyst research in Europe. We examine the effectiveness of the regulation in changing the link between analyst research and trading, the research-trading link, and the analyst response to this potential change in incentives. Using a difference-in-differences research design, we find that forecast frequency, optimism, and accuracy are less associated with the brokerage trading share after MiFID II, suggesting that MiFID II weakened the link between the brokerage share of trading and analyst research. Following MiFID II, analysts in Europe are less likely than analysts in the United States to continue high forecast frequency, optimism, and accuracy for stocks with high share importance for the analyst's brokerage house. We find similar results throughout for buy/sell recommendations. Overall, our evidence suggests that MiFID II is at least partially successful in unbundling research from execution, and impacts both the trading effects and the production of analyst research.</t>
  </si>
  <si>
    <t>[Lourie, Ben; Shanthikumar, Devin; Yoo, Il Sun] Univ Calif Irvine, Paul Merage Sch Business, Irvine, CA 92697 USA; [Yoo, Il Sun] Univ Hawaii Manoa, Honolulu, HI USA</t>
  </si>
  <si>
    <t>University of California System; University of California Irvine; University of Hawaii System; University of Hawaii Manoa</t>
  </si>
  <si>
    <t>Shanthikumar, D (corresponding author), Univ Calif Irvine, Paul Merage Sch Business, Irvine, CA 92697 USA.</t>
  </si>
  <si>
    <t>dshanthi@uci.edu</t>
  </si>
  <si>
    <t>The authors thank Richard Cazier, Elizabeth Chuk, Dan Givoly, Yifan Li, Chuchu Liang, Hai Lu (editor), Partha Mohanram (editor-in-chief), Alex Nekrasov, Rafael Rogo, Terry Shevlin, Siew Hong Teoh, Brett Trueman, Chenqi Zhu, two anonymous reviewers, and sem; University of California Irvine; (Chartered Professional Accountants of Canada)</t>
  </si>
  <si>
    <t>The authors thank Richard Cazier, Elizabeth Chuk, Dan Givoly, Yifan Li, Chuchu Liang, Hai Lu (editor), Partha Mohanram (editor-in-chief), Alex Nekrasov, Rafael Rogo, Terry Shevlin, Siew Hong Teoh, Brett Trueman, Chenqi Zhu, two anonymous reviewers, and sem; University of California Irvine(University of California System); (Chartered Professional Accountants of Canada)</t>
  </si>
  <si>
    <t>The authors thank Richard Cazier, Elizabeth Chuk, Dan Givoly, Yifan Li, Chuchu Liang, Hai Lu (editor), Partha Mohanram (editor-in-chief), Alex Nekrasov, Rafael Rogo, Terry Shevlin, Siew Hong Teoh, Brett Trueman, Chenqi Zhu, two anonymous reviewers, and seminar participants at London School of Economics, the University of California Irvine, the 2021 Contemporary Accounting Research Annual Conference (generously supported by the Chartered Professional Accountants of Canada), and the 2021 American Accounting Association Annual Meeting for their helpful comments.</t>
  </si>
  <si>
    <t>0823-9150</t>
  </si>
  <si>
    <t>1911-3846</t>
  </si>
  <si>
    <t>CONTEMP ACCOUNT RES</t>
  </si>
  <si>
    <t>Contemp. Account. Res.</t>
  </si>
  <si>
    <t>10.1111/1911-3846.12865</t>
  </si>
  <si>
    <t>S2QD8</t>
  </si>
  <si>
    <t>WOS:001069659000001</t>
  </si>
  <si>
    <t>Shakib, MA; Gao, ZL; Candamano, S; Lamuta, C</t>
  </si>
  <si>
    <t>Shakib, Mahmudul Alam; Gao, Zhaolin; Candamano, Sebastiano; Lamuta, Caterina</t>
  </si>
  <si>
    <t>Ion Channels and Electroosmosis in Porous Geopolymers: A Novel Category of Low-Cost Memristors</t>
  </si>
  <si>
    <t>artificial synapse; electro-osmosis; geopolymers; memristors</t>
  </si>
  <si>
    <t>SYNAPTIC PLASTICITY</t>
  </si>
  <si>
    <t>Memristors are electric components that emulate the memory and computational properties of biological synapses by remembering the current that flows through them. Here, for the first time, the memristive properties of geopolymers, inexpensive ceramic materials manufactured at room temperature from alkaline activation of amorphous aluminosilicate precursors, are presented. It is demonstrated that geopolymers present all the fingerprints of memristors, and a physics-based model is proposed, which demonstrates that electroosmosis in the bulk geopolymer pores induces ion channels that foster change in the overall conductance of the bulk material, contributing to the observed memristive behavior. This model opens the door to a new category of porous electroosmosis-based bulk memristors. Synaptic functions such as short-term plasticity and long-term plasticity, as well as endurance and retention capabilities are also demonstrated. The reported findings pave the way to the use of geopolymers for low-cost applications in neuromorphic computing.</t>
  </si>
  <si>
    <t>[Shakib, Mahmudul Alam; Gao, Zhaolin; Lamuta, Caterina] Univ Iowa, Coll Engn, Dept Mech Engn, Iowa, IA 52242 USA; [Candamano, Sebastiano] Univ Calabria, Dept Mech Energy &amp; Management Engn, I-87030 Cosenza, Italy</t>
  </si>
  <si>
    <t>University of Iowa; University of Calabria</t>
  </si>
  <si>
    <t>Lamuta, C (corresponding author), Univ Iowa, Coll Engn, Dept Mech Engn, Iowa, IA 52242 USA.</t>
  </si>
  <si>
    <t>caterina-lamuta@uiowa.edu</t>
  </si>
  <si>
    <t>Shakib, Mahmudul Alam/HKF-6722-2023</t>
  </si>
  <si>
    <t>Shakib, Mahmudul Alam/0000-0002-4043-9814</t>
  </si>
  <si>
    <t>This work was financially supported by the Air Force Office of Scientific Research (grant no FA9550-21-1-0416), Office of Naval Research Young Investigator Program grant N00014-23-1-2116 and Defense Advanced Research Projects Agency Young Faculty Award gra [N00014-23-1-2116]; Air Force Office of Scientific Research [W911NF2110344-0011679424]; Office of Naval Research Young Investigator Program; Defense Advanced Research Projects Agency Young Faculty Award; [FA9550-21-1-0416]</t>
  </si>
  <si>
    <t>This work was financially supported by the Air Force Office of Scientific Research (grant no FA9550-21-1-0416), Office of Naval Research Young Investigator Program grant N00014-23-1-2116 and Defense Advanced Research Projects Agency Young Faculty Award gra; Air Force Office of Scientific Research(United States Department of DefenseAir Force Office of Scientific Research (AFOSR)); Office of Naval Research Young Investigator Program(Office of Naval Research); Defense Advanced Research Projects Agency Young Faculty Award(United States Department of Defense);</t>
  </si>
  <si>
    <t>This work was financially supported by the Air Force Office of Scientific Research (grant no FA9550-21-1-0416), Office of Naval Research Young Investigator Program grant N00014-23-1-2116 and Defense Advanced Research Projects Agency Young Faculty Award grant W911NF2110344-0011679424. The authors thank Prof. M. Marroccoli~and Prof. A. Telesca for assistance with MIP analysis; Dr. A. Policicchio and Dr. G. Conte for assistance with N2 adsorption isotherm analysis; Dr. Anton Kruger for helping to develop electrical measurement methods; Dr. Emad Wafa and Prof. Aliasger Salem for assistance with Zeta potential and particle size measurements; and Prof. Andy Sarles and Prof. Syed Mubeen for the precious conversations and scientific support.</t>
  </si>
  <si>
    <t>10.1002/adfm.202306535</t>
  </si>
  <si>
    <t>Q5XZ2</t>
  </si>
  <si>
    <t>WOS:001058263800001</t>
  </si>
  <si>
    <t>Stanyon, M</t>
  </si>
  <si>
    <t>Stanyon, Maham</t>
  </si>
  <si>
    <t>The wisdom of entrustability: A critically conscious approach to practical wisdom</t>
  </si>
  <si>
    <t>[Stanyon, Maham] Fukushima Med Univ, Ctr Med Educ &amp; Career Dev, Fukushima, Japan; [Stanyon, Maham] Imperial Coll London, Dept Primary Care &amp; Publ Hlth, Fac Med, London, England</t>
  </si>
  <si>
    <t>Fukushima Medical University; Imperial College London</t>
  </si>
  <si>
    <t>Stanyon, M (corresponding author), Fukushima Med Univ, Ctr Med Educ &amp; Career Dev, Fukushima, Japan.</t>
  </si>
  <si>
    <t>mstanyon@fmu.ac.jp</t>
  </si>
  <si>
    <t>10.1111/medu.15197</t>
  </si>
  <si>
    <t>R5NF2</t>
  </si>
  <si>
    <t>WOS:001064810800001</t>
  </si>
  <si>
    <t>Torunska, E; Owczarek-Konopka, M; Konopka, M; Gielecki, JS; Klepacki, L</t>
  </si>
  <si>
    <t>Torunska, Ewa; Owczarek-Konopka, Marcjanna; Konopka, Mikolaj; Gielecki, Jerzy Stanislaw; Klepacki, Lukasz</t>
  </si>
  <si>
    <t>Brachial plexopathy as a result of anatomical prone position in COVID-19 patients-Systematic review</t>
  </si>
  <si>
    <t>CLINICAL ANATOMY</t>
  </si>
  <si>
    <t>anatomy; brachial plexopathy; COVID-19; injuries; innervation; prone position; SARS-CoV-2</t>
  </si>
  <si>
    <t>BACKPACK PALSY; WEIGHT-LOSS; PLEXUS; RISK</t>
  </si>
  <si>
    <t>In patients with COVID-19 different methods improving therapy have been used, including one of the anatomical position-prone position, to support ventilation. The aim of this review was to summarize the cases of brachial plexopathy as a consequence of the prone position in COVID-19 patients, and thus bring closer the issue of the brachial plexus in the face of clinical aspects of its function, palsy, and consequences. The Preferred Reporting Items for Systematic Reviews and Meta-analyses statement was followed, inclusion criteria were created according to Patients, Interventions, Comparisons, Outcomes (PICO). PubMed and Scopus were searched until April 1, 2023 by entering the key term with Boolean terms. The risk of bias was assessed using JBI's critical appraisal tools. Fifteen papers with 30 patients were included in the review. This study showed that brachial plexopathy after the prone position occurs more often among males, who are at least 50 years old with comorbidities like hypertension, overweight, and diabetes mellitus. The most common symptoms were weakness, pain, and motion deficits. Duration of the prone position session and the number of episodes were different as well as the modification of positioning. Brachial plexopathy is a significant problem during prone position, especially when hospitalization is prolonged, patients are males, have comorbidities, and changes in body weight. Attention should be drawn to understand the anatomy of the brachial plexus, correct positioning, avoiding factors worsening the prognosis, and proper nutrition of the patients.</t>
  </si>
  <si>
    <t>[Torunska, Ewa; Owczarek-Konopka, Marcjanna; Konopka, Mikolaj; Gielecki, Jerzy Stanislaw; Klepacki, Lukasz] Univ Warmia &amp; Mazury, Dept Anat, Coll Med, Olsztyn, Poland; [Torunska, Ewa] Univ Warmia &amp; Mazury, Dept Anat, Coll Med, Warszawska 30, PL-10082 Olsztyn, Poland</t>
  </si>
  <si>
    <t>University of Warmia &amp; Mazury; University of Warmia &amp; Mazury</t>
  </si>
  <si>
    <t>Torunska, E (corresponding author), Univ Warmia &amp; Mazury, Dept Anat, Coll Med, Warszawska 30, PL-10082 Olsztyn, Poland.</t>
  </si>
  <si>
    <t>ewatorunska12@gmail.com</t>
  </si>
  <si>
    <t>Torunska, Ewa/0009-0004-0518-0482</t>
  </si>
  <si>
    <t>0897-3806</t>
  </si>
  <si>
    <t>1098-2353</t>
  </si>
  <si>
    <t>CLIN ANAT</t>
  </si>
  <si>
    <t>Clin. Anat.</t>
  </si>
  <si>
    <t>10.1002/ca.24112</t>
  </si>
  <si>
    <t>R4FN3</t>
  </si>
  <si>
    <t>WOS:001063922000001</t>
  </si>
  <si>
    <t>Voronin, AS; Ho, DT; Schwingenschlogl, U</t>
  </si>
  <si>
    <t>Voronin, Aleksandr S.; Ho, Duc Tam; Schwingenschlogl, Udo</t>
  </si>
  <si>
    <t>Functionalized Carbon Honeycomb Membranes for Reverse Osmosis Water Desalination</t>
  </si>
  <si>
    <t>graphene foam; membrane; reverse osmosis; water desalination</t>
  </si>
  <si>
    <t>MOLECULAR-DYNAMICS; RECENT PROGRESS; NANOTUBE; SIMULATION</t>
  </si>
  <si>
    <t>Reverse osmosis desalination is a common technique to obtain fresh water from saltwater. Conventional membranes suffer from a trade-off between salt rejection and water permeability, raising a need for developing new classes of membranes. C-based membranes with porous graphene and carbon nanotubes offer high salt rejection, water permeability, and fouling resistance. However, controlling the pore size of these membranes is challenging. Therefore, a carbon honeycomb membrane is studied using classical molecular dynamics simulations. It is reported that functionalization with -COO- groups provides 100% salt rejection with around 1000 times higher water permeability than conventional polyamide membranes. Atomic-level understanding of the effect of the functional groups' location on salt rejection and water permeability is developed.</t>
  </si>
  <si>
    <t>[Voronin, Aleksandr S.; Ho, Duc Tam; Schwingenschlogl, Udo] King Abdullah Univ Sci &amp; Technol, Phys Sci &amp; Engn Div, Thuwal 239556900, Saudi Arabia; [Ho, Duc Tam] Northumbria Univ, Dept Mech &amp; Construct Engn, Newcastle Upon Tyne NE1 8ST, England</t>
  </si>
  <si>
    <t>King Abdullah University of Science &amp; Technology; Northumbria University</t>
  </si>
  <si>
    <t>Schwingenschlogl, U (corresponding author), King Abdullah Univ Sci &amp; Technol, Phys Sci &amp; Engn Div, Thuwal 239556900, Saudi Arabia.</t>
  </si>
  <si>
    <t>udo.schwingenschlogl@kaust.edu.sa</t>
  </si>
  <si>
    <t>Ho, Duc-Tam/0000-0002-7101-4931</t>
  </si>
  <si>
    <t>The research reported in this publication was supported by King Abdullah University of Science and Technology (KAUST).; King Abdullah University of Science and Technology (KAUST)</t>
  </si>
  <si>
    <t>The research reported in this publication was supported by King Abdullah University of Science and Technology (KAUST).; King Abdullah University of Science and Technology (KAUST)(King Abdullah University of Science &amp; Technology)</t>
  </si>
  <si>
    <t>The research reported in this publication was supported by King Abdullah University of Science and Technology (KAUST).</t>
  </si>
  <si>
    <t>10.1002/admi.202300250</t>
  </si>
  <si>
    <t>Q5XX9</t>
  </si>
  <si>
    <t>WOS:001058262500001</t>
  </si>
  <si>
    <t>Bourland, FM; Jones, DC</t>
  </si>
  <si>
    <t>Bourland, Fred M.; Jones, Don C.</t>
  </si>
  <si>
    <t>Registration of Arkot 1112, Arkot 1114, and Arkot 1115 cotton germplasm lines</t>
  </si>
  <si>
    <t>JOURNAL OF PLANT REGISTRATIONS</t>
  </si>
  <si>
    <t>SEED; DENSITY; YIELD; SCORE</t>
  </si>
  <si>
    <t>Arkot 1112 (Reg. no. GP-1139, PI 702559), Arkot 1114 (Reg. no. GP-1140, PI 702560), and Arkot 1115 (Reg. no. GP-1141, PI 702561) are conventional cotton (Gossypium hirsutum L.) germplasm lines released by the Arkansas Agricultural Experiment Station in November, 2022. The three lines share Arkot 0306 (PI 671966) as a common parent. The second parents for Arkot 1112, Arkot 1114, and Arkot 1115 were 'UA222' (US patent no. 8,859,862), Arkot 0309 (PI 669969), and Arkot 0316 (PI 669970), respectively. The three lines were compared with 'UA48' and UA222 in replicated field tests at four Arkansas sites over 5 years. Over these tests, each of the three lines produced about 11 and 25% higher lint yields than UA48 and UA222, respectively. Lint yields of Arkot 1115 exceeded those of Arkot 1112 and Arkot 1114. Over 10 locations of the 2019 Regional Breeders Testing Network test, lint yields of Arkot 1112, Arkot 1114, and Arkot 1115 were equal to each other and ranked third, fourth, and fifth, respectively, out of 22 genotypes, indicating that the lines have wide adaptation. Leaf pubescence, stem pubescence, and bract trichome density of the lines were higher than UA48 and similar to UA222. All three lines displayed high resistance to bacterial blight. The lines were more resistant to tarnished plant bug than UA48 but were more susceptible to tarnished plant bug than UA222. Fiber quality of Arkot 1115 approached that of UA48 (excellent fiber quality), whereas Arkot 1112 and Arkot 1114 was similar to UA222 (good fiber quality). Arkot 1112, Arkot 1114, and Arkot 1115 are conventional cotton germplasm lines released by the University of Arkansas.The three lines were derived from crosses of Arkot 0306 with UA222, Arkot 0309, and Arkot 0316.All three lines produced higher yields than UA48 and UA222 in Arkansas tests.All three lines produced high yields across contrasting environment of 2019 Regional Breeders' Network Test.The lines combine superior host plant resistance, fiber quality, earliness, and yield traits.</t>
  </si>
  <si>
    <t>[Bourland, Fred M.] Univ Arkansas, Northeast Res &amp; Extens Ctr, Div Agr, POB 48, Keiser, AR 72351 USA; [Jones, Don C.] Cotton Inc, Cary, NC USA</t>
  </si>
  <si>
    <t>University of Arkansas System; University of Arkansas Fayetteville; Cotton Incorporated</t>
  </si>
  <si>
    <t>Bourland, FM (corresponding author), Univ Arkansas, Northeast Res &amp; Extens Ctr, Div Agr, POB 48, Keiser, AR 72351 USA.</t>
  </si>
  <si>
    <t>bourland@uark.edu</t>
  </si>
  <si>
    <t>Bourland, Fred/0000-0002-5998-8725</t>
  </si>
  <si>
    <t>Arkot 1112, Arkot 1114, and Arkot 1115 were developed with financial support from Arkansas Agricultural Experiment Station and Cotton Incorporated.; Arkansas Agricultural Experiment Station; Cotton Incorporated</t>
  </si>
  <si>
    <t>Arkot 1112, Arkot 1114, and Arkot 1115 were developed with financial support from Arkansas Agricultural Experiment Station and Cotton Incorporated.; Arkansas Agricultural Experiment Station; Cotton Incorporated(Cotton R&amp;D Corp)</t>
  </si>
  <si>
    <t>Arkot 1112, Arkot 1114, and Arkot 1115 were developed with financial support from Arkansas Agricultural Experiment Station and Cotton Incorporated.</t>
  </si>
  <si>
    <t>1936-5209</t>
  </si>
  <si>
    <t>1940-3496</t>
  </si>
  <si>
    <t>J PLANT REGIST</t>
  </si>
  <si>
    <t>J. Plant Regist.</t>
  </si>
  <si>
    <t>2023 AUG 29</t>
  </si>
  <si>
    <t>10.1002/plr2.20320</t>
  </si>
  <si>
    <t>Agronomy; Plant Sciences</t>
  </si>
  <si>
    <t>Agriculture; Plant Sciences</t>
  </si>
  <si>
    <t>Q8PK2</t>
  </si>
  <si>
    <t>WOS:001060084000001</t>
  </si>
  <si>
    <t>Carnes, RR; Christensen, DM; Madsen, PE</t>
  </si>
  <si>
    <t>Carnes, Robert R.; Christensen, Dane M.; Madsen, Paul E.</t>
  </si>
  <si>
    <t>Externalities of Financial Statement Fraud on the Incoming Accounting Labor Force</t>
  </si>
  <si>
    <t>JOURNAL OF ACCOUNTING RESEARCH</t>
  </si>
  <si>
    <t>financial statement fraud; accounting; labor force; higher education</t>
  </si>
  <si>
    <t>CURRENT EVENTS KNOWLEDGE; COLLEGE MAJOR; INDIVIDUAL INVESTORS; CORPORATE SCANDALS; AUDIT QUALITY; SELF; INFORMATION; VALUES; PERSONALITY; ABILITY</t>
  </si>
  <si>
    <t>Financial statement fraud generates many negative effects, including reducing people's willingness to participate in the stock market. If it also stigmatizes accounting, it may similarly adversely affect the quantity and quality of workers willing to become accountants, thereby potentially creating negative effects for years to come. We examine the impact of fraud on the labor force entering the accounting profession, which is a key input into the production of accounting information (i.e., the output). Using data describing millions of college students across the United States, we find incoming students are actually more likely to major in accounting when local frauds occur during their formative years. These students are also more likely to have attributes desired by the accounting profession (e.g., high academic aptitude) and are more likely to subsequently serve in public accounting and become Certified Public Accountants. In the context of other fields (i.e., all college majors), we find that fraud similarly spurs interest in other business disciplines, but not in majors outside of business schools. Those attracted to other business disciplines, however, generally possess different traits. Specifically, students entering accounting are distinctively more likely to exhibit values espoused by the accounting profession, including a predisposition to public service and less commercial orientation. Thus, nonpecuniary motives appear to uniquely drive accounting student enrollment following fraud. Collectively, our findings suggest that, while fraud is unmistakably bad, it appears to have the positive unintended consequence of attracting labor into business disciplines and, in accounting, increasing the prevalence of desirable traits among entrants.</t>
  </si>
  <si>
    <t>[Carnes, Robert R.; Madsen, Paul E.] Univ Florida, Gainesville, FL 32611 USA; [Christensen, Dane M.] Univ Oregon, Eugene, OR USA</t>
  </si>
  <si>
    <t>State University System of Florida; University of Florida; University of Oregon</t>
  </si>
  <si>
    <t>Madsen, PE (corresponding author), Univ Florida, Gainesville, FL 32611 USA.</t>
  </si>
  <si>
    <t>Paul.Madsen@warrington.ufl.edu</t>
  </si>
  <si>
    <t>Christensen, Dane M/AAF-2020-2020</t>
  </si>
  <si>
    <t>Christensen, Dane M/0000-0003-4841-7238; Carnes, Robert/0000-0001-8937-855X</t>
  </si>
  <si>
    <t>0021-8456</t>
  </si>
  <si>
    <t>1475-679X</t>
  </si>
  <si>
    <t>J ACCOUNT RES</t>
  </si>
  <si>
    <t>J. Account. Res.</t>
  </si>
  <si>
    <t>10.1111/1475-679X.12501</t>
  </si>
  <si>
    <t>Q9GV9</t>
  </si>
  <si>
    <t>WOS:001060538700001</t>
  </si>
  <si>
    <t>Ceylan, HG; Atasoy, AF</t>
  </si>
  <si>
    <t>Ceylan, Huriye Gozde; Atasoy, Ahmet Ferit</t>
  </si>
  <si>
    <t>Synbiotic edible films enriched with probiotics and prebiotics: A novel approach for improving the quality and shelf life of sliced cheese</t>
  </si>
  <si>
    <t>PACKAGING TECHNOLOGY AND SCIENCE</t>
  </si>
  <si>
    <t>functional food; Lactobacillus rhamnosus GG; prebiotics; probiotic films/coatings; sliced cheese; synbiotic</t>
  </si>
  <si>
    <t>LACTOBACILLUS-RHAMNOSUS GG; CASSAVA STARCH; VIABILITY; STABILITY; BACTERIA</t>
  </si>
  <si>
    <t>This study investigated the effects of fructooligosaccharide (FOS) and inulin (IN) on the properties of sodium caseinate-based films containing Lactobacillus rhamnosus GG. The optimal formulations were determined and tested for coating sliced cheese during storage. FOS and IN generally increased the thickness and moisture values of the films, while opacity increased with the increase in IN concentration. Tensile strength decreased with FOS and IN, and elongation at break decreased at high prebiotic concentrations. The viability of L. rhamnosus after the drying of the film solution was between 77.67% and 89.91%, and total prebiotic concentration above 2% generally decreased drying stability of L. rhamnosus. The optimal formulations were 0% FOS + 0% IN, 1% FOS + 0% IN and 0% FOS + 1% IN, respectively. These film matrices were found to be suitable carriers for L. rhamnosus. Coating treatments reduced moisture loss, acidity and hardness increase in cheese slices, but decreased luminosity. The probiotic counts in coated cheese were sufficient for therapeutic effect after approximately 20 days.</t>
  </si>
  <si>
    <t>[Ceylan, Huriye Gozde] Adiyaman Univ, Fac Engn, Dept Food Engn, Adiyaman, Turkey; [Atasoy, Ahmet Ferit] Harran Univ, Fac Engn, Dept Food Engn, Sanliurfa, Turkiye; [Ceylan, Huriye Gozde] Adiyaman Univ, Fac Engn, Dept Food Engn, TR-02040 Adiyaman, Turkiye</t>
  </si>
  <si>
    <t>Adiyaman University; Harran University; Adiyaman University</t>
  </si>
  <si>
    <t>Ceylan, HG (corresponding author), Adiyaman Univ, Fac Engn, Dept Food Engn, TR-02040 Adiyaman, Turkiye.</t>
  </si>
  <si>
    <t>hgyildiz@adiyaman.edu.tr</t>
  </si>
  <si>
    <t>CEYLAN, HURIYE GOZDE/0000-0001-7363-554X; Atasoy, Ahmet Ferit/0000-0002-3390-1177</t>
  </si>
  <si>
    <t>This study was supported financially by Harran University Scientific Research Projects Authority (HUBAK Project No.: 19021 and 20076). [19021, 20076]; Harran University Scientific Research Projects Authority (HUBAK Project)</t>
  </si>
  <si>
    <t>This study was supported financially by Harran University Scientific Research Projects Authority (HUBAK Project No.: 19021 and 20076).; Harran University Scientific Research Projects Authority (HUBAK Project)(Harran University)</t>
  </si>
  <si>
    <t>This study was supported financially by Harran University Scientific Research Projects Authority (HUBAK Project No.: 19021 and 20076).</t>
  </si>
  <si>
    <t>0894-3214</t>
  </si>
  <si>
    <t>1099-1522</t>
  </si>
  <si>
    <t>PACKAG TECHNOL SCI</t>
  </si>
  <si>
    <t>Packag. Technol. Sci.</t>
  </si>
  <si>
    <t>10.1002/pts.2771</t>
  </si>
  <si>
    <t>Engineering, Manufacturing; Food Science &amp; Technology</t>
  </si>
  <si>
    <t>Engineering; Food Science &amp; Technology</t>
  </si>
  <si>
    <t>S2PR6</t>
  </si>
  <si>
    <t>WOS:001069646800001</t>
  </si>
  <si>
    <t>Danpanichkul, P; Moolkaew, P; Kanjanakot, Y; Polpichai, N; Jaroenlapnopparat, A; Kim, D; Lukens, FJ; Wassef, W; Fallon, MB; Chen, VL; Lui, R; Wijarnpreecha, K</t>
  </si>
  <si>
    <t>Danpanichkul, Pojsakorn; Moolkaew, Pinyada; Kanjanakot, Yatawee; Polpichai, Natchaya; Jaroenlapnopparat, Aunchalee; Kim, Donghee; Lukens, Frank J.; Wassef, Wahid; Fallon, Michael B.; Chen, Vincent L.; Lui, Rashid; Wijarnpreecha, Karn</t>
  </si>
  <si>
    <t>Rising incidence and impact of early-onset colorectal cancer in the Asia-Pacific with higher mortality in females from Southeast Asia: a global burden analysis from 2010 to 2019</t>
  </si>
  <si>
    <t>JOURNAL OF GASTROENTEROLOGY AND HEPATOLOGY</t>
  </si>
  <si>
    <t>Early-onset colorectal cancer; Screening; Young-onset colorectal cancer</t>
  </si>
  <si>
    <t>POPULATION; YOUNG; OLDER</t>
  </si>
  <si>
    <t>Background and AimEarly-onset colorectal cancer (CRC) is a growing global health concern, especially in the Asia-Pacific region. However, comprehensive research on this topic from the region is lacking. Our study aims to investigate trends in early-onset CRC in Asia over 10 years, filling this research gap.MethodsThis study utilized data from the Global Burden of Disease Study 2019 to assess temporal trends in early-onset CRC in the Asia-Pacific. The analysis included estimating annual frequencies and age-standardized rates (ASRs) of early-onset CRC incidence, death, and disability-adjusted life-years (DALYs) by gender.ResultsThe incidence of early-onset CRC significantly increased in both regions with higher increase and in the Western Pacific region. Notable increases were observed among males in the Western Pacific and females in Southeast Asia (SEA). Mortality rates remained stable in the Western Pacific but increased by 10.6% in SEA, especially among females. DALYs due to CRC also increased significantly in SEA, with a greater rise among females. The Western Pacific had the highest CRC incidence, and in SEA, the mortality rate was higher in females than males.ConclusionsOur study reveals a substantial increase in early-onset CRC in the Asia-Pacific underscoring the urgency for effective interventions. Thus, a comprehensive approach comprising controlled risk reduction, health promotion to heightened disease awareness, and implementation of effective screening strategies should be executed timely to mitigate the burden of early-onset CRC. image</t>
  </si>
  <si>
    <t>[Danpanichkul, Pojsakorn] Chiang Mai Univ, Fac Med, Dept Microbiol, Immunol Unit, Chiang Mai, Thailand; [Moolkaew, Pinyada] Chiang Mai Univ, Fac Med, Chiang Mai, Thailand; [Kanjanakot, Yatawee] Mae Fah Luang Univ, Sch Med, Dept Surg, Chiang Rai, Thailand; [Polpichai, Natchaya] Weiss Mem Hosp, Dept Internal Med, Chicago, IL USA; [Jaroenlapnopparat, Aunchalee] Harvard Med Sch, Mt Auburn Hosp, Dept Med, Cambridge, MA USA; [Kim, Donghee] Stanford Univ, Sch Med, Div Gastroenterol &amp; Hepatol, Stanford, CA USA; [Lukens, Frank J.] Mayo Clin Florida, Div Gastroenterol &amp; Hepatol, Jacksonville, FL USA; [Wassef, Wahid; Fallon, Michael B.; Wijarnpreecha, Karn] Univ Arizona, Coll Med, Dept Med, Div Gastroenterol &amp; Hepatol, Phoenix, AZ 85004 USA; [Wassef, Wahid; Fallon, Michael B.; Wijarnpreecha, Karn] Banner Univ Med Ctr, Dept Internal Med, Div Gastroenterol &amp; Hepatol, Phoenix, AZ 85006 USA; [Chen, Vincent L.] Univ Michigan, Dept Internal Med, Div Gastroenterol &amp; Hepatol, Ann Arbor, MI USA; [Lui, Rashid] Chinese Univ Hong Kong, Inst Digest Dis, Dept Clin Oncol, Dept Med &amp; Therapeut, Hong Kong, Peoples R China; [Lui, Rashid] Chinese Univ Hong Kong, Inst Digest Dis, Dept Med &amp; Therapeut, Div Gastroenterol &amp; Hepatol, Hong Kong, Peoples R China</t>
  </si>
  <si>
    <t>Chiang Mai University; Chiang Mai University; Mae Fah Luang University; Harvard University; Mount Auburn Hospital; Stanford University; Mayo Clinic; University of Arizona; University of Michigan System; University of Michigan; Chinese University of Hong Kong; Chinese University of Hong Kong</t>
  </si>
  <si>
    <t>Danpanichkul, P (corresponding author), Chiang Mai Univ, Fac Med, Dept Microbiol, Immunol Unit, Chiang Mai, Thailand.;Wijarnpreecha, K (corresponding author), Univ Arizona, Coll Med, Dept Med, Div Gastroenterol &amp; Hepatol, Phoenix, AZ 85004 USA.;Wijarnpreecha, K (corresponding author), Banner Univ Med Ctr, Dept Internal Med, Div Gastroenterol &amp; Hepatol, Phoenix, AZ 85006 USA.</t>
  </si>
  <si>
    <t>pojsakorndan@gmail.com; dr.karn.wi@gmail.com</t>
  </si>
  <si>
    <t>Kim, Donghee/C-4288-2013</t>
  </si>
  <si>
    <t>Kim, Donghee/0000-0003-1919-6800</t>
  </si>
  <si>
    <t>The authors would like to acknowledge the use of mapchart.net for creating the maps utilized in this study.</t>
  </si>
  <si>
    <t>0815-9319</t>
  </si>
  <si>
    <t>1440-1746</t>
  </si>
  <si>
    <t>J GASTROEN HEPATOL</t>
  </si>
  <si>
    <t>J. Gastroenterol. Hepatol.</t>
  </si>
  <si>
    <t>10.1111/jgh.16331</t>
  </si>
  <si>
    <t>Q8PO3</t>
  </si>
  <si>
    <t>WOS:001060088100001</t>
  </si>
  <si>
    <t>Gaffney, LS; Fisher, MB; Freytes, DO</t>
  </si>
  <si>
    <t>Gaffney, Lewis S.; Fisher, Matthew B.; Freytes, Donald O.</t>
  </si>
  <si>
    <t>Tendon Extracellular Matrix Promotes Myotendinous Junction Protein Expression in Engineered Muscle Tissue under Both Static and Mechanically Stimulated Culture Conditions</t>
  </si>
  <si>
    <t>JOURNAL OF TISSUE ENGINEERING AND REGENERATIVE MEDICINE</t>
  </si>
  <si>
    <t>MESSENGER-RNA; SKELETAL; CONSTRUCTS; BIOREACTOR; PAXILLIN; IMPROVES</t>
  </si>
  <si>
    <t>Studying the crosstalk between the muscle and tendon tissue is an important yet understudied area in musculoskeletal research. In vitro models can help elucidate the function and repair of the myotendinous junction (MTJ) under static and dynamic culture conditions using engineered muscle tissues. The goal of this study was to culture engineered muscle tissues in a novel bioreactor in both static and mechanically stimulated cultures and evaluate the expression of MTJ-specific proteins within the muscle-tendon unit(paxillin and type XXII collagen). C2C12 myoblasts were seeded in hydrogels made from type I collagen ortendon-derived extracellular matrix (tECM) and allowed to form around movable anchors. Engineered tissues were allowed to form and stabilize for 10 days. After 10 days in the culture, stimulated cultures were cyclically stimulated for 3 hours per day for 2 and 4 weeks alongside static cultures. Strain values at the maximum displacement of the anchors averaged about 0.10, a target that has been shown to induce myogenic phenotype in C2C12s. Protein expression of paxillin after 2 weeks did not differ between hydrogel materials in static cultures but increased by 62% in tECM when mechanically stimulated. These differences continued after 4 weeks, with 31% and 57% increases in tECM tissues relative to type I collagen. Expression of type XXII collagen was similarly influenced by hydrogel material and culture conditions. Overall, this research combined a relevant microenvironment to study muscle and tendon interactions with a novel bioreactor to apply mechanical strain, an important regulator of the formation and maintenance of the native MTJ.</t>
  </si>
  <si>
    <t>[Gaffney, Lewis S.; Fisher, Matthew B.; Freytes, Donald O.] North Carolina State Univ, Univ North Carolina Chapel Hill, Joint Dept Biomed Engn, Raleigh, NC 27695 USA; [Fisher, Matthew B.] Univ N Carolina, Dept Orthopaed, Sch Med, Chapel Hill, NC 25799 USA</t>
  </si>
  <si>
    <t>University of North Carolina; University of North Carolina Chapel Hill; North Carolina State University; University of North Carolina; University of North Carolina Chapel Hill; University of North Carolina School of Medicine</t>
  </si>
  <si>
    <t>Fisher, MB; Freytes, DO (corresponding author), North Carolina State Univ, Univ North Carolina Chapel Hill, Joint Dept Biomed Engn, Raleigh, NC 27695 USA.;Fisher, MB (corresponding author), Univ N Carolina, Dept Orthopaed, Sch Med, Chapel Hill, NC 25799 USA.</t>
  </si>
  <si>
    <t>lewieg@ad.unc.edu; mbfisher@ncsu.edu; dofreyte@ncsu.edu</t>
  </si>
  <si>
    <t>The authors would like to acknowledge Zachary G. Davis for his work with running strain protocols during the cell culture. This study was funded by the NC State and UNC-Chapel Hill Joint Department of Biomedical Engineering.; NC State and UNC-Chapel Hill Joint Department of Biomedical Engineering</t>
  </si>
  <si>
    <t>The authors would like to acknowledge Zachary G. Davis for his work with running strain protocols during the cell culture. This study was funded by the NC State and UNC-Chapel Hill Joint Department of Biomedical Engineering.</t>
  </si>
  <si>
    <t>1932-6254</t>
  </si>
  <si>
    <t>1932-7005</t>
  </si>
  <si>
    <t>J TISSUE ENG REGEN M</t>
  </si>
  <si>
    <t>J. Tissue Eng. Regen. Med.</t>
  </si>
  <si>
    <t>AUG 29</t>
  </si>
  <si>
    <t>10.1155/2023/6658543</t>
  </si>
  <si>
    <t>Cell &amp; Tissue Engineering; Biotechnology &amp; Applied Microbiology; Cell Biology; Engineering, Biomedical</t>
  </si>
  <si>
    <t>Cell Biology; Biotechnology &amp; Applied Microbiology; Engineering</t>
  </si>
  <si>
    <t>R1FS9</t>
  </si>
  <si>
    <t>WOS:001061875800001</t>
  </si>
  <si>
    <t>Garcia-Vila, M; Suzuki, H; Ahmad, W; Ali, A; Pek, E; Salman, M</t>
  </si>
  <si>
    <t>Garcia-Vila, Margarita; Suzuki, Hanae; Ahmad, Waqas; Ali, Akhter; Pek, Eva; Salman, Maher</t>
  </si>
  <si>
    <t>Irrigation development as a booster of the multifunctional roles of paddy rice</t>
  </si>
  <si>
    <t>IRRIGATION AND DRAINAGE</t>
  </si>
  <si>
    <t>cropping intensification; irrigation requirements; mulching; paddy rice; soil evaporation; water productivity</t>
  </si>
  <si>
    <t>YIELD RESPONSE; CROP MODEL; MANAGEMENT; WATER; AQUACROP; PRODUCTIVITY; SIMULATION; STRAW</t>
  </si>
  <si>
    <t>To promote sustainable production and the multiple roles of paddy rice, it is essential to expand our understanding of the impacts of different management options, with particular emphasis on irrigation development. The impact of various management practices (supplementary irrigation during the rainy season, improved fertilization, cropping during the dry season and mulching practices) on irrigation water requirements, crop productivity and the multifunctional roles of irrigated paddy rice was evaluated in diverse agro-ecological zones of Zambia, by using the AquaCrop model. Irrigation development has been demonstrated to boost paddy rice production (by 8%) in the southern districts by providing supplementary irrigation (about 150 mm) during the rainy season. Additionally, supplementary irrigation during the rainy season can make improved fertilization more attractive, doubling the yield rise under rainfed conditions. The required irrigation development would also enable paddy rice cropping intensification by allowing for dry season sowing (with net irrigation requirements from 700 to 800 mm). Moreover, the associated straw production increase could also play an important role as mulch during the dry season, reducing the net irrigation requirements by 15%. These findings will enable policymakers to make informed decisions regarding investment strategies and policies.</t>
  </si>
  <si>
    <t>[Garcia-Vila, Margarita] CSIC, Inst Agr Sostenible, Cordoba 14080, Spain; [Suzuki, Hanae; Ahmad, Waqas; Ali, Akhter; Pek, Eva; Salman, Maher] FAO, Land &amp; Water Div NSL, Rome, Italy; [Salman, Maher] Food &amp; Agr Org United Nations FAO, Sr Land &amp; Water Officer Land &amp; Water Div NSL of, Viale Terme Caracalla, I-00153 Rome, Italy</t>
  </si>
  <si>
    <t>Consejo Superior de Investigaciones Cientificas (CSIC); CSIC - Instituto de Agricultura Sostenible (IAS); Food &amp; Agriculture Organization of the United Nations (FAO); Food &amp; Agriculture Organization of the United Nations (FAO)</t>
  </si>
  <si>
    <t>Salman, M (corresponding author), Food &amp; Agr Org United Nations FAO, Sr Land &amp; Water Officer Land &amp; Water Div NSL of, Viale Terme Caracalla, I-00153 Rome, Italy.</t>
  </si>
  <si>
    <t>maher.salman@fao.org</t>
  </si>
  <si>
    <t>1531-0353</t>
  </si>
  <si>
    <t>1531-0361</t>
  </si>
  <si>
    <t>IRRIG DRAIN</t>
  </si>
  <si>
    <t>Irrig. Drain.</t>
  </si>
  <si>
    <t>10.1002/ird.2882</t>
  </si>
  <si>
    <t>Agronomy; Water Resources</t>
  </si>
  <si>
    <t>Agriculture; Water Resources</t>
  </si>
  <si>
    <t>R4BK0</t>
  </si>
  <si>
    <t>WOS:001063814700001</t>
  </si>
  <si>
    <t>Goto, A; Komiya, K; Kadota, JI</t>
  </si>
  <si>
    <t>Goto, Akihiko; Komiya, Kosaku; Kadota, Jun-ichi</t>
  </si>
  <si>
    <t>Prevalence of aspiration pneumonitis not requiring antibiotics among patients with aspiration pneumonia</t>
  </si>
  <si>
    <t>GERIATRICS &amp; GERONTOLOGY INTERNATIONAL</t>
  </si>
  <si>
    <t>[Goto, Akihiko; Komiya, Kosaku; Kadota, Jun-ichi] Oita Univ, Fac Med, Resp Med &amp; Infect Dis, Oita, Japan; [Goto, Akihiko; Komiya, Kosaku] Tenshindo Hetsugi Hosp, Dept Internal Med, Oita, Japan</t>
  </si>
  <si>
    <t>Oita University</t>
  </si>
  <si>
    <t>Komiya, K (corresponding author), Oita Univ, Fac Med, Resp Med &amp; Infect Dis, Oita, Japan.;Komiya, K (corresponding author), Tenshindo Hetsugi Hosp, Dept Internal Med, Oita, Japan.</t>
  </si>
  <si>
    <t>komiyakh1@oita-u.ac.jp</t>
  </si>
  <si>
    <t>This study was supported by Daiwa Securities Foundation Research in 2022.; Daiwa Securities Foundation Research in 2022</t>
  </si>
  <si>
    <t>This study was supported by Daiwa Securities Foundation Research in 2022.</t>
  </si>
  <si>
    <t>1444-1586</t>
  </si>
  <si>
    <t>1447-0594</t>
  </si>
  <si>
    <t>GERIATR GERONTOL INT</t>
  </si>
  <si>
    <t>Geriatr. Gerontol. Int.</t>
  </si>
  <si>
    <t>10.1111/ggi.14656</t>
  </si>
  <si>
    <t>Geriatrics &amp; Gerontology; Gerontology</t>
  </si>
  <si>
    <t>Geriatrics &amp; Gerontology</t>
  </si>
  <si>
    <t>R5RZ5</t>
  </si>
  <si>
    <t>WOS:001064936700001</t>
  </si>
  <si>
    <t>Ingen-Housz-Oro, S; Elshot, YS; Segura, S; Marchand, A; Pouessel, D; Kluger, N; Silva, GD; Ortiz-Brugues, A; Aubert, M; Saldana, C; Mavroudis, D; Burle, E; Tournier, E; Koumaki, D; Sibaud, V</t>
  </si>
  <si>
    <t>Ingen-Housz-Oro, Saskia; Elshot, Yannick S.; Segura, Sonia; Marchand, Antoine; Pouessel, Damien; Kluger, Nicolas; Silva, Giselle de Barros; Ortiz-Brugues, Ariadna; Aubert, Marine; Saldana, Carolina; Mavroudis, Dimitrios; Burle, Estelle; Tournier, Emilie; Koumaki, Dimitra; Sibaud, Vincent</t>
  </si>
  <si>
    <t>Skin toxicity of enfortumab vedotin: Proposal of a specific management algorithm</t>
  </si>
  <si>
    <t>[Ingen-Housz-Oro, Saskia] Univ Paris Est Creteil EpidermE, Henri Mondor Hosp, AP HP, Dermatol Dept, Creteil, France; [Ingen-Housz-Oro, Saskia] Reference Ctr Tox Bullous Dis &amp; Severe Drug React, Creteil, France; [Ingen-Housz-Oro, Saskia; Elshot, Yannick S.; Segura, Sonia; Marchand, Antoine; Kluger, Nicolas; Silva, Giselle de Barros; Ortiz-Brugues, Ariadna; Koumaki, Dimitra; Sibaud, Vincent] Dermatol Canc Patients EADV Task Force, Toulouse, France; [Elshot, Yannick S.] Netherlands Canc Inst Antoni van Leeuwenhoek, Dept Dermatol, Amsterdam, Netherlands; [Elshot, Yannick S.] Univ Amsterdam, Amsterdam UMC, Dept Dermatol, Amsterdam, Netherlands; [Segura, Sonia] Univ Pompeu Fabra, Hosp Mar, Inst Hosp Mar Invest Med IMIM, Dermatol Dept, Barcelona, Spain; [Marchand, Antoine] Dept Med, Dermatol Unit, Gustave Roussy Canc Campus, Villejuif, France; [Pouessel, Damien; Ortiz-Brugues, Ariadna; Burle, Estelle; Sibaud, Vincent] Inst Univ Canc, Oncol Dept, Toulouse Oncopole, Toulouse, France; [Kluger, Nicolas] Helsinki Univ Hosp, Dermatol Dept, Helsinki, Finland; [Silva, Giselle de Barros] Hosp 12 Octubre, Dermatol Dept, Madrid, Spain; [Aubert, Marine; Saldana, Carolina] Henri Mondor Hosp, AP HP, Oncol Dept, Creteil, France; [Saldana, Carolina] Univ Paris Est Creteil, TRePCa, Creteil, France; [Mavroudis, Dimitrios] Univ Hosp Heraklion, Dept Med Oncol, Iraklion, Greece; [Tournier, Emilie] Inst Univ Canc, Dept Pathol, Toulouse Oncopole, Toulouse, France; [Koumaki, Dimitra] Univ Hosp Heraklion, Dept Dermatol &amp; Venereol, Iraklion, Greece; [Ingen-Housz-Oro, Saskia] Henri Mondor Hosp, Dermatol Dept, 1 rue Gustave Eiffel, F-94000 Creteil, France</t>
  </si>
  <si>
    <t>Assistance Publique Hopitaux Paris (APHP); Universite Paris-Est-Creteil-Val-de-Marne (UPEC); Hopital Universitaire Henri-Mondor - APHP; Hopital Universitaire Paul-Brousse - APHP; UDICE-French Research Universities; Universite Paris Cite; Hopital Universitaire Hotel-Dieu - APHP; Netherlands Cancer Institute; University of Amsterdam; Pompeu Fabra University; Hospital del Mar Research Institute; Hospital del Mar; UNICANCER; Gustave Roussy; University of Helsinki; Helsinki University Central Hospital; Hospital Universitario 12 de Octubre; Assistance Publique Hopitaux Paris (APHP); Universite Paris-Est-Creteil-Val-de-Marne (UPEC); Hopital Universitaire Henri-Mondor - APHP; Universite Paris-Est-Creteil-Val-de-Marne (UPEC); University Hospital of Heraklion; University Hospital of Heraklion; Assistance Publique Hopitaux Paris (APHP); Universite Paris-Est-Creteil-Val-de-Marne (UPEC); Hopital Universitaire Henri-Mondor - APHP</t>
  </si>
  <si>
    <t>Ingen-Housz-Oro, S (corresponding author), Henri Mondor Hosp, Dermatol Dept, 1 rue Gustave Eiffel, F-94000 Creteil, France.</t>
  </si>
  <si>
    <t>saskia.oro@aphp.fr</t>
  </si>
  <si>
    <t>Kluger, Nicolas/0000-0002-5225-8316</t>
  </si>
  <si>
    <t>10.1111/jdv.19454</t>
  </si>
  <si>
    <t>R4BN4</t>
  </si>
  <si>
    <t>WOS:001063818100001</t>
  </si>
  <si>
    <t>Krishnaiah, PNS; Narayan, DL; Sutradhar, K</t>
  </si>
  <si>
    <t>Krishnaiah, Parikshith Nayaka Sheetakallu; Narayan, Dayanand Lal; Sutradhar, Kartick</t>
  </si>
  <si>
    <t>A survey on secure metadata of agile software development process using blockchain technology</t>
  </si>
  <si>
    <t>agile software development; blockchain technology; scrum framework; secure metadata</t>
  </si>
  <si>
    <t>DYNAMIC-SYSTEMS; FRAMEWORK; DESIGN</t>
  </si>
  <si>
    <t>Scrum is an important and essential technique for developing software. Scrum framework is a project management technique that can emphasize software development teamwork. If you are starting, consider scrum as a method for accomplishing tasks as a team in manageable chunks simultaneously, with ongoing experimentation and feedback loops to learn and improve as you go. Scrum enables individuals and groups to collaboratively and gradually generate value. Being an agile framework, scrum gives people and teams the perfect structure to fit into their workflows while still including the best practices to cater to their requirements. There are some important considerations for security in the agile software development process such as threat modeling, secure coding practices, continuous security testing, authentication, and authorization. In this work, we reviewed various scrum developing techniques to find out the research gaps. This article consider the scrum technique with blockchain technologies for review because it is preferred by most of the software industries.</t>
  </si>
  <si>
    <t>[Krishnaiah, Parikshith Nayaka Sheetakallu; Narayan, Dayanand Lal; Sutradhar, Kartick] Indian Inst Informat Technol Sri City, Dept Comp Sci &amp; Engn, Chittoor, Andhra Pradesh, India; [Sutradhar, Kartick] Indian Inst Informat Technol Sri City, Dept Comp Sci &amp; Engn, Chittoor 517646, Andhra Pradesh, India</t>
  </si>
  <si>
    <t>Sutradhar, K (corresponding author), Indian Inst Informat Technol Sri City, Dept Comp Sci &amp; Engn, Chittoor 517646, Andhra Pradesh, India.</t>
  </si>
  <si>
    <t>kartick.sutradhar@gmail.com</t>
  </si>
  <si>
    <t>SUTRADHAR, KARTICK/0000-0001-5079-4062</t>
  </si>
  <si>
    <t>e342</t>
  </si>
  <si>
    <t>10.1002/spy2.342</t>
  </si>
  <si>
    <t>Q5GG6</t>
  </si>
  <si>
    <t>WOS:001057797800001</t>
  </si>
  <si>
    <t>Lee, WH; Park, J; Yoon, SG; Jin, H; Han, J; Kim, YS</t>
  </si>
  <si>
    <t>Lee, Won Hyung; Park, Junwoo; Yoon, Sun Geun; Jin, Huding; Han, Junghyup; Kim, Youn Sang</t>
  </si>
  <si>
    <t>Ionovoltaics in energy harvesting and applications: A journey from early development to current state-of-the-art</t>
  </si>
  <si>
    <t>ECOMAT</t>
  </si>
  <si>
    <t>bio/chemical sensor; energy conversion; energy harvesting; ion-charge interaction; ionovoltaic phenomenon; solid-liquid interface</t>
  </si>
  <si>
    <t>ELECTRIC-POWER GENERATION; PRESSURE PLASMA TREATMENT; ACTIVE TRANSDUCER; CONTACT-ELECTRIFICATION; GRAPHENE OXIDE; WATER MOTION; THIN-FILMS; ADSORPTION; TRANSPORT; DRIVEN</t>
  </si>
  <si>
    <t>Ionovoltaics is a breakthrough concept in energy conversion that harnesses water motion with ion dynamics to generate electrical energy. This phenomenon is based on the interaction between the nanoscopic ionic behavior at the solid-liquid interface and the flow of electrons in a semiconductor electrode. Ionovoltaic research aims to present the most rational and convincing mechanism for the much-debated principle of energy conversion by water motion through a deeper understanding of solid-liquid interfacial phenomena and to discuss the potential to transform related fields through the development of enabling technologies such as novel energy harvesters, interfacial analysis tools, and bio/chemical sensors. Furthermore, efforts to develop high-efficiency ionovoltaic device powered by small water droplets indicate a potential contribution to the advancement of green energy systems that complement solar and wind power generation and address environmental pollution and energy shortages. This review paper explores the evolution of energy harvesting technologies using water motion, with a particular focus on ionovoltaics as an emerging field. By establishing the fundamentals, this study investigates solid-liquid interfaces, semiconductor properties, and natural water motion-driven ionovoltaic phenomena and also highlights that extensive research on complex ion/interface phenomena can have practical applications in diverse industrial fields.image</t>
  </si>
  <si>
    <t>[Lee, Won Hyung; Kim, Youn Sang] Seoul Natl Univ, Grad Sch Convergence Sci &amp; Technol, Program Nano Sci &amp; Technol, Seoul, South Korea; [Park, Junwoo] Sogang Univ, Dept Chem, Seoul, South Korea; [Yoon, Sun Geun] Georgia Inst Technol, George W Woodruff Sch Mech Engn, Atlanta, GA USA; [Jin, Huding; Han, Junghyup; Kim, Youn Sang] Seoul Natl Univ, Dept Chem &amp; Biol Engn, Coll Engn, Seoul, South Korea; [Jin, Huding; Han, Junghyup; Kim, Youn Sang] Seoul Natl Univ, Inst Chem Proc, Coll Engn, Seoul, South Korea; [Kim, Youn Sang] Adv Inst Convergence Technol, Suwon, South Korea; [Kim, Youn Sang] Seoul Natl Univ, Dept Chem &amp; Biol Engn, Seoul 08826, South Korea; [Kim, Youn Sang] Seoul Natl Univ, Inst Chem Proc, Seoul 08826, South Korea</t>
  </si>
  <si>
    <t>Seoul National University (SNU); Sogang University; University System of Georgia; Georgia Institute of Technology; Seoul National University (SNU); Seoul National University (SNU); Seoul National University (SNU); Seoul National University (SNU)</t>
  </si>
  <si>
    <t>Kim, YS (corresponding author), Seoul Natl Univ, Dept Chem &amp; Biol Engn, Seoul 08826, South Korea.;Kim, YS (corresponding author), Seoul Natl Univ, Inst Chem Proc, Seoul 08826, South Korea.</t>
  </si>
  <si>
    <t>younskim@snu.ac.kr</t>
  </si>
  <si>
    <t>Kim, Youn Sang/0000-0002-4580-2037</t>
  </si>
  <si>
    <t>This research was supported by Basic Science Research Program through the National Research Foundation of Korea (NRF) funded by the Ministry of Science and ICT, South Korea (RS-2023-00208273).; Basic Science Research Program through the National Research Foundation of Korea (NRF) - Ministry of Science and ICT, South Korea; [RS-2023-00208273]</t>
  </si>
  <si>
    <t>This research was supported by Basic Science Research Program through the National Research Foundation of Korea (NRF) funded by the Ministry of Science and ICT, South Korea (RS-2023-00208273).; Basic Science Research Program through the National Research Foundation of Korea (NRF) - Ministry of Science and ICT, South Korea(National Research Foundation of Korea);</t>
  </si>
  <si>
    <t>This research was supported by Basic Science Research Program through the National Research Foundation of Korea (NRF) funded by the Ministry of Science and ICT, South Korea (RS-2023-00208273).</t>
  </si>
  <si>
    <t>2567-3173</t>
  </si>
  <si>
    <t>EcoMat</t>
  </si>
  <si>
    <t>e12408</t>
  </si>
  <si>
    <t>10.1002/eom2.12408</t>
  </si>
  <si>
    <t>Chemistry, Physical; Green &amp; Sustainable Science &amp; Technology; Materials Science, Multidisciplinary</t>
  </si>
  <si>
    <t>Q4LI8</t>
  </si>
  <si>
    <t>WOS:001057246500001</t>
  </si>
  <si>
    <t>Liu, ZJ; Chang, PP; Xi, MR; Ding, J; Wang, XC; Wang, JL; Zhang, WJ; Huang, YD</t>
  </si>
  <si>
    <t>Liu, Zhenjie; Chang, Pingping; Xi, Murong; Ding, Juan; Wang, Xingchao; Wang, Jiulin; Zhang, Wenjun; Huang, Yudai</t>
  </si>
  <si>
    <t>Synthesis of Ni3B/Ni via Vacuum-Induced for Ultrahigh Stable and Efficient Methanol Oxidation</t>
  </si>
  <si>
    <t>electrocatalytic mechanisms; methanol oxidation; ultrahigh stable and efficient; vacuum-induced nickel boride/nickel catalysts</t>
  </si>
  <si>
    <t>HYDROGEN EVOLUTION</t>
  </si>
  <si>
    <t>Designing efficient catalysts to promote the electrochemical oxidation of anodes is the core of the development of electrochemical synthesis technologies, such as HER and CO2RR. Here, a novel vacuum induction strategy is used to synthesize nickel boride/nickel (Ni3B/Ni) heterostructure catalyst for electrochemical oxidation of methanol into formic acid. The catalyst has extremely high reactivity (only 146.9 mV overpotential at 10 mA cm(-2), the maximum current density reaches 555.70 mA mg-1 and 443.87 mA cm(-2)), ultra-high selectivity (Faraday efficiency of methanol conversion to formic acid is close to 100%), and ultra-long life (over 50 h at 100 mA cm(-2)). In-suit electrochemical impedance spectroscopy proved that MeOH is oxidized first and inhibits the phase transition of the electrocatalyst to the high-valent electrooxidation products, which not only enables the high selectivity of MeOH oxidation but also ensures high stability of the catalyst. The mechanism studies by density functional theory calculations show that the potential determining step, the formation of *CH2O, occurs most favorably in the Ni3B/Ni heterostructure. These results provide references for the development of MeOH oxidation catalysts with high activity, high stability, high selectivity, and low cost.</t>
  </si>
  <si>
    <t>[Liu, Zhenjie; Chang, Pingping; Xi, Murong; Ding, Juan; Wang, Xingchao; Wang, Jiulin; Huang, Yudai] Xinjiang Univ, Coll Chem, State Key Lab Chem &amp; Utilizat Carbon Based Energy, Urumqi 830017, Xinjiang, Peoples R China; [Zhang, Wenjun] City Univ Hong Kong, Ctr Super Diamond &amp; Adv Films COSDAF, Hong Kong 999077, Peoples R China; [Zhang, Wenjun] City Univ Hong Kong, Dept Mat Sci &amp; Engn, Hong Kong 999077, Peoples R China</t>
  </si>
  <si>
    <t>Xinjiang University; City University of Hong Kong; City University of Hong Kong</t>
  </si>
  <si>
    <t>Huang, YD (corresponding author), Xinjiang Univ, Coll Chem, State Key Lab Chem &amp; Utilizat Carbon Based Energy, Urumqi 830017, Xinjiang, Peoples R China.;Zhang, WJ (corresponding author), City Univ Hong Kong, Ctr Super Diamond &amp; Adv Films COSDAF, Hong Kong 999077, Peoples R China.;Zhang, WJ (corresponding author), City Univ Hong Kong, Dept Mat Sci &amp; Engn, Hong Kong 999077, Peoples R China.</t>
  </si>
  <si>
    <t>apwjzh@cityu.edu.hk; huangyd@xju.edu.cn</t>
  </si>
  <si>
    <t>Zhang, WJ/C-6995-2012</t>
  </si>
  <si>
    <t>Zhang, WJ/0000-0002-4497-0688; Liu, Zhenjie/0000-0003-2602-7343</t>
  </si>
  <si>
    <t>National Natural Science Foundation of China [2022A01005-4]; Key Project of Nature Science Foundation of Xinjiang Province [2021A01001-1, 202313120008]; Xinjiang Province Major Projects; Basic Research Funds for Colleges and Universities in Xinjiang Province; [52162036]</t>
  </si>
  <si>
    <t>National Natural Science Foundation of China(National Natural Science Foundation of China (NSFC)); Key Project of Nature Science Foundation of Xinjiang Province; Xinjiang Province Major Projects; Basic Research Funds for Colleges and Universities in Xinjiang Province;</t>
  </si>
  <si>
    <t>Z.L., P.C., and M.X. are co-first authors of the article. This work was financially supported by the National Natural Science Foundation of China (52162036, 21965034, U1903217, and 22065033), the Key Project of Nature Science Foundation of Xinjiang Province (2021D01D08), the Xinjiang Province Major Projects (2022A01005-4 and 2021A01001-1) and the Basic Research Funds for Colleges and Universities in Xinjiang Province (202313120008). The authors~would like to thank the workers in Shiyanjia Lab () for the HRTEM observation and DFT calculation.</t>
  </si>
  <si>
    <t>10.1002/smll.202303855</t>
  </si>
  <si>
    <t>Q4JS9</t>
  </si>
  <si>
    <t>WOS:001057203700001</t>
  </si>
  <si>
    <t>Mizoguchi, T; Fujiwara, K; Sekiguchi, M; Iwasaki, T</t>
  </si>
  <si>
    <t>Mizoguchi, Tomonari; Fujiwara, Keiko; Sekiguchi, Maiko; Iwasaki, Toshiroh</t>
  </si>
  <si>
    <t>Effect of ciclosporin on clinical signs of degenerative mucinotic mural folliculitis in a young cat</t>
  </si>
  <si>
    <t>A 1.5-year-old, spayed, female, mixed-breed cat that had been housed completely indoors presented with a chief complaint of facial hair loss. Alopecia extended from the face to the outside of the auricle, and was accompanied by thickening of the dorsal eyelid and scales on the dorsal chest. Histopathological examination revealed infiltration of lymphocytes targeting the hair follicle wall and deposition of mucin in the isthmus of hair follicles. A diagnosis of degenerative mucinotic mural folliculitis was obtained based on the clinical and histological findings. The cat was treated with ciclosporin (9.3 mg/kg) administered once daily. The alopecia and thickening resolved, and the general condition improved. The cat was clinically well for 10 months. The cat has survived 14 months since treatment was started. This case demonstrates the efficacy of high-dose ciclosporin in treating degenerative mucinotic mural folliculitis.</t>
  </si>
  <si>
    <t>[Mizoguchi, Tomonari] Mizoguchi Anim Hosp, Amagasaki, Hyogo 6600881, Japan; [Mizoguchi, Tomonari; Iwasaki, Toshiroh] Pet Skin Clin, Kobe, Hyogo, Japan; [Fujiwara, Keiko] Sakai Anim Clin, Amagasaki, Hyogo, Japan; [Sekiguchi, Maiko] IDEXX Japan, Koganei, Tokyo, Japan</t>
  </si>
  <si>
    <t>Mizoguchi, T (corresponding author), Mizoguchi Anim Hosp, Amagasaki, Hyogo 6600881, Japan.</t>
  </si>
  <si>
    <t>jtnmn400@gmail.com</t>
  </si>
  <si>
    <t>We thank Angela Morben, DVM, ELS, from Edanz () for editing a draft of this manuscript.</t>
  </si>
  <si>
    <t>e710</t>
  </si>
  <si>
    <t>10.1002/vrc2.710</t>
  </si>
  <si>
    <t>Q6QH3</t>
  </si>
  <si>
    <t>WOS:001058745500001</t>
  </si>
  <si>
    <t>Paillot, M; Wong, A; Denisov, SA; Soudan, P; Poizot, P; Montigny, B; Mostafavi, M; Gauthier, M; Le Caer, S</t>
  </si>
  <si>
    <t>Paillot, Malaurie; Wong, Alan; Denisov, Sergey A.; Soudan, Patrick; Poizot, Philippe; Montigny, Benedicte; Mostafavi, Mehran; Gauthier, Magali; Le Caer, Sophie</t>
  </si>
  <si>
    <t>Predicting Degradation Mechanisms in Lithium Bistriflimide Water-In-Salt Electrolytes For Aqueous Batteries</t>
  </si>
  <si>
    <t>concentrated aqueous electrolytes; radiolysis; electrochemistry; energy conversion; ageing</t>
  </si>
  <si>
    <t>PULSE-RADIOLYSIS; ION BATTERIES; SUPERCONCENTRATED ELECTROLYTES; ABSORPTION-SPECTRUM; HYDRATED ELECTRON; SOLVATED ELECTRON; LIQUID STRUCTURE; PICOSECOND; SPECTROSCOPY; STABILITY</t>
  </si>
  <si>
    <t>Aqueous solutions are crucial to most domains in biology and chemistry, including in energy fields such as catalysis and batteries. Water-in-salt electrolytes (WISEs), which extend the stability of aqueous electrolytes in rechargeable batteries, are one example. While the hype for WISEs is huge, commercial WISE-based rechargeable batteries are still far from reality, and there remain several fundamental knowledge gaps such as those related to their long-term reactivity and stability. Here, we propose a comprehensive approach to accelerating the study of WISE reactivity by using radiolysis to exacerbate the degradation mechanisms of concentrated LiTFSI-based aqueous solutions. We find that the nature of the degradation species depends strongly on the molality of the electrolye, with degradation routes driven by the water or the anion at low or high molalities, respectively. The main aging products are consistent with those observed by electrochemical cycling, yet radiolysis also reveals minor degradation species, providing a unique glimpse of the long-term (un)stability of these electrolytes.</t>
  </si>
  <si>
    <t>[Paillot, Malaurie; Wong, Alan; Gauthier, Magali; Le Caer, Sophie] Univ Paris Saclay, CEA, CNRS, NIMBE,CEA Saclay, F-91191 Gif Sur Yvette, France; [Denisov, Sergey A.; Mostafavi, Mehran] Univ Paris Saclay, Inst Chim Phys, CNRS, UMR8000, Batiment 349, F-91405 Orsay, France; [Soudan, Patrick; Poizot, Philippe] Nantes Univ, Inst Mat Nantes Jean Rouxel, CNRS, IMN, F-44000 Nantes, France; [Montigny, Benedicte] Univ Tours, Lab Phys Chim Mat &amp; Electrolytes Energie EA 6299, Parc Grandmont, F-37200 Tours, France</t>
  </si>
  <si>
    <t>CEA; UDICE-French Research Universities; Universite Paris Saclay; Centre National de la Recherche Scientifique (CNRS); UDICE-French Research Universities; Universite Paris Saclay; Centre National de la Recherche Scientifique (CNRS); CNRS - Institute of Chemistry (INC); Nantes Universite; Centre National de la Recherche Scientifique (CNRS); Universite de Tours</t>
  </si>
  <si>
    <t>Gauthier, M; Le Caer, S (corresponding author), Univ Paris Saclay, CEA, CNRS, NIMBE,CEA Saclay, F-91191 Gif Sur Yvette, France.</t>
  </si>
  <si>
    <t>magali.gauthier@cea.fr; sophie.le-caer@cea.fr</t>
  </si>
  <si>
    <t>CEA is gratefully acknowledged for the PhD funding of Malaurie Paillot through CFR. We thank Christophe Fajolles for assisting in the NMR experiments. Nicholas Henry Cohen Lewis, Edward Maginn and Andrei Tokmakoff are gratefully acknowledged for ki; French National Research Agency (ANR); [ANR-21-CE50-0005-01]</t>
  </si>
  <si>
    <t>CEA is gratefully acknowledged for the PhD funding of Malaurie Paillot through CFR. We thank Christophe Fajolles for assisting in the NMR experiments. Nicholas Henry Cohen Lewis, Edward Maginn and Andrei Tokmakoff are gratefully acknowledged for ki; French National Research Agency (ANR)(Agence Nationale de la Recherche (ANR)Norwegian Agency for Development Cooperation - NORAD);</t>
  </si>
  <si>
    <t>CEA is gratefully acknowledged for the PhD funding of Malaurie Paillot through CFR. We thank Christophe Fajolles for assisting in the NMR experiments. Nicholas Henry Cohen Lewis, Edward Maginn and Andrei Tokmakoff are gratefully acknowledged for kindly providing their published data for the IR spectra fitting. The French EMIR &amp; amp;A network and Jean-Philippe Larbre are gratefully acknowledged for providing irradiation beam time at ELYSE platform. The French EMIR &amp; amp;A network and Jorge Vieira are gratefully acknowledged for providing irradiation beam time at ALIENOR platform. This work was supported by the French National Research Agency (ANR) under the Project ANR-21-CE50-0005-01. We thank Dr. Mark Levenstein for his careful reading of the manuscript and insightful comments.</t>
  </si>
  <si>
    <t>e202300692</t>
  </si>
  <si>
    <t>10.1002/cssc.202300692</t>
  </si>
  <si>
    <t>Q3ZQ2</t>
  </si>
  <si>
    <t>WOS:001056937900001</t>
  </si>
  <si>
    <t>Ripamonti, CI; Chelazzi, C</t>
  </si>
  <si>
    <t>Ripamonti, Carla Ida; Chelazzi, Cosimo</t>
  </si>
  <si>
    <t>Is palliative care in heart failure patients coming up?</t>
  </si>
  <si>
    <t>[Ripamonti, Carla Ida; Chelazzi, Cosimo] Univ Brescia, Dept Med &amp; Surg Specialties, Radiol Sci &amp; Publ Hlth, Brescia, Italy; [Chelazzi, Cosimo] ASST Spedali Civili, Crit Care &amp; Palliat Med, Brescia, Italy; [Chelazzi, Cosimo] ASST Spedali Civili, Specialty Sch Palliat Med, Brescia, Italy; [Chelazzi, Cosimo] ASST Spedali Civili, Palliat Care Unit &amp; Integrated Home Care, Brescia, Italy; [Ripamonti, Carla Ida] Univ Brescia, Dept Med &amp; Surg Specialties, Radiol Sci &amp; Publ Hlth, Piazzale Spedali Civili1, I-25123 Brescia, Italy</t>
  </si>
  <si>
    <t>University of Brescia; Hospital Spedali Civili Brescia; Hospital Spedali Civili Brescia; Hospital Spedali Civili Brescia; University of Brescia</t>
  </si>
  <si>
    <t>Ripamonti, CI (corresponding author), Univ Brescia, Dept Med &amp; Surg Specialties, Radiol Sci &amp; Publ Hlth, Piazzale Spedali Civili1, I-25123 Brescia, Italy.</t>
  </si>
  <si>
    <t>carla.ripamonti@unibs.it</t>
  </si>
  <si>
    <t>Chelazzi, Cosimo/E-5611-2017; Ripamonti, Carla/C-4557-2017</t>
  </si>
  <si>
    <t>Chelazzi, Cosimo/0000-0002-5156-8638; Ripamonti, Carla/0000-0001-5495-5054</t>
  </si>
  <si>
    <t>10.1002/ejhf.3002</t>
  </si>
  <si>
    <t>R4BE4</t>
  </si>
  <si>
    <t>WOS:001063809100001</t>
  </si>
  <si>
    <t>Sun, HY; Zhang, ZL; Liu, YL; Chen, G; Li, TF; Liao, MY</t>
  </si>
  <si>
    <t>Sun, Huanying; Zhang, Zilong; Liu, Yulong; Chen, Guo; Li, Tiefu; Liao, Meiyong</t>
  </si>
  <si>
    <t>Diamond MEMS: From Classical to Quantum</t>
  </si>
  <si>
    <t>ADVANCED QUANTUM TECHNOLOGIES</t>
  </si>
  <si>
    <t>diamond micro/nanoelectromechanical systems resonators; nitrogen-vacancy center; optomechanics; quantum sensors; spin-strain interaction</t>
  </si>
  <si>
    <t>SOLID-STATE SPIN; N-V DEFECTS; NANOMECHANICAL RESONATORS; PARAMAGNETIC-RESONANCE; THIN-FILMS; MAGNETIC-RESONANCE; COLOR-CENTERS; SINGLE; FABRICATION; FORCE</t>
  </si>
  <si>
    <t>Diamond has numerous outstanding properties in mechanics, physics, chemistry, electronics, thermodynamics, and spintronics for either classic micro/nanoelectromechanical systems (MEMS/NEMS) devices or hybrid quantum MEMS/NEMS systems. The extremely high mechanical strength and the ultra-wide bandgap energy enable the development of mechanically and thermally robust MEMS/NEMS sensors and switches, while the long coherence time of spin defects center enables the reading out through optical methods, precise quantum sensing, and quantum information processing. In this paper, the development of diamond-based MEMS/NEMS from the viewpoints of classic devices to quantum systems are reviewed. The fabrication process and the classic applications of diamond MEMS/NEMS devices are first described, including those from micro-crystalline, nano-crystalline/ultranano-crystalline, and single-crystalline diamonds. Then, the physical properties of nitrogen-vacancy defect center, as well as the application referred to the hybrid system composed of MEMS structures and nitrogen-vacancy centers embedded, strain-spin interaction, and diamond-based optomechanics are introduced. Finally, a conclusion and outlook are presented. It is expected that diamond MEMS/NEMS is not only an ideal platform for high-performance and high-reliability advanced classic MEMS devices but also for quantum sensing, information, and exploring the fundamentals of quantum mechanics.</t>
  </si>
  <si>
    <t>[Sun, Huanying; Liu, Yulong; Li, Tiefu] Beijing Acad Quantum Informat Sci, Beijing 100193, Peoples R China; [Zhang, Zilong; Chen, Guo; Liao, Meiyong] Natl Inst Mat Sci, Res Ctr Elect &amp; Opt Mat, Namiki 1-1, Tsukuba, Ibaraki 3050044, Japan; [Li, Tiefu] Tsinghua Univ, Sch Integrated Circuits, Beijing 100084, Peoples R China; [Li, Tiefu] Tsinghua Univ, Frontier Sci Ctr Quantum Informat, Beijing 100084, Peoples R China</t>
  </si>
  <si>
    <t>Beijing Academy of Quantum Information Sciences; National Institute for Materials Science; Tsinghua University; Tsinghua University</t>
  </si>
  <si>
    <t>Li, TF (corresponding author), Beijing Acad Quantum Informat Sci, Beijing 100193, Peoples R China.;Liao, MY (corresponding author), Natl Inst Mat Sci, Res Ctr Elect &amp; Opt Mat, Namiki 1-1, Tsukuba, Ibaraki 3050044, Japan.;Li, TF (corresponding author), Tsinghua Univ, Sch Integrated Circuits, Beijing 100084, Peoples R China.;Li, TF (corresponding author), Tsinghua Univ, Frontier Sci Ctr Quantum Informat, Beijing 100084, Peoples R China.</t>
  </si>
  <si>
    <t>litf@tsinghua.edu.cn; meiyong.liao@nims.go.jp</t>
  </si>
  <si>
    <t>Liao, Meiyong/B-8333-2011</t>
  </si>
  <si>
    <t>Liao, Meiyong/0000-0003-1361-4266</t>
  </si>
  <si>
    <t>H.S. and Z.Z. contributed equally to this work. The authors gratefully acknowledge the support from Beijing Municipal Science and Technology Commission (Grant No. Z221100002722011), the Grant-in-Aid for JSPS Research Fellows (Grant No. 22F21341), JSPS KAKE [22F21341, 20H02212]; Beijing Municipal Science and Technology Commission [22K18957, 15H03999, 2022YFA1405200]; JSPS KAKENHI; Tsukuba Global Innovation Promotion Agency; Ministry of Education, Culture, Sports, and Technology (MEXT) of Japan [12004044]; National Key Research and Development Program of China [62074091]; National Natural Science Foundation of China; [Z221100002722011]</t>
  </si>
  <si>
    <t>H.S. and Z.Z. contributed equally to this work. The authors gratefully acknowledge the support from Beijing Municipal Science and Technology Commission (Grant No. Z221100002722011), the Grant-in-Aid for JSPS Research Fellows (Grant No. 22F21341), JSPS KAKE; Beijing Municipal Science and Technology Commission(Beijing Municipal Science &amp; Technology Commission); JSPS KAKENHI(Ministry of Education, Culture, Sports, Science and Technology, Japan (MEXT)Japan Society for the Promotion of ScienceGrants-in-Aid for Scientific Research (KAKENHI)); Tsukuba Global Innovation Promotion Agency; Ministry of Education, Culture, Sports, and Technology (MEXT) of Japan(Ministry of Education, Culture, Sports, Science and Technology, Japan (MEXT)); National Key Research and Development Program of China; National Natural Science Foundation of China(National Natural Science Foundation of China (NSFC));</t>
  </si>
  <si>
    <t>H.S. and Z.Z. contributed equally to this work. The authors gratefully acknowledge the support from Beijing Municipal Science and Technology Commission (Grant No. Z221100002722011), the Grant-in-Aid for JSPS Research Fellows (Grant No. 22F21341), JSPS KAKENHI (Grant Nos. 20H02212, 22K18957, and 15H03999), Tsukuba Global Innovation Promotion Agency and Nanotechnology Platform projects sponsored by the Ministry of Education, Culture, Sports, and Technology (MEXT) of Japan, National Key Research and Development Program of China (Grant No. 2022YFA1405200). and the National Natural Science Foundation of China (Grants Nos. 12004044 and 62074091).</t>
  </si>
  <si>
    <t>2511-9044</t>
  </si>
  <si>
    <t>ADV QUANTUM TECHNOL</t>
  </si>
  <si>
    <t>Adv. Quantum Technol.</t>
  </si>
  <si>
    <t>10.1002/qute.202300189</t>
  </si>
  <si>
    <t>Quantum Science &amp; Technology; Optics</t>
  </si>
  <si>
    <t>Physics; Optics</t>
  </si>
  <si>
    <t>Q4KQ0</t>
  </si>
  <si>
    <t>WOS:001057227300001</t>
  </si>
  <si>
    <t>Sun, YK; Qiao, JB; Xin, YM; Zhou, Q; Ma, ZH; Shao, H; Zhao, YM</t>
  </si>
  <si>
    <t>Sun, Ya-Kui; Qiao, Jin-Bao; Xin, Yu-Meng; Zhou, Qin; Ma, Zhi-Hua; Shao, Hui; Zhao, Yu-Ming</t>
  </si>
  <si>
    <t>Total Synthesis of Metaphanine and Oxoepistephamiersine</t>
  </si>
  <si>
    <t>Cascade Annulation; Hasubanan Alkaloids; Late-Stage Oxidation; Palladium Catalysis; Total Synthesis</t>
  </si>
  <si>
    <t>ENANTIOSELECTIVE TOTAL SYNTHESES; CHEMOSELECTIVE REDUCTION; DIRECTED HYDROBORATION; HASUBANAN ALKALOIDS; PROTONATION; SECONDARY; ROUTES; AMIDES</t>
  </si>
  <si>
    <t>Herein, we report a concise and divergent synthesis of the complex hasubanan alkaloids metaphanine and oxoepistephamiersine from commercially available and inexpensive cyclohexanedione monoethylene acetal. Our synthesis features a palladium-catalyzed cascade cyclization reaction to set the tricyclic carbon framework of the desired molecules, a regioselective Baeyer-Villiger oxidation followed by a MeNH2 triggered skeletal reorganization cascade to construct the benzannulated aza[4.4.3]propellane, and a strategically late-stage regio-/diastereoselective oxidative annulation of sp(3) C-H bond to form the challenging THF ring system and hemiketal moiety in a single step. In addition, a highly enantioselective alkylation of cyclohexanedione monoethylene acetal paved the way for the asymmetric synthesis of target molecular.</t>
  </si>
  <si>
    <t>[Sun, Ya-Kui; Qiao, Jin-Bao; Xin, Yu-Meng; Zhou, Qin; Ma, Zhi-Hua; Shao, Hui; Zhao, Yu-Ming] Shaanxi Normal Univ, Key Lab Appl Surface &amp; Colloid Chem, 620 West Changan Ave, Xian 710119, Peoples R China; [Sun, Ya-Kui; Qiao, Jin-Bao; Xin, Yu-Meng; Zhou, Qin; Ma, Zhi-Hua; Shao, Hui; Zhao, Yu-Ming] Shaanxi Normal Univ, Sch Chem &amp; Chem Engn, 620 West Changan Ave, Xian 710119, Peoples R China</t>
  </si>
  <si>
    <t>Shaanxi Normal University; Shaanxi Normal University</t>
  </si>
  <si>
    <t>Zhao, YM (corresponding author), Shaanxi Normal Univ, Key Lab Appl Surface &amp; Colloid Chem, 620 West Changan Ave, Xian 710119, Peoples R China.;Zhao, YM (corresponding author), Shaanxi Normal Univ, Sch Chem &amp; Chem Engn, 620 West Changan Ave, Xian 710119, Peoples R China.</t>
  </si>
  <si>
    <t>ymzhao@snnu.edu.cn</t>
  </si>
  <si>
    <t>This work was supported by the National Science Foundation of China (21971157, 22022106, 22001159) and Fundamental Research Funds for the Central Universities (GK202102004, GK202308003). Dr. Huaming Sun at Shaanxi Normal University is acknowledged for X-ra [22022106, 22001159, GK202102004]; National Science Foundation of China [GK202308003]; Fundamental Research Funds for the Central Universities; [21971157]</t>
  </si>
  <si>
    <t>This work was supported by the National Science Foundation of China (21971157, 22022106, 22001159) and Fundamental Research Funds for the Central Universities (GK202102004, GK202308003). Dr. Huaming Sun at Shaanxi Normal University is acknowledged for X-ra; National Science Foundation of China(National Natural Science Foundation of China (NSFC)); Fundamental Research Funds for the Central Universities(Fundamental Research Funds for the Central Universities);</t>
  </si>
  <si>
    <t>This work was supported by the National Science Foundation of China (21971157, 22022106, 22001159) and Fundamental Research Funds for the Central Universities (GK202102004, GK202308003). Dr. Huaming Sun at Shaanxi Normal University is acknowledged for X-ray crystallographic analysis.</t>
  </si>
  <si>
    <t>e202310917</t>
  </si>
  <si>
    <t>10.1002/anie.202310917</t>
  </si>
  <si>
    <t>Q4KS4</t>
  </si>
  <si>
    <t>WOS:001057229800001</t>
  </si>
  <si>
    <t>Wu, D; Liu, DH; Tateishi, K; Qi, F; Yang, F; Ke, C; You, H</t>
  </si>
  <si>
    <t>Wu, Di; Liu, Dahai; Tateishi, Kensuke; Qi, Fei; Yang, Fang; Ke, Chao; You, Hua</t>
  </si>
  <si>
    <t>Understanding the molecular pathogenesis of primary central nervous system lymphoma by experimental animal models</t>
  </si>
  <si>
    <t>JOURNAL OF CELLULAR PHYSIOLOGY</t>
  </si>
  <si>
    <t>animal models; migration; primary central nervous system lymphoma; tropism</t>
  </si>
  <si>
    <t>RAT MODEL; RITUXIMAB; EFFICACY; BRAIN; MYD88; CNS</t>
  </si>
  <si>
    <t>Primary central nervous system lymphoma (PCNSL) is a rare and invasive diffuse large B cell lymphoma confined in central nervous system (CNS). The effort to press forward the translational progress has been frustrated by the insufficient understanding of immunophenotype of CNS and tumor genetic alterations of PCNSL, and the lack of validated diagnostic biomarkers. Researchers now have a variety of PCNSL animal models at their disposal that resemble the morphology and immunophenotype of PCNSL, however, a careful and detailed re-examination of these animal models is needed to clarify the differences in genetic alterations, migration capability, and immune status. In this review, we present the knowledge about the phenotypic and genotypic features of PCNSL tumor cells, and compile the preclinical animal models of PCNSL with regard to various injection sites, cell origins, recipient animals, and immune status, and elaborate on the tropism and migration of tumor cells and novel therapeutic strategies for PCNSL. We envisage that the selection of suitable animal models will serve as a well-defined preclinical system to understand the molecular pathogenesis of PCNSL, thereby galvanizing the development of novel and potent therapeutic approaches.</t>
  </si>
  <si>
    <t>[Wu, Di; Liu, Dahai; Yang, Fang] Foshan Univ, Sch Med, Dept Basic Med, Foshan, Guangdong, Peoples R China; [Tateishi, Kensuke] Yokohama City Univ, Grad Sch Med, Dept Neurosurg, Yokohama, Japan; [Qi, Fei] Peking Univ, Shenzhen Hosp, Dept Pulm &amp; Crit Care Med, Shenzhen, Guangdong, Peoples R China; [Ke, Chao] Sun Yat Sen Univ, Collaborat Innovat Ctr Canc Med, Dept Neurosurg Neurooncol, State Key Lab Oncol South China,Canc Ctr, Guangzhou 510060, Peoples R China; [You, Hua] Chongqing Med Univ, Natl Clin Res Ctr Child Hlth &amp; Disorders, Dept Pediat Hematol &amp; Oncol, China Int Sci &amp; Technol Cooperat Base Child Dev &amp;, 136 Zhongshan Second Rd, Chongqing 401122, Peoples R China</t>
  </si>
  <si>
    <t>Foshan University; Yokohama City University; Peking University; Sun Yat Sen University; State Key Lab Oncology South China; Chongqing Medical University</t>
  </si>
  <si>
    <t>You, H (corresponding author), Chongqing Med Univ, Natl Clin Res Ctr Child Hlth &amp; Disorders, Dept Pediat Hematol &amp; Oncol, China Int Sci &amp; Technol Cooperat Base Child Dev &amp;, 136 Zhongshan Second Rd, Chongqing 401122, Peoples R China.</t>
  </si>
  <si>
    <t>youhua307@163.com</t>
  </si>
  <si>
    <t>National Natural Science Foundation of China [81911530169, 82270413, 81870307]; Natural Science Foundation of Guangdong Province of China [2022A1515011368, 2023A1515011581]; Key Projects of Department of Education of Guangdong Province of China [2022ZDZX2057, 2022ZXKC474]; Guangdong Basic and Applied Basic Research Foundation [2021A1515010083, 2022A1515111169]; CQMU Program for Youth Innovation in Future Medicine [W0202]; Talent Program of Chongqing Health Commission</t>
  </si>
  <si>
    <t>National Natural Science Foundation of China(National Natural Science Foundation of China (NSFC)); Natural Science Foundation of Guangdong Province of China(National Natural Science Foundation of Guangdong Province); Key Projects of Department of Education of Guangdong Province of China; Guangdong Basic and Applied Basic Research Foundation; CQMU Program for Youth Innovation in Future Medicine; Talent Program of Chongqing Health Commission</t>
  </si>
  <si>
    <t>National Natural Science Foundation of China, Grant/Award Numbers: 81911530169, 82270413, 81870307; The Natural Science Foundation of Guangdong Province of China, Grant/Award Numbers: 2022A1515011368, 2023A1515011581; The Key Projects of Department of Education of Guangdong Province of China, Grant/Award Numbers: 2022ZDZX2057, 2022ZXKC474; Guangdong Basic and Applied Basic Research Foundation, Grant/Award Numbers: 2021A1515010083, 2022A1515111169; CQMU Program for Youth Innovation in Future Medicine, Grant/Award Number: W0202; Talent Program of Chongqing Health Commission</t>
  </si>
  <si>
    <t>0021-9541</t>
  </si>
  <si>
    <t>1097-4652</t>
  </si>
  <si>
    <t>J CELL PHYSIOL</t>
  </si>
  <si>
    <t>J. Cell. Physiol.</t>
  </si>
  <si>
    <t>10.1002/jcp.31107</t>
  </si>
  <si>
    <t>Cell Biology; Physiology</t>
  </si>
  <si>
    <t>R1CO2</t>
  </si>
  <si>
    <t>WOS:001061790900001</t>
  </si>
  <si>
    <t>Zhou, LY; Yang, R; Xu, SQ; Lei, X; Zheng, YP; Wen, JF; Zhang, F; Tang, YB</t>
  </si>
  <si>
    <t>Zhou, Liyu; Yang, Rui; Xu, Siqi; Lei, Xin; Zheng, Yongping; Wen, Jianfeng; Zhang, Fan; Tang, Yongbing</t>
  </si>
  <si>
    <t>Maximizing Electrostatic Polarity of Non-Sacrificial Electrolyte Additives Enables Stable Zinc-Metal Anodes for Aqueous Batteries</t>
  </si>
  <si>
    <t>Electrostatic Polarity; Non-Sacrificial Additives; Zinc-Ion Batteries; Zn Anode</t>
  </si>
  <si>
    <t>ION BATTERY; PERFORMANCE; INTERFACE; CHALLENGES; ENERGY; FIELD</t>
  </si>
  <si>
    <t>Although additives are widely used in aqueous electrolytes to inhibit the formation of dendrites and hydrogen evolution reactions on Zn anodes, there is a lack of rational design principles and systematic mechanistic studies on how to select a suitable additive to regulate reversible Zn plating/stripping chemistry. Here, using saccharides as the representatives, we reveal that the electrostatic polarity of non-sacrificial additives is a critical descriptor for their ability to stabilize Zn anodes. Non-sacrificial additives are found to continuously modulate the solvation structure of Zn ions and form a molecular adsorption layer (MAL) for uniform Zn deposition, avoiding the thick solid electrolyte interphase layer due to the decomposition of sacrificial additives. A high electrostatic polarity renders sucrose the best hydrated Zn2+ desolvation ability and facilitates the MAL formation, resulting in the best cycling stability with a long-term reversible plating/stripping cycle life of thousands of hours. This study provides theoretical guidance for the screening of optimal additives for high-performance ZIBs.</t>
  </si>
  <si>
    <t>[Zhou, Liyu; Yang, Rui; Xu, Siqi; Lei, Xin; Zheng, Yongping; Wen, Jianfeng; Zhang, Fan; Tang, Yongbing] Shenzhen Inst Adv Technol, Chinese Acad Sci, Adv Energy Storage Technol Res Ctr, Shenzhen 518055, Peoples R China; [Tang, Yongbing] Univ Chinese Acad Sci, Beijing 100049, Peoples R China; [Zhou, Liyu] Univ Sci &amp; Technol China, Nano Sci &amp; Technol Inst, Suzhou 215123, Peoples R China</t>
  </si>
  <si>
    <t>Chinese Academy of Sciences; Shenzhen Institute of Advanced Technology, CAS; Chinese Academy of Sciences; University of Chinese Academy of Sciences, CAS; Chinese Academy of Sciences; University of Science &amp; Technology of China, CAS</t>
  </si>
  <si>
    <t>Zheng, YP; Zhang, F; Tang, YB (corresponding author), Shenzhen Inst Adv Technol, Chinese Acad Sci, Adv Energy Storage Technol Res Ctr, Shenzhen 518055, Peoples R China.;Tang, YB (corresponding author), Univ Chinese Acad Sci, Beijing 100049, Peoples R China.</t>
  </si>
  <si>
    <t>yp.zheng@siat.ac.cn; fan.zhang1@siat.ac.cn; tangyb@siat.ac.cn</t>
  </si>
  <si>
    <t>YONGBING, TANG/0000-0003-2705-4618; Lei, Xin/0000-0002-2466-3891</t>
  </si>
  <si>
    <t>The authors gratefully acknowledge financial support from the National Key Ramp;amp;D Program of China (2022YFB2402600), National Natural Science Foundation of China (52125105, 52061160484, 51972329), Science and Technology Planning Project of Guangdong P [52125105]; National Key Ramp;amp;D Program of China [52061160484, 51972329, 2019TX05L389]; National Natural Science Foundation of China [2021TQ05L894, 20201600200012]; Science and Technology Planning Project of Guangdong Province [JSGG20211108092801002]; Scientific Project of Chinese Academy of Sciences [JSGG20220831104004008, JCYJ20220531100405012]; Shenzhen Science and Technology Planning Project; [2022YFB2402600]</t>
  </si>
  <si>
    <t>The authors gratefully acknowledge financial support from the National Key Ramp;amp;D Program of China (2022YFB2402600), National Natural Science Foundation of China (52125105, 52061160484, 51972329), Science and Technology Planning Project of Guangdong P(National Natural Science Foundation of China (NSFC)); National Key Ramp;amp;D Program of China; National Natural Science Foundation of China(National Natural Science Foundation of China (NSFC)); Science and Technology Planning Project of Guangdong Province; Scientific Project of Chinese Academy of Sciences; Shenzhen Science and Technology Planning Project;</t>
  </si>
  <si>
    <t>The authors gratefully acknowledge financial support from the National Key R &amp; amp;D Program of China (2022YFB2402600), National Natural Science Foundation of China (52125105, 52061160484, 51972329), Science and Technology Planning Project of Guangdong Province (2019TX05L389, 2021TQ05L894), Scientific Project of Chinese Academy of Sciences (20201600200012), and Shenzhen Science and Technology Planning Project (JSGG20211108092801002, JSGG20220831104004008, JCYJ20220531100405012).</t>
  </si>
  <si>
    <t>e202307880</t>
  </si>
  <si>
    <t>10.1002/anie.202307880</t>
  </si>
  <si>
    <t>Q4JI3</t>
  </si>
  <si>
    <t>WOS:001057192900001</t>
  </si>
  <si>
    <t>Bavolar, J; Kacmar, P; Lovas, L; Durbisova, S</t>
  </si>
  <si>
    <t>Bavolar, Jozef; Kacmar, Pavol; Lovas, Ladislav; Durbisova, Simona</t>
  </si>
  <si>
    <t>Decision-making styles and goal striving</t>
  </si>
  <si>
    <t>JOURNAL OF BEHAVIORAL DECISION MAKING</t>
  </si>
  <si>
    <t>decision outcomes; decision-making styles; goal attainment; goal progress; goal-directed behavior</t>
  </si>
  <si>
    <t>INDIVIDUAL-DIFFERENCES; PERSONAL GOALS; SELF-EFFICACY; ACTION CRISIS; EFFECT SIZE; DISENGAGEMENT; MOTIVATION; PROGRESS; THINKING; PURSUIT</t>
  </si>
  <si>
    <t>While previous research has demonstrated the role of decision-making styles in attaining various real-life outcomes, it has neglected to explore the underlying goal-related processes in terms of goal dimensions (ways in which people appraise their goals during goal striving). The present study examines whether the most studied decision-making styles are related to self-reported effort, goal progress, and action crisis as well as other goal dimensions. We conducted 14 studies (mutual conceptual replications) with N-total = 2574 (70% females) which included the General Decision-Making Styles questionnaire and various goal-related scales. The results from the mini meta-analysis showed that the rational and intuitive styles were positively related to the goal dimensions associated with successful goal pursuit (e.g., goal commitment, goal attainability, positive emotions, and goal progress), while the avoidant style was mainly related to various difficulties associated with goal striving (e.g., controlled motivation, negative emotions, and action crisis). The dependent and especially spontaneous styles were found to be very weakly associated with the selected goal dimensions. When the separate studies were analyzed in the regression analyses and more process-oriented goal dimensions were accounted for, decision-making styles were only minor predictors of self-reported effort expenditure, goal progress and action crisis. The study highlights the need and usefulness of a more nuanced processual approach in the research of individual decision-making differences in goal-directed behavior.</t>
  </si>
  <si>
    <t>[Bavolar, Jozef; Kacmar, Pavol; Lovas, Ladislav; Durbisova, Simona] Pavol Jozef Safarik Univ Kosice, Fac Arts, Dept Psychol, Moyzesova 9, Kosice 04059, Slovakia</t>
  </si>
  <si>
    <t>University of Pavol Jozef Safarik Kosice</t>
  </si>
  <si>
    <t>Bavolar, J (corresponding author), Pavol Jozef Safarik Univ Kosice, Fac Arts, Dept Psychol, Moyzesova 9, Kosice 04059, Slovakia.</t>
  </si>
  <si>
    <t>jozef.bavolar@upjs.sk</t>
  </si>
  <si>
    <t>Kačmár, Pavol/AAT-2990-2020</t>
  </si>
  <si>
    <t>Kačmár, Pavol/0000-0003-0076-1945</t>
  </si>
  <si>
    <t>Slovak Research and Development Agency [APVV-19-0284]; Scientific Grant Agency of the Ministry of Education, Science, Research and Sport of the Slovak Republic and Slovak Academy of Sciences [1/0853/21, 1/0145/23]</t>
  </si>
  <si>
    <t>Slovak Research and Development Agency(Slovak Research and Development Agency); Scientific Grant Agency of the Ministry of Education, Science, Research and Sport of the Slovak Republic and Slovak Academy of Sciences(Slovak Academy of Sciences)</t>
  </si>
  <si>
    <t>This work was supported by the Slovak Research and Development Agency (Contract No. APVV-19-0284) and by the Scientific Grant Agency of the Ministry of Education, Science, Research and Sport of the Slovak Republic and Slovak Academy of Sciences- Contract No. 1/0853/21 (P.K.) and Contract No. 1/0145/23 (S.D.).</t>
  </si>
  <si>
    <t>0894-3257</t>
  </si>
  <si>
    <t>1099-0771</t>
  </si>
  <si>
    <t>J BEHAV DECIS MAKING</t>
  </si>
  <si>
    <t>J. Behav. Decis. Mak.</t>
  </si>
  <si>
    <t>AUG 28</t>
  </si>
  <si>
    <t>e2349</t>
  </si>
  <si>
    <t>10.1002/bdm.2349</t>
  </si>
  <si>
    <t>Psychology, Applied</t>
  </si>
  <si>
    <t>Q4TU3</t>
  </si>
  <si>
    <t>WOS:001057468800001</t>
  </si>
  <si>
    <t>Biswas, A; Das, B; Pal, P; Ghosh, A; Chattopadhyay, N</t>
  </si>
  <si>
    <t>Biswas, Arnab; Das, Bikash; Pal, Pulak; Ghosh, Aswini; Chattopadhyay, Nitin</t>
  </si>
  <si>
    <t>Proton-Conducting Hierarchical Composite Hydrogels Producing First Soft Memcapacitors with Switchable Memory</t>
  </si>
  <si>
    <t>cationic micelles; composite hydrogels; memcapacitance; proton conductivity; volatile memory</t>
  </si>
  <si>
    <t>LITHIUM-ION BATTERIES; POLYMER ELECTROLYTES; ORGANIC FRAMEWORK; METALLOGELS; VISCOSITY; ENERGIES; MICELLES; BEHAVIOR; LIQUIDS; STORAGE</t>
  </si>
  <si>
    <t>Perpetual exigency for environment friendly clean energy and powerful soft electronics has elevated the research on hydrogels in past two decades. Hydrogels are the amplifiers of material properties using manipulation in structure-property relationship via simple, economic yet effective routes. Herein, a set of composite and hybrid hydrogels are developed by hierarchical assembling of clay nanosheets and surfactant micelles those divulge the first example of memcapacitor gels and offer exceptional proton conductivity (1.66-4.34 x 10(-2) S cm(-1)) as a gel material. Further, Congo red, Eosin Y, and Orange G are used to hybridize one of the composites to achieve three hybrid hydrogels. Such hybridization is found to regulate the memristive function selectively from the coupled effect of memcapacitance from the composite. The composite hydrogel highlights its volatile memory with encouraging robustness under environmental conditions, established through various current-voltage (I-V) experiments. The electrochemical behaviors including the high proton conductivity are realized from impedance measurements. Material characterizations, experimental results, and in silico optimized structures rationalize composite/hybrid network formation, capacitive/memristive responses, and enhanced proton conduction in the fabricated composite superstructures. Proposed structural models demonstrate two orthogonally oriented structural encryptions to be accountable for the expressed bifunctionality in the hierarchically designed superstructures.</t>
  </si>
  <si>
    <t>[Biswas, Arnab; Chattopadhyay, Nitin] Jadavpur Univ, Dept Chem, Kolkata 700 032, West Bengal, India; [Das, Bikash; Pal, Pulak; Ghosh, Aswini] Indian Assoc Cultivat Sci, Sch Phys Sci, Kolkata 700032, West Bengal, India</t>
  </si>
  <si>
    <t>Jadavpur University; Department of Science &amp; Technology (India); Indian Association for the Cultivation of Science (IACS) - Jadavpur</t>
  </si>
  <si>
    <t>Biswas, A; Chattopadhyay, N (corresponding author), Jadavpur Univ, Dept Chem, Kolkata 700 032, West Bengal, India.</t>
  </si>
  <si>
    <t>arnabhdf@gmail.com; nitinkchattopadhyay@jadavpuruniversity.in</t>
  </si>
  <si>
    <t>Ghosh, Aswini/C-3207-2009</t>
  </si>
  <si>
    <t>Ghosh, Aswini/0000-0003-4713-9854; Chattopadhyay, Nitin/0000-0002-4103-0199</t>
  </si>
  <si>
    <t>A.B. is indebted to UGC, India, for financial support through DSK Postdoctoral Fellowship scheme [F.4-2/2006 (BSR)/CH/18-19/0333]. N.C. thankfully acknowledges financial support from CSIR, India, through the project [01(3065)/21/EMR-II]. B.D. and P.P. than [01(3065)/21/EMR-II]; UGC, India [CRG/2021/004334]; CSIR, India; IACS, Kolkata; DAE, Govt of India, for Raja Ramanna Fellowship; (Surat, India); BHU, UP, India; [F.4-2/2006 (BSR)/CH/18-19/0333]</t>
  </si>
  <si>
    <t>A.B. is indebted to UGC, India, for financial support through DSK Postdoctoral Fellowship scheme [F.4-2/2006 (BSR)/CH/18-19/0333]. N.C. thankfully acknowledges financial support from CSIR, India, through the project [01(3065)/21/EMR-II]. B.D. and P.P. than; UGC, India(University Grants Commission, India); CSIR, India(Council of Scientific &amp; Industrial Research (CSIR) - India); IACS, Kolkata; DAE, Govt of India, for Raja Ramanna Fellowship; (Surat, India); BHU, UP, India;</t>
  </si>
  <si>
    <t>A.B. is indebted to UGC, India, for financial support through DSK Postdoctoral Fellowship scheme [F.4-2/2006 (BSR)/CH/18-19/0333]. N.C. thankfully acknowledges financial support from CSIR, India, through the project [01(3065)/21/EMR-II]. B.D. and P.P. thank IACS, Kolkata for the research fellowships. A.G. acknowledges DAE, Govt of India, for Raja Ramanna Fellowship. Authors sincerely acknowledge the academic and technical help provided by Dr. Subhadeep Datta, IACS, using the financial support from the DST-SERB grant no. CRG/2021/004334. Dr. Sumit K Panja (UTU, Surat, India), Dr. Rohit Kunar (Zoology), and Dr. Kheyanath Mitra (Chemistry), BHU, UP, India, are acknowledged for valued discussions during certain analyses. Partha P. Bhattacharya and Dibyodok De, Kolkata, India are acknowledged for their help in acquiring Laponite XLG nanoclay.</t>
  </si>
  <si>
    <t>10.1002/adfm.202307618</t>
  </si>
  <si>
    <t>Q3TM7</t>
  </si>
  <si>
    <t>WOS:001056776400001</t>
  </si>
  <si>
    <t>Chen, Y; Lu, S; Abedi, SAA; Jeong, M; Li, H; Kim, MH; Park, S; Liu, X; Yoon, J; Chen, X</t>
  </si>
  <si>
    <t>Chen, Yahui; Lu, Sheng; Abedi, Syed Ali Abbas; Jeong, Minseok; Li, Haidong; Kim, Myung Hwa; Park, Sungnam; Liu, Xiaogang; Yoon, Juyoung; Chen, Xiaoqiang</t>
  </si>
  <si>
    <t>Janus-Type ESIPT Chromophores with Distinctive Intramolecular Hydrogen-bonding Selectivity</t>
  </si>
  <si>
    <t>Competitive Hydrogen Bond Acceptors; Excited-State Intramolecular Proton Transfer; Janus-Type; Quantum Chemical Calculations</t>
  </si>
  <si>
    <t>ACTIVATED DELAYED FLUORESCENCE; AGGREGATION-INDUCED EMISSION; RATIOMETRIC DETECTION; PROTON-TRANSFER; MOLECULAR-CONFORMATION; CRYSTALS; PROBE</t>
  </si>
  <si>
    <t>Excited-state intramolecular proton transfer (ESIPT)-based solid luminescent materials with multiple hydrogen bond acceptors (HBAs) remain unexplored. Herein, we introduced a family of Janus-type ESIPT chromophores featuring distinctive hydrogen bond (H-bond) selectivity between competitive HBAs in a single molecule. Our investigations showed that the central hydroxyl group preferentially forms intramolecular H-bonds with imines in imine-modified 2-hydroxyphenyl benzothiazole (HBT) chromophores but tethers the benzothiazole moiety in hydrazone-modified HBT chromophores. Imine-derived HBTs generally exhibit higher fluorescence efficiency, while hydrazone-derived HBTs show a reduced overlap between the absorption and fluorescence bands. Quantum chemical calculations unveiled the molecular origins of the biased intramolecular H-bonds and their impact on the ESIPT process. This Janus-type ESIPT chromophore skeleton provides new opportunities for the design of solid luminescent materials.</t>
  </si>
  <si>
    <t>[Chen, Yahui; Lu, Sheng; Chen, Xiaoqiang] Nanjing Tech Univ, Coll Chem Engn, Jiangsu Natl Synerget Innovat Ctr Adv Mat SICAM, State Key Lab Mat Oriented Chem Engn, Nanjing 211816, Peoples R China; [Chen, Yahui; Kim, Myung Hwa; Yoon, Juyoung] Ewha Womans Univ, Dept Chem &amp; Nanosci, Seoul 03760, South Korea; [Abedi, Syed Ali Abbas; Liu, Xiaogang] Singapore Univ Technol &amp; Design, Fluorescence Res Grp, 8 Somapah Rd, Singapore 487372, Singapore; [Jeong, Minseok; Park, Sungnam] Korea Univ, Dept Chem, Seoul 02841, South Korea; [Jeong, Minseok; Park, Sungnam] Korea Univ, Res Inst Nat Sci, Seoul 02841, South Korea; [Chen, Yahui; Kim, Myung Hwa] Ewha Womans Univ, New &amp; Renewable Energy Res Ctr, Seoul 03760, South Korea; [Li, Haidong] Dalian Univ Technol, Sch Bioengn, Hitech Zone, 2 Linggong Rd, Dalian 116024, Peoples R China</t>
  </si>
  <si>
    <t>Nanjing Tech University; Ewha Womans University; Singapore University of Technology &amp; Design; Korea University; Korea University; Ewha Womans University; Dalian University of Technology</t>
  </si>
  <si>
    <t>Chen, X (corresponding author), Nanjing Tech Univ, Coll Chem Engn, Jiangsu Natl Synerget Innovat Ctr Adv Mat SICAM, State Key Lab Mat Oriented Chem Engn, Nanjing 211816, Peoples R China.;Yoon, J (corresponding author), Ewha Womans Univ, Dept Chem &amp; Nanosci, Seoul 03760, South Korea.;Liu, X (corresponding author), Singapore Univ Technol &amp; Design, Fluorescence Res Grp, 8 Somapah Rd, Singapore 487372, Singapore.;Park, S (corresponding author), Korea Univ, Dept Chem, Seoul 02841, South Korea.;Park, S (corresponding author), Korea Univ, Res Inst Nat Sci, Seoul 02841, South Korea.</t>
  </si>
  <si>
    <t>spark8@korea.ac.kr; xiaogang_liu@sutd.edu.sg; jyoon@ewha.ac.kr; chenxq@njtech.edu.cn</t>
  </si>
  <si>
    <t>Abedi, Syed Ali Abbas/0000-0001-6131-5039</t>
  </si>
  <si>
    <t>National Natural Science Foundation of China [NRF-2018R1A6A1A03025340]; Natural Science Foundation of Jiangsu Province [2022R1A2C3005420]; Basic Science Research Program through the National Research Foundation of Korea (NRF) - Ministry of Education [2019R1A6A1A11044070, A2083c0051]; Korean government (MSIT) [MOE- MOET2EP10120-0007]; A*STAR under its Advanced Manufacturing and Engineering Program; Ministry of Education, Singapore; [22278224]</t>
  </si>
  <si>
    <t>National Natural Science Foundation of China(National Natural Science Foundation of China (NSFC)); Natural Science Foundation of Jiangsu Province(Natural Science Foundation of Jiangsu Province); Basic Science Research Program through the National Research Foundation of Korea (NRF) - Ministry of Education(National Research Foundation of KoreaMinistry of Education (MOE), Republic of KoreaNational Research Council for Economics, Humanities &amp; Social Sciences, Republic of Korea); Korean government (MSIT)(Ministry of Science &amp; ICT (MSIT), Republic of Korea); A*STAR under its Advanced Manufacturing and Engineering Program(Agency for Science Technology &amp; Research (A*STAR)); Ministry of Education, Singapore(Ministry of Education, Singapore);</t>
  </si>
  <si>
    <t>The work was supported financially by the National Natural Science Foundation of China (22278224 and 21978131 for X. C.) and the Natural Science Foundation of Jiangsu Province (BK20200691 for S. L.). This work was also supported by the Basic Science Research Program through the National Research Foundation of Korea (NRF) funded by the Ministry of Education (NRF-2018R1A6A1A03025340) and the Korean government (MSIT) (2022R1A2C3005420 for J. Y. and 2019R1A6A1A11044070 for S. P.). X. L. acknowledged support from A*STAR under its Advanced Manufacturing and Engineering Program (A2083c0051) and the Ministry of Education, Singapore (MOE- MOET2EP10120-0007). The authors are grateful for the supercomputing resources of SUTD-MIT IDC and the National Supercomputing Centre (Singapore). We thanked the measurements of XRD using the single-crystal X-ray spectrometer (Bruker APEX-II CCD) at the National Research Facilities and Equipment Center (NanoBioEnergy Materials Center) at Ewha Womans University.</t>
  </si>
  <si>
    <t>e202311543</t>
  </si>
  <si>
    <t>10.1002/anie.202311543</t>
  </si>
  <si>
    <t>Q1ID7</t>
  </si>
  <si>
    <t>WOS:001055113900001</t>
  </si>
  <si>
    <t>Dargaud, Y; Fontana, P; Fenaux, P; Hermans, C</t>
  </si>
  <si>
    <t>Dargaud, Yesim; Fontana, Pierre; Fenaux, Pierre; Hermans, Cedric</t>
  </si>
  <si>
    <t>Specialist training in thrombosis and haemostasis across Europe: From aspirations to actions</t>
  </si>
  <si>
    <t>HAEMOPHILIA</t>
  </si>
  <si>
    <t>[Dargaud, Yesim] Hosp Civils Lyon, Natl Reference Ctr Haemophilia, Clin Haemostasis Unit, Lyon, France; [Dargaud, Yesim] Univ Claude Bernard Lyon 1, Lyon, France; [Fontana, Pierre] Univ Hosp Geneva, Div Angiol &amp; Haemostasis, Geneva, Switzerland; [Fenaux, Pierre] ERN EuroBloodNet, European Reference Network Rare Hematol Dis, Paris, France; [Hermans, Cedric] Univ Catholique Louvain UC Louvain, Clin Univ St Luc, Div Hematol, Louvain, Belgium; [Dargaud, Yesim] Univ Lyon 1, Fac Med Lyon Est, UR4609, Hemostase &amp; Thrombose, 8 Rue Guillaume Paradin, F-69008 Lyon, France</t>
  </si>
  <si>
    <t>CHU Lyon; UDICE-French Research Universities; Universite Claude Bernard Lyon 1; University of Geneva; Universite Catholique Louvain; Cliniques Universitaires Saint-Luc; UDICE-French Research Universities; Universite Claude Bernard Lyon 1</t>
  </si>
  <si>
    <t>Dargaud, Y (corresponding author), Univ Lyon 1, Fac Med Lyon Est, UR4609, Hemostase &amp; Thrombose, 8 Rue Guillaume Paradin, F-69008 Lyon, France.</t>
  </si>
  <si>
    <t>ydargaud@univ-lyon1.fr</t>
  </si>
  <si>
    <t>Fontana, Pierre/M-3702-2014</t>
  </si>
  <si>
    <t>Fontana, Pierre/0000-0003-1546-0774</t>
  </si>
  <si>
    <t>The authors thank the European Tamp;amp;H specialists who participated in the survey.</t>
  </si>
  <si>
    <t>The authors thank the European T &amp; amp;H specialists who participated in the survey.</t>
  </si>
  <si>
    <t>1351-8216</t>
  </si>
  <si>
    <t>1365-2516</t>
  </si>
  <si>
    <t>Haemophilia</t>
  </si>
  <si>
    <t>2023 AUG 28</t>
  </si>
  <si>
    <t>10.1111/hae.14829</t>
  </si>
  <si>
    <t>R3VE0</t>
  </si>
  <si>
    <t>WOS:001063652600001</t>
  </si>
  <si>
    <t>Fontanetta, E</t>
  </si>
  <si>
    <t>Fontanetta, Emily</t>
  </si>
  <si>
    <t>Sweet dreams are made of this: The need for narrowly tailored statutory protection for documented dreamers</t>
  </si>
  <si>
    <t>aging out; backlog; bipartisan support; competition; congress; dependent; documented dreamers; dual-intent; economic growth; immigrant visa; immigration and nationality act; new visa status; nonimmigrant visa; plenary power; U.S. citizenship and immigration services</t>
  </si>
  <si>
    <t>The growing backlog of immigrant visa petitions and legal permanent resident adjustment applications is a harsh reality of the American dream. Dependent children of immigrants can wait decades for their parents' visas to become current, only to age out of dependent status before stepping foot on American soil. Dependent children of nonimmigrants seeking to become legal permanent residents age out before their parents' adjustment application is approved - leaving them at risk of removal. This Note proposes a temporary visa status for these dependents, allowing them to maintain legal status in America and remain with their parents. In a letter to the Department of Homeland Security, a group of America's largest companies warn that, without intervention, as many as 200,000 children in the United States risk aging out of their parents' immigration status and will likely be sent back to their birth country, forcibly separated from their parents. The average age of dependents brought to the United States with the expectation of living here permanently is 5 years old.Existing and proposed legislation reflects a protective spirit towards children in the immigration system; however, there is no remedy directly on point with the aging out problem.Companies like Google, Amazon, IBM, Salesforce, Twitter, and Uber are losing out on foreign-born talent, integral to their growth, who either cannot get into the United States or are deterred by the stringent immigration policy and thus take their expertise to China or other competitive countries.Children of immigrants exhibit high intellectual achievement, particularly in STEM fields, filling a gap in the American workforce.</t>
  </si>
  <si>
    <t>[Fontanetta, Emily] Hofstra Univ, Maurice A Deane Sch Law, Hempstead, NY 11549 USA</t>
  </si>
  <si>
    <t>Hofstra University</t>
  </si>
  <si>
    <t>Fontanetta, E (corresponding author), Hofstra Univ, Maurice A Deane Sch Law, Hempstead, NY 11549 USA.</t>
  </si>
  <si>
    <t>emilyfontanetta.fcrme@gmail.com</t>
  </si>
  <si>
    <t>10.1111/fcre.12746</t>
  </si>
  <si>
    <t>Q8YM5</t>
  </si>
  <si>
    <t>WOS:001060320400001</t>
  </si>
  <si>
    <t>Hajkova, A</t>
  </si>
  <si>
    <t>Hajkova, Alzbeta</t>
  </si>
  <si>
    <t>What would I do?: Political action under oppression in Arendt</t>
  </si>
  <si>
    <t>CONSTELLATIONS-AN INTERNATIONAL JOURNAL OF CRITICAL AND DEMOCRATIC THEORY</t>
  </si>
  <si>
    <t>HANNAH ARENDT; LITTLE-ROCK; ARENDT,HANNAH; REFLECTIONS; AMERICA; SELF</t>
  </si>
  <si>
    <t>[Hajkova, Alzbeta] Georgia Inst Technol, Sch Publ Policy, Atlanta, GA USA; [Hajkova, Alzbeta] Georgia Inst Technol, Sch Publ Policy, Atlanta, GA 30332 USA</t>
  </si>
  <si>
    <t>University System of Georgia; Georgia Institute of Technology; University System of Georgia; Georgia Institute of Technology</t>
  </si>
  <si>
    <t>Hajkova, A (corresponding author), Georgia Inst Technol, Sch Publ Policy, Atlanta, GA 30332 USA.</t>
  </si>
  <si>
    <t>ahajkova3@gatech.edu</t>
  </si>
  <si>
    <t>1351-0487</t>
  </si>
  <si>
    <t>1467-8675</t>
  </si>
  <si>
    <t>CONSTELLATIONS</t>
  </si>
  <si>
    <t>Constellations</t>
  </si>
  <si>
    <t>10.1111/1467-8675.12704</t>
  </si>
  <si>
    <t>Political Science</t>
  </si>
  <si>
    <t>Government &amp; Law</t>
  </si>
  <si>
    <t>R3VC9</t>
  </si>
  <si>
    <t>WOS:001063651500001</t>
  </si>
  <si>
    <t>Huang, T; Sun, ZY</t>
  </si>
  <si>
    <t>Huang, Tao; Sun, Zeyu</t>
  </si>
  <si>
    <t>Climate policy uncertainty and firm investment</t>
  </si>
  <si>
    <t>INTERNATIONAL JOURNAL OF FINANCE &amp; ECONOMICS</t>
  </si>
  <si>
    <t>climate policy uncertainty; firm investment; investment irreversibility</t>
  </si>
  <si>
    <t>CROSS-SECTION</t>
  </si>
  <si>
    <t>This article investigates the relation between climate policy uncertainty and firm investment in China. We quantify climate policy uncertainty in China based on the news from two leading mainland newspapers: the Renmin Daily and the Guangming Daily. Using the sample of Chinese A-share companies from January 2003 to September 2021, we find robust evidence that firms exhibit lower levels of investment when facing to higher climate policy uncertainty. Specifically, we also show that this negative effect is more profound for state-owned enterprises, carbon-intensive enterprises, and enterprises with lower risk taking. The results also give evidence that the effect of climate policy uncertainty on firm investment can last up to three quarters and disappear within 1 year. Finally, we propose that investment irreversibility is plausible channel through which climate policy uncertainty discourages investment. Overall, these results shed light on the real effects of climate policy uncertainty and the determinants of investment.</t>
  </si>
  <si>
    <t>[Huang, Tao] Liaoning Univ, Sch Finance &amp; Trade, Shenyang, Peoples R China; [Sun, Zeyu] Cent Univ Finance &amp; Econ, Sch Finance, Beijing, Peoples R China</t>
  </si>
  <si>
    <t>Liaoning University; Central University of Finance &amp; Economics</t>
  </si>
  <si>
    <t>Sun, ZY (corresponding author), Cent Univ Finance &amp; Econ, Sch Finance, Beijing, Peoples R China.</t>
  </si>
  <si>
    <t>sun_zy@email.cufe.edu.cn</t>
  </si>
  <si>
    <t>The authors acknowledge the helpful comments made by two anonymous referees. We also extend our thanks to the editorial team for their valuable comments.</t>
  </si>
  <si>
    <t>1076-9307</t>
  </si>
  <si>
    <t>1099-1158</t>
  </si>
  <si>
    <t>INT J FINANC ECON</t>
  </si>
  <si>
    <t>Int. J. Financ. Econ.</t>
  </si>
  <si>
    <t>10.1002/ijfe.2881</t>
  </si>
  <si>
    <t>R3VI3</t>
  </si>
  <si>
    <t>WOS:001063656900001</t>
  </si>
  <si>
    <t>Johnson, R; Liebing, P; Musikanth, DP; Regitz, SA; Amenta, DS; Goldhahn, R; Edelmann, FT; Gilje, JW</t>
  </si>
  <si>
    <t>Johnson, Ryan; Liebing, Phil; Musikanth, Daniel P.; Regitz, Stuart A.; Amenta, Donna S.; Goldhahn, Ruediger; Edelmann, Frank T.; Gilje, John W.</t>
  </si>
  <si>
    <t>Pyrazolylpropanoate Complexes of Palladium(II) Chloride</t>
  </si>
  <si>
    <t>ZEITSCHRIFT FUR ANORGANISCHE UND ALLGEMEINE CHEMIE</t>
  </si>
  <si>
    <t>Palladium; 3-(pyrazol-1-yl)methylpropanoate; 3-(2,4-dimethylpyrazol-1-yl)methylpropanoate; complex isomerism; crystal structures</t>
  </si>
  <si>
    <t>METAL-ORGANIC FRAMEWORKS; PYRAZOLE</t>
  </si>
  <si>
    <t>The syntheses of the new ligands 3-(pyrazol-1-yl)methylpropanoate (L1) and 3-(2,4-dimethylpyrazol-1-yl)methylpropanoate (L2) and their complexation with palladium(II) have been investigated. In our hands L1 is best prepared by a Michael addition catalyzed by Cs2CO3 and L2 by a catalyst- and solvent-free reaction. Both L1 and L2 react with PdCl2(COD) to produce trans-PdCl2(L1)(2) (3) and trans-PdCl2(L2)2 (4) respectively. The crystal structures of both new complexes have been determined. An isomerization has been observed when complex 4 is dissolved in CDCl3 or CD3CN. Kinetic data indicate that this is an equilibrium that is first order in both directions. We suggest this may be due to the isomerization of the trans- to the cis-isomer. Their ease of preparation in nearly quantitative yields make the new ligands L1 and L2 potentially useful for further studies.</t>
  </si>
  <si>
    <t>[Johnson, Ryan; Musikanth, Daniel P.; Regitz, Stuart A.; Amenta, Donna S.; Gilje, John W.] James Madison Univ, Dept Chem &amp; Biochem, MSC 4501, Harrisonburg, VA 22807 USA; [Liebing, Phil] Friedrich Schiller Univ Jena, Inst Anorgan &amp; Analyt Chem, Humboldtstr 8, D-07743 Jena, Germany; [Goldhahn, Ruediger; Edelmann, Frank T.] Univ Magdeburg, Inst Phys Otto von Guericke, Univ pl 2, D-39106 Magdeburg, Germany</t>
  </si>
  <si>
    <t>James Madison University; Friedrich Schiller University of Jena; Otto von Guericke University</t>
  </si>
  <si>
    <t>Amenta, DS; Gilje, JW (corresponding author), James Madison Univ, Dept Chem &amp; Biochem, MSC 4501, Harrisonburg, VA 22807 USA.;Edelmann, FT (corresponding author), Univ Magdeburg, Inst Phys Otto von Guericke, Univ pl 2, D-39106 Magdeburg, Germany.</t>
  </si>
  <si>
    <t>amentads@jmu.edu; frank.edelmann@ovgu.de; giljejw@jmu.edu</t>
  </si>
  <si>
    <t>; Goldhahn, Rudiger/A-9477-2008</t>
  </si>
  <si>
    <t>Gilje, John/0000-0002-1766-4298; Goldhahn, Rudiger/0000-0001-8296-2331; Liebing, Phil/0000-0002-4660-1691; Edelmann, Frank T./0000-0001-5209-0018</t>
  </si>
  <si>
    <t>National Science Foundation - United States [CHE-1062629, 1461175]; Otto-von-Guericke-Universitat Magdeburg; Projekt DEAL</t>
  </si>
  <si>
    <t>National Science Foundation - United States(National Science Foundation (NSF)); Otto-von-Guericke-Universitat Magdeburg; Projekt DEAL</t>
  </si>
  <si>
    <t>The material is based on work supported by the National Science Foundation - United States under CHE-1062629 and 1461175. General financial support of this work by the Otto-von-Guericke-Universitat Magdeburg is also gratefully acknowledged. Open Access funding enabled and organized by Projekt DEAL.</t>
  </si>
  <si>
    <t>0044-2313</t>
  </si>
  <si>
    <t>1521-3749</t>
  </si>
  <si>
    <t>Z ANORG ALLG CHEM</t>
  </si>
  <si>
    <t>Z. Anorg. Allg. Chem.</t>
  </si>
  <si>
    <t>e202300076</t>
  </si>
  <si>
    <t>10.1002/zaac.202300076</t>
  </si>
  <si>
    <t>Q2AX1</t>
  </si>
  <si>
    <t>WOS:001055606900001</t>
  </si>
  <si>
    <t>Kim, S; Kim, JH</t>
  </si>
  <si>
    <t>Kim, Sunkook; Kim, Jung Ho</t>
  </si>
  <si>
    <t>Integration of smart electronics and energy systems</t>
  </si>
  <si>
    <t>[Kim, Sunkook] Sungkyunkwan Univ SKKU, Sch Adv Mat Sci &amp; Engn, Suwon, Gyeonggi Do, South Korea; [Kim, Jung Ho] Univ Wollongong, Inst Superconducting &amp; Elect Mat, Australian Inst Innovat Mat, North Wollongong, NSW, Australia; [Kim, Sunkook] Sungkyunkwan Univ SKKU, Sch Adv Mat Sci &amp; Engn, 2066 Seobu ro, Suwon 16419, Gyeonggi Do, South Korea</t>
  </si>
  <si>
    <t>Sungkyunkwan University (SKKU); University of Wollongong; Sungkyunkwan University (SKKU)</t>
  </si>
  <si>
    <t>Kim, JH (corresponding author), Univ Wollongong, Inst Superconducting &amp; Elect Mat, Australian Inst Innovat Mat, North Wollongong, NSW, Australia.;Kim, S (corresponding author), Sungkyunkwan Univ SKKU, Sch Adv Mat Sci &amp; Engn, 2066 Seobu ro, Suwon 16419, Gyeonggi Do, South Korea.</t>
  </si>
  <si>
    <t>seonkuk@skku.edu; jhk@uow.edu.au</t>
  </si>
  <si>
    <t>e12404</t>
  </si>
  <si>
    <t>10.1002/eom2.12404</t>
  </si>
  <si>
    <t>Q4RR5</t>
  </si>
  <si>
    <t>WOS:001057414000001</t>
  </si>
  <si>
    <t>Kolli, AR</t>
  </si>
  <si>
    <t>Kolli, Aditya R.</t>
  </si>
  <si>
    <t>Deriving protein binding-corrected chemical concentrations for in vitro testing</t>
  </si>
  <si>
    <t>PLASMA-PROTEIN; SPECIES-DIFFERENCES; DISPOSITION; METABOLISM; RITONAVIR; LOPINAVIR; DRUGS; DOGS; RATS</t>
  </si>
  <si>
    <t>Extracellular chemical concentrations are considered physiologically relevant for in vitro testing and are evaluated in traditional in vitro systems using cell culture media containing 5%-10% fetal bovine serum (FBS). However, depending on the physicochemical properties, and in vitro testing conditions, cells could be exposed to variable unbound extracellular concentrations. If in vitro unbound concentrations are not calculated, it is challenging to distinguish the chemical potency and concentration-driven responses. In this study, one- and two-protein binding models were used to estimate protein binding corrected chemical concentrations of various chemicals for in vitro testing. As ceftizoxime, moxifloxacin, and nicotine have low protein binding affinity, the in vitro protein binding in 5%-10% FBS is less than 5% and can be considered negligible. However, protein binding of moderate and highly protein-bound chemicals must be corrected for as the in vitro unbound concentrations in 5%-10% FBS containing cell culture media will vary over a range of chemical concentrations. In vitro pharmacological and toxicological assessments must incorporate protein binding-adjusted in vitro concentrations to ensure physiologically relevant exposures. A user-friendly Excel spreadsheet is provided to help bench scientists calculate protein binding-corrected chemical concentrations for in vitro testing.</t>
  </si>
  <si>
    <t>[Kolli, Aditya R.] Philip Morris Prod SA, PMI R&amp;D, Quai Jeanrenaud 5, CH-2000 Neuchatel, Switzerland</t>
  </si>
  <si>
    <t>Philip Morris International Inc</t>
  </si>
  <si>
    <t>Kolli, AR (corresponding author), Philip Morris Prod SA, PMI R&amp;D, Quai Jeanrenaud 5, CH-2000 Neuchatel, Switzerland.</t>
  </si>
  <si>
    <t>AdityaReddy.Kolli@pmi.com</t>
  </si>
  <si>
    <t>Kolli, Aditya Reddy/AAC-8332-2021</t>
  </si>
  <si>
    <t>Kolli, Aditya Reddy/0000-0002-4275-4260</t>
  </si>
  <si>
    <t>The author thanks Florian Calvino-Martin for reviewing the manuscript. The author acknowledges scientific editorial, legal, and external affairs teams at Philip Morris International for reviewing the manuscript, which did not result in any scientific chang</t>
  </si>
  <si>
    <t>The author thanks Florian Calvino-Martin for reviewing the manuscript. The author acknowledges scientific editorial, legal, and external affairs teams at Philip Morris International for reviewing the manuscript, which did not result in any scientific changes.</t>
  </si>
  <si>
    <t>10.1111/cts.13616</t>
  </si>
  <si>
    <t>Q8OA2</t>
  </si>
  <si>
    <t>WOS:001060048000001</t>
  </si>
  <si>
    <t>Metin, ZE; Tengilimoglu-Metin, MM; Oguz, N; Kizil, M</t>
  </si>
  <si>
    <t>Metin, Ziya Erokay; Tengilimoglu-Metin, M. Merve; Oguz, Nuh; Kizil, Mevlude</t>
  </si>
  <si>
    <t>Is inflammatory potential of the diet related to oral and periodontal health?</t>
  </si>
  <si>
    <t>diet; dietary inflammatory index; gingival index; inflammation; periodontal diseases; periodontal health</t>
  </si>
  <si>
    <t>GINGIVAL INDEX; DENTAL-CARIES; DISEASE; CONSUMPTION; NUTRITION; IMPACT; FIBER</t>
  </si>
  <si>
    <t>Inflammation is among the risks of periodontal diseases. The relationship between the inflammatory load of the diet and inflammation has been shown in previous studies, but the relationship between periodontal diseases and the inflammatory load of the diet is not clear. In this study, it was aimed to examine the relationship between dietary inflammatory index (DII) and periodontal health. Board approved the protocol. Information about the study was given to the patients who met the criteria of the study and agreed to participate in the study. Oral health status was evaluated by measuring the Decayed, Missing, and Filled Teeth (DMFT). Periodontal health status was determined using the plaque index (PI) and gingival index (GI). Twenty-four-hour dietary record was taken for 1 day to calculate the inflammatory load gained from daily diet, and the DII score was used. The study group consisted of 138 participants. DMFT scores were found with median 4.0, and no statistically significant difference was observed between DII quartiles. 65.8% of the participants had absence or small amount of plaque accumulation, while 39.2% had moderate or dense amount of plaque accumulation according to the PI classification. While DII did not differ by PI classification, DII quartile between second and third found a difference according to the GI classification. The new definition of periodontal health has been proposed as the absence of clinically detectable inflammation. It seems that pro-inflammatory properties of the diet and periodontal health are related. But future randomized controlled trials are needed.</t>
  </si>
  <si>
    <t>[Metin, Ziya Erokay] Hlth Sci Univ, Gulhane Fac Hlth Sci, Dept Nutr &amp; Dietet, Ankara, Turkiye; [Tengilimoglu-Metin, M. Merve; Kizil, Mevlude] Hacettepe Univ, Fac Hlth Sci, Dept Nutr &amp; Dietet, Ankara, Turkiye; [Oguz, Nuh] Presidential Hlth Ctr Republ Turkey, Ankara, Turkiye</t>
  </si>
  <si>
    <t>University of Health Sciences Turkey; Hacettepe University</t>
  </si>
  <si>
    <t>Metin, ZE (corresponding author), Hlth Sci Univ, Gulhane Fac Hlth Sci, Dept Nutr &amp; Dietet, Ankara, Turkiye.</t>
  </si>
  <si>
    <t>metinziya.erokay@sbu.edu.tr</t>
  </si>
  <si>
    <t>The authors acknowledge the participants who participated in this study.</t>
  </si>
  <si>
    <t>e4253</t>
  </si>
  <si>
    <t>10.1002/fsn3.3641</t>
  </si>
  <si>
    <t>Q3VP5</t>
  </si>
  <si>
    <t>WOS:001056832500001</t>
  </si>
  <si>
    <t>Peng, XY; Shin, Y; Zervoudakis, AJ; Nomura, K; Lindenmeyer, KM; Miller, KM; Ellison, CJ</t>
  </si>
  <si>
    <t>Peng, Xiayu; Shin, Youngsu; Zervoudakis, Aristotle J.; Nomura, Keiichiro; Lindenmeyer, Katelyn M.; Miller, Kevin M.; Ellison, Christopher J.</t>
  </si>
  <si>
    <t>Poly(ethylene terephthalate)-polyethylene block copolymer architecture effects on interfacial adhesion and blend compatibilization</t>
  </si>
  <si>
    <t>block copolymers; compatibilization; molecular architecture; multilayer films; plastic recycling</t>
  </si>
  <si>
    <t>HIGH-DENSITY POLYETHYLENE; CRITICAL MICELLE CONCENTRATIONS; REACTIVE COMPATIBILIZATION; MULTIBLOCK COPOLYMERS; MECHANICAL COMPATIBILIZATION; HOMOPOLYMER; POLY(ETHYLENE-TEREPHTHALATE); POLYSTYRENE; DIFFUSION; VISCOSITY</t>
  </si>
  <si>
    <t>In this study, poly(ethylene terephthalate)-block-polyethylene (PET-PE) multiblock copolymers (MBCPs) with block molar masses of 4 or 7 kg mol-1 and either alternating or random block sequencing, and a PE-PET-PE triblock copolymer (TBCP) of comparable total molar mass, were synthesized. To explore the effect of molecular architecture on compatibilization, both MBCPs and TBCPs were blended into 80/20 wt/wt mixtures of PET/linear low-density PE (LLDPE). Compatibilization was remarkably efficient for all MBCP types, with the addition of 0.2 wt% yielding blends nearly as tough as PET homopolymer. Addition of MBCP also significantly decreases LLDPE dispersed phase sizes compared to PET/LLDPE neat blends, as much as 80% in as-mixed blends and by a factor of 10 in post-mixing thermally annealed samples. Conversely, the TBCP was less efficient at decreasing domain sizes of the blends and improving the mechanical properties, requiring loadings of 1 wt% to produce comparably tough blends. Peel tests of PET/BCP/LLDPE trilayer films showed that both MBCPs and TBCP all improve interfacial strength over a PET-PE bilayer film by two orders of magnitude; however, when the BCPs were preloaded into LLDPE, only the MBCP containing films showed strong adhesion highlighting their potential utility as adhesive agents in multilayer films.</t>
  </si>
  <si>
    <t>[Peng, Xiayu; Shin, Youngsu; Zervoudakis, Aristotle J.; Nomura, Keiichiro; Ellison, Christopher J.] Univ Minnesota, Dept Chem Engn &amp; Mat Sci, Minneapolis, MN USA; [Nomura, Keiichiro] Toray Industries Ltd, Chem Res Labs, Nagoya, Japan; [Lindenmeyer, Katelyn M.; Miller, Kevin M.] Murray State Univ, Dept Chem, Murray, KY USA; [Ellison, Christopher J.] Univ Minnesota, Dept Chem Engn &amp; Mat Sci, 421 Washington Ave SE, Minneapolis, MN 55455 USA</t>
  </si>
  <si>
    <t>University of Minnesota System; University of Minnesota Twin Cities; Toray Industries, Inc.; Murray State University; University of Minnesota System; University of Minnesota Twin Cities</t>
  </si>
  <si>
    <t>Ellison, CJ (corresponding author), Univ Minnesota, Dept Chem Engn &amp; Mat Sci, 421 Washington Ave SE, Minneapolis, MN 55455 USA.</t>
  </si>
  <si>
    <t>cellison@umn.edu</t>
  </si>
  <si>
    <t>National Science Foundation [CHE-1901635, DMR-2011401, ECCS-2025124]</t>
  </si>
  <si>
    <t>National Science Foundation, Grant/Award Numbers: CHE-1901635, DMR-2011401, ECCS-2025124</t>
  </si>
  <si>
    <t>10.1002/pol.20230404</t>
  </si>
  <si>
    <t>R3UT0</t>
  </si>
  <si>
    <t>WOS:001063641600001</t>
  </si>
  <si>
    <t>Ruby, SA; Wine, B; Blackman, AL; Reed, FD</t>
  </si>
  <si>
    <t>Ruby, Sandra A.; Wine, Byron; Blackman, Abigail L.; DiGennaro Reed, Florence</t>
  </si>
  <si>
    <t>An initial evaluation of staff injuries in human service organizations</t>
  </si>
  <si>
    <t>autism; human service settings; staff injury</t>
  </si>
  <si>
    <t>PROTECTIVE EQUIPMENT; BEHAVIOR; CARE; WORKERS; IMPACT; RATES; RISK</t>
  </si>
  <si>
    <t>Recent data reveal an increase in the likelihood of staff injury for those working in the health care and social assistance industries (United States Bureau of Labor Statistics, 2021). Without information summarizing variables pertaining to staff injury in behavior-analytic service settings, organizational leaders risk the safety of staff they employ. Despite the social relevance, few studies concerning the types of client-related staff injuries have been published. The purpose of this survey was to gather data on the cause, type, bodily location of, and treatment required for staff injury by surveying organizations that serve individuals with autism spectrum disorder. Respondents ranked the leading cause of injury as client-to-staff interactions, type of injury as bite, location of injury as arm, and the most common treatment required as on-site first aid. These initial data could assist in the identification of job tasks that may be associated with increased risk of injury, potential ramifications of client-inflicted injuries on staff performance and organizational outcomes, and how to address injuries in settings within an injury-prone industry. Implications and future research ideas are also discussed.</t>
  </si>
  <si>
    <t>[Ruby, Sandra A.; DiGennaro Reed, Florence] Univ Kansas, Dept Appl Behav Sci, Lawrence, KS USA; [Wine, Byron] Faison Ctr, 5311 Markel Rd, Richmond, VA 23230 USA; [Blackman, Abigail L.] Behav Sci Technol, New London, NH USA</t>
  </si>
  <si>
    <t>University of Kansas</t>
  </si>
  <si>
    <t>Wine, B (corresponding author), Faison Ctr, 5311 Markel Rd, Richmond, VA 23230 USA.</t>
  </si>
  <si>
    <t>bwine@faisoncenter.org</t>
  </si>
  <si>
    <t>10.1002/bin.1976</t>
  </si>
  <si>
    <t>Q9BT9</t>
  </si>
  <si>
    <t>WOS:001060406200001</t>
  </si>
  <si>
    <t>Tang, WT</t>
  </si>
  <si>
    <t>Tang, Wentao</t>
  </si>
  <si>
    <t>Data-driven state observation for nonlinear systems based on online learning</t>
  </si>
  <si>
    <t>AICHE JOURNAL</t>
  </si>
  <si>
    <t>dimensionality reduction; nonlinear systems; online optimization; state observer</t>
  </si>
  <si>
    <t>COMPONENT ANALYSIS; IDENTIFICATION</t>
  </si>
  <si>
    <t>For controlling nonlinear processes represented by state-space models, a state observer is needed to estimate the states from the trajectories of measured variables. While model-based observer synthesis is traditionally challenging due to the difficulty of solving pertinent partial differential equations, this article proposes an efficient model-free, data-driven approach for state observation, which is suitable for data-driven nonlinear control without accurate nonlinear models. Specifically, by using a Chen-Fliess series representation of the observer dynamics, state observation is endowed with an online least squares regression formulation that can be solved by gradient flow with performance guarantees. When the target state trajectories for regression are unavailable, by exploiting the Kazantzis-Kravaris/Luenberger observer structure, state observation is reduced to a dimensionality reduction problem amenable to an online implementation of kernel principal component analysis. The proposed approach is demonstrated by a limit cycle dynamics and a chaotic system.</t>
  </si>
  <si>
    <t>[Tang, Wentao] North Carolina State Univ, Dept Chem &amp; Biomol Engn, Raleigh, NC USA; [Tang, Wentao] North Carolina State Univ, Dept Chem &amp; Biomol Engn, Campus Box 7905, Raleigh, NC 27695 USA</t>
  </si>
  <si>
    <t>North Carolina State University; North Carolina State University</t>
  </si>
  <si>
    <t>Tang, WT (corresponding author), North Carolina State Univ, Dept Chem &amp; Biomol Engn, Campus Box 7905, Raleigh, NC 27695 USA.</t>
  </si>
  <si>
    <t>wentao_tang@ncsu.edu</t>
  </si>
  <si>
    <t>Tang, Wentao/0000-0003-0816-2322</t>
  </si>
  <si>
    <t>The author appreciates the Department of Chemical and Biomolecular Engineering, NC State University for the startup fund.; Department of Chemical and Biomolecular Engineering, NC State University</t>
  </si>
  <si>
    <t>The author appreciates the Department of Chemical and Biomolecular Engineering, NC State University for the startup fund.</t>
  </si>
  <si>
    <t>0001-1541</t>
  </si>
  <si>
    <t>1547-5905</t>
  </si>
  <si>
    <t>AICHE J</t>
  </si>
  <si>
    <t>AICHE J.</t>
  </si>
  <si>
    <t>e18224</t>
  </si>
  <si>
    <t>10.1002/aic.18224</t>
  </si>
  <si>
    <t>Engineering, Chemical</t>
  </si>
  <si>
    <t>Q3UZ9</t>
  </si>
  <si>
    <t>WOS:001056816500001</t>
  </si>
  <si>
    <t>Wang, X; Sun, LY; Li, P; Zhang, ST</t>
  </si>
  <si>
    <t>Wang, Xu; Sun, Liying; Li, Peng; Zhang, Shutian</t>
  </si>
  <si>
    <t>Changes in the gut microbiome can predict and decrease Epstein-Barr virus infection risk in children after liver transplantation</t>
  </si>
  <si>
    <t>TRANSPLANT INFECTIOUS DISEASE</t>
  </si>
  <si>
    <t>gut microbiome; Epstein-Barr virus infection; liver transplantation</t>
  </si>
  <si>
    <t>HOST HEALTH</t>
  </si>
  <si>
    <t>Objective: Primary Epstein-Barr virus (EBV) infection is observed in 60% of children during the first year after liver transplantation as usage of imm-unosuppressant. Finding predictive indicators of EBV infection is important to reduce the morbidity and mortality of EBV infection-related diseases by suggesting a dose reduction of immunosuppressant.Methods: We compared and analysed the gut microbiome of EBV-infected children with an asymptomatic virus-carrying status and EBV-uninfected children after liver transplantation using high-throughput sequencing.Results: Significant differences in gut microbiome composition in two groups were detected. In detail, Firmicutes and Lactobacillus were increased in EBV-infected group, while Clostridium was increased in EBV-uninfected group. Furthermore, CD4 percentage in T cells of blood showed a significant positive correlation with the content of Clostridium sp. CAG: 127 in EBV-uninfected group.Conclusion: Changes in the gut microbiome could predict and decrease the EBV infection risk of children after liver transplantation. image</t>
  </si>
  <si>
    <t>[Wang, Xu; Li, Peng; Zhang, Shutian] Capital Med Univ, Beijing Friendship Hosp, Dept Gastroenterol, Beijing, Peoples R China; [Sun, Liying] Capital Med Univ, Beijing Friendship Hosp, Dept Liver Transplantat, Beijing, Peoples R China</t>
  </si>
  <si>
    <t>Capital Medical University; Capital Medical University</t>
  </si>
  <si>
    <t>Li, P; Zhang, ST (corresponding author), Capital Med Univ, Beijing Friendship Hosp, Dept Gastroenterol, Beijing, Peoples R China.</t>
  </si>
  <si>
    <t>lipeng@ccmu.edu.cn; zhangshutian@ccmu.edu.cn</t>
  </si>
  <si>
    <t>1398-2273</t>
  </si>
  <si>
    <t>1399-3062</t>
  </si>
  <si>
    <t>TRANSPL INFECT DIS</t>
  </si>
  <si>
    <t>Transpl. Infect. Dis.</t>
  </si>
  <si>
    <t>e14114</t>
  </si>
  <si>
    <t>10.1111/tid.14114</t>
  </si>
  <si>
    <t>Immunology; Infectious Diseases; Transplantation</t>
  </si>
  <si>
    <t>Q2CB8</t>
  </si>
  <si>
    <t>WOS:001055638000001</t>
  </si>
  <si>
    <t>Yu, YJ; Feng, ZQ; Meng, XY; Chen, L; Liu, FM; Yang, SY; Zhou, DY; Liao, LS; Jiang, ZQ</t>
  </si>
  <si>
    <t>Yu, You-Jun; Feng, Zi-Qi; Meng, Xin-Yue; Chen, Long; Liu, Fu-Ming; Yang, Sheng-Yi; Zhou, Dong-Ying; Liao, Liang-Sheng; Jiang, Zuo-Quan</t>
  </si>
  <si>
    <t>Introducing Spiro-locks into the Nitrogen/Carbonyl System towards Efficient Narrowband Deep-blue Multi-resonance TADF Emitters</t>
  </si>
  <si>
    <t>Blueshift; Multi-Resonance; Organic Light-Emitting Diodes; Spiro Structure; Thermally Activated Delayed Fluorescence</t>
  </si>
  <si>
    <t>ACTIVATED DELAYED FLUORESCENCE; MOLECULES; HOST</t>
  </si>
  <si>
    <t>The current availability of multi-resonance thermally activated delayed fluorescence (MR-TADF) materials with excellent color purity and high device efficiency in the deep-blue region is appealing. To address this issue in the emerged nitrogen/carbonyl MR-TADF system, we propose a spiro-lock strategy. By incorporating spiro functionalization into a concise molecular skeleton, a series of emitters (SFQ, SOQ, SSQ, and SSeQ) can enhance molecular rigidity, blue-shift the emission peak, narrow the emission band, increase the photoluminescence quantum yield by over 92 %, and suppress intermolecular interactions in the film state. The referent CZQ without spiro structure has a more planar skeleton, and its bluer emission in the solution state redshifts over 40 nm with serious spectrum broadening and a low PLQY in the film state. As a result, SSQ achieves an external quantum efficiency of 25.5 % with a peak at 456 nm and a small full width at half maximum of 31 nm in a simple unsensitized device, significantly outperforming CZQ. This work discloses the importance of spiro-junction in modulating deep-blue MR-TADF emitters.</t>
  </si>
  <si>
    <t>[Yu, You-Jun; Feng, Zi-Qi; Meng, Xin-Yue; Chen, Long; Liu, Fu-Ming; Yang, Sheng-Yi; Zhou, Dong-Ying; Liao, Liang-Sheng; Jiang, Zuo-Quan] Soochow Univ, Inst Funct Nano &amp; Soft Mat FUNSOM, Jiangsu Key Lab Carbon Based Funct Mat &amp; Devices, Suzhou 215123, Jiangsu, Peoples R China; [Liao, Liang-Sheng] Macau Univ Sci &amp; Technol, Macao Inst Mat Sci &amp; Engn, Taipa 999078, Macau, Peoples R China</t>
  </si>
  <si>
    <t>Soochow University - China; Macau University of Science &amp; Technology</t>
  </si>
  <si>
    <t>Jiang, ZQ (corresponding author), Soochow Univ, Inst Funct Nano &amp; Soft Mat FUNSOM, Jiangsu Key Lab Carbon Based Funct Mat &amp; Devices, Suzhou 215123, Jiangsu, Peoples R China.</t>
  </si>
  <si>
    <t>zqjiang@suda.edu.cn</t>
  </si>
  <si>
    <t>The authors acknowledge financial support from the National Natural Science Foundation of China (No. 22175124, 62175171, and 61961160731), the Natural Science Foundation of Jiangsu Province of China (BK20220057), and the Suzhou Science and Technology Plan [62175171, 61961160731, BK20220057]; National Natural Science Foundation of China [SYG202010]; Natural Science Foundation of Jiangsu Province of China; Suzhou Science and Technology Plan Project; Suzhou Key Laboratory of Functional Nano amp;amp; Soft Materials; Collaborative Innovation Center of Suzhou Nano Science amp;amp; Technology; 111 Project; [22175124]</t>
  </si>
  <si>
    <t>The authors acknowledge financial support from the National Natural Science Foundation of China (No. 22175124, 62175171, and 61961160731), the Natural Science Foundation of Jiangsu Province of China (BK20220057), and the Suzhou Science and Technology Plan; National Natural Science Foundation of China(National Natural Science Foundation of China (NSFC)); Natural Science Foundation of Jiangsu Province of China(Natural Science Foundation of Jiangsu Province); Suzhou Science and Technology Plan Project; Suzhou Key Laboratory of Functional Nano amp;amp; Soft Materials; Collaborative Innovation Center of Suzhou Nano Science amp;amp; Technology; 111 Project(Ministry of Education, China - 111 Project);</t>
  </si>
  <si>
    <t>The authors acknowledge financial support from the National Natural Science Foundation of China (No. 22175124, 62175171, and 61961160731), the Natural Science Foundation of Jiangsu Province of China (BK20220057), and the Suzhou Science and Technology Plan Project (SYG202010). This work is also supported by the Suzhou Key Laboratory of Functional Nano &amp; amp; Soft Materials, the Collaborative Innovation Center of Suzhou Nano Science &amp; amp; Technology, the 111 Project, Joint International Research Laboratory of Carbon-Based Functional Materials and Devices. We are grateful to Dr. Cheng Zhong for assistance with the theoretical calculations. We thank Min Song and Zhi-Hao Qu for the fabrication of the films. We sincerely thank Tingting Wu for her help with electrochemical measurements. We are grateful to He Zhang and Dr. Shao-Long Gong for their assistance in the measurements of horizontal dipole orientation.</t>
  </si>
  <si>
    <t>e202310047</t>
  </si>
  <si>
    <t>10.1002/anie.202310047</t>
  </si>
  <si>
    <t>Q1IK2</t>
  </si>
  <si>
    <t>WOS:001055120500001</t>
  </si>
  <si>
    <t>Zoch, G; Heyne, S</t>
  </si>
  <si>
    <t>Zoch, Gundula; Heyne, Stefanie</t>
  </si>
  <si>
    <t>The evolution of family policies and couples &amp; apos; housework division after childbirth in Germany, 1994-2019</t>
  </si>
  <si>
    <t>child care, housework; fathers; longitudinal research; parental leave; work-family issues</t>
  </si>
  <si>
    <t>PARENTAL LEAVE; GENDER REVOLUTION; WOMENS EMPLOYMENT; UNPAID WORK; PAID WORK; MOTHERS; TIME; FATHERS; CARE; INEQUALITY</t>
  </si>
  <si>
    <t>Objective: We examine how the re-traditionalization effect of childbirth on couples' division of housework has evolved over time as a result of major family policy change.Background: Supportive family policies are associated with a more egalitarian division of labor. However, it remains unclear how a country's transition from a modernized male breadwinner regime that supports maternal care to family policies that promote maternal employment and paternal caregiving change couples' gender-typical division of housework in the long run.Method: We use representative survey data from the German Socio-Economic Panel (1994-2019, N = 14,648) and estimate the re-traditionalization effect of childbirth on mothers' absolute and relative time-use on housework over four policy periods with linear fixed-effects regression models.Results: Across all periods, mothers took on larger absolute and relative levels of housework after childbirth, with a more pronounced and persistent gender-typical division in West than in East Germany. However, mothers spent somewhat less absolute and relative time on housework in recent periods with stronger levels of de-familiarizing and dual-earner/dual-carer policies than in earlier periods with policies supporting maternal caregiving.Conclusion: We find somewhat smaller and less persistent re-traditionalization effects of childbirth in more supportive work-family policy periods. In sum, the small changes illustrate that even in contexts of enormous policy change, progress toward a less gender-typical division of housework has been slow and rather small.</t>
  </si>
  <si>
    <t>[Zoch, Gundula] Carl von Ossietzky Univ Oldenburg, Inst Social Sci, Oldenburg, Germany; [Zoch, Gundula] Leibniz Inst Educ Trajectories, Dept Educ Decis &amp; Proc Migrat Returns Educ, Bamberg, Germany; [Heyne, Stefanie] Univ Mannheim, Mannheim Ctr European Social Res MZES, Mannheim, Germany; [Zoch, Gundula] Carl von Ossietzky Univ Oldenburg, Inst Social Sci, Ammerlander Heerstr 114-118, D-26111 Oldenburg, Germany</t>
  </si>
  <si>
    <t>Carl von Ossietzky Universitat Oldenburg; Leibniz Institut fur Bildungsverlaufe (Lifbi); University of Mannheim; Carl von Ossietzky Universitat Oldenburg</t>
  </si>
  <si>
    <t>Zoch, G (corresponding author), Carl von Ossietzky Univ Oldenburg, Inst Social Sci, Ammerlander Heerstr 114-118, D-26111 Oldenburg, Germany.</t>
  </si>
  <si>
    <t>gundula.zoch@uni-oldenburg.de</t>
  </si>
  <si>
    <t>Zoch, Gundula/0000-0002-4398-4535</t>
  </si>
  <si>
    <t>An earlier version of this article was presented at the SOEP User Conference, June 2022, in Berlin, Germany and at the Spring Colloquium of the German Sociological Association (DGS)-Section Family Sociology, March 2023. The authors thank the participants f; German Institute for Economic Research (DIW), Berlin, Germany</t>
  </si>
  <si>
    <t>An earlier version of this article was presented at the SOEP User Conference, June 2022, in Berlin, Germany and at the Spring Colloquium of the German Sociological Association (DGS)-Section Family Sociology, March 2023. The authors thank the participants for their insightful comments and suggestions. The data were kindly provided by the German Institute for Economic Research (DIW), Berlin, Germany. Open Access funding enabled and organized by Projekt DEAL.</t>
  </si>
  <si>
    <t>10.1111/jomf.12938</t>
  </si>
  <si>
    <t>R3ZK6</t>
  </si>
  <si>
    <t>WOS:001063763300001</t>
  </si>
  <si>
    <t>Branca, JJV; Veltro, C; Guarnieri, G; Pacini, A; Paternostro, F</t>
  </si>
  <si>
    <t>Branca, Jacopo Junio Valerio; Veltro, Cristiana; Guarnieri, Giulia; Pacini, Alessandra; Paternostro, Ferdinando</t>
  </si>
  <si>
    <t>Morphological variations of the lung: Accessory fissures and lobes</t>
  </si>
  <si>
    <t>ANATOMIA HISTOLOGIA EMBRYOLOGIA</t>
  </si>
  <si>
    <t>accessory fissures; accessory lobes; bronchopulmonary segments; lung; respiratory system</t>
  </si>
  <si>
    <t>Anatomical variability in the human body is not as rare as was previously hypothesised. Indeed, as recently reviewed, the term 'norm' in anatomy can be considered an approximation. Thus, anatomical variations occur quite often, as largely demonstrated during non-invasive diagnosis, surgical intervention, or post mortem investigations. In the present study, we describe different anatomical variations in both the right and left lungs derived from cadavers of different ethnicities. The analysed organs were collected during dissection, and accessory lobes and fissures were observed in both the right and left lungs. Moreover, a horizontal fissure was missing from the right lung, resulting in only two lobes. Since lung anatomical variability is common in clinical practice and preclinical imaging studies can miss different morphologies, a deep and accurate knowledge of the anatomical variations of the lung is of extreme importance to avoid difficulties or changes during the surgical procedure.</t>
  </si>
  <si>
    <t>[Branca, Jacopo Junio Valerio; Veltro, Cristiana; Guarnieri, Giulia; Pacini, Alessandra; Paternostro, Ferdinando] Univ Firenze, Dept Expt &amp; Clin Med, Anat &amp; Histol Sect, Florence, Italy; [Paternostro, Ferdinando] Univ Firenze, Dept Expt &amp; Clin Med, Anat &amp; Histol Sect, Lgo Brambilla 3, I-50134 Florence, Italy</t>
  </si>
  <si>
    <t>University of Florence; University of Florence</t>
  </si>
  <si>
    <t>Paternostro, F (corresponding author), Univ Firenze, Dept Expt &amp; Clin Med, Anat &amp; Histol Sect, Lgo Brambilla 3, I-50134 Florence, Italy.</t>
  </si>
  <si>
    <t>ferdinando.paternostro@unifi.it</t>
  </si>
  <si>
    <t>PATERNOSTRO, Ferdinando/AAE-4714-2019</t>
  </si>
  <si>
    <t>PATERNOSTRO, Ferdinando/0000-0003-3566-3499; Branca, Jacopo Junio Valerio/0000-0003-3179-0706</t>
  </si>
  <si>
    <t>The authors sincerely thank those who donated their bodies to Science for their anatomical research. The results of such research could potentially improve patient care and increase the overall knowledge of mankind. Therefore, the donors and their families; ICLO Teaching and Research Center, Verona, Italy</t>
  </si>
  <si>
    <t>The authors sincerely thank those who donated their bodies to Science for their anatomical research. The results of such research could potentially improve patient care and increase the overall knowledge of mankind. Therefore, the donors and their families deserve great gratitude. Moreover, the authors are grateful for the immense help received from Dr. Gianni Sereni and the encouragement to carry out this study. The authors also acknowledge the ICLO Teaching and Research Center, Verona, Italy, for providing the necessary support.</t>
  </si>
  <si>
    <t>0340-2096</t>
  </si>
  <si>
    <t>1439-0264</t>
  </si>
  <si>
    <t>ANAT HISTOL EMBRYOL</t>
  </si>
  <si>
    <t>Anat. Histol. Embryol.</t>
  </si>
  <si>
    <t>2023 AUG 27</t>
  </si>
  <si>
    <t>10.1111/ahe.12958</t>
  </si>
  <si>
    <t>Anatomy &amp; Morphology; Veterinary Sciences</t>
  </si>
  <si>
    <t>R3XL7</t>
  </si>
  <si>
    <t>WOS:001063712300001</t>
  </si>
  <si>
    <t>Cheng, PF; Ferrell, N; Oberg, CM; Buchsbaum, SF; Jue, ML; Park, SJ; Wang, D; Roy, S; Fornasiero, F; Fissell, WH; Kidambi, PR</t>
  </si>
  <si>
    <t>Cheng, Peifu; Ferrell, Nicholas; Oberg, Carl M.; Buchsbaum, Steven F.; Jue, Melinda L.; Park, Sei Jin; Wang, Dan; Roy, Shuvo; Fornasiero, Francesco; Fissell, William H.; Kidambi, Piran R.</t>
  </si>
  <si>
    <t>High-Performance Hemofiltration via Molecular Sieving and Ultra-Low Friction in Carbon Nanotube Capillary Membranes</t>
  </si>
  <si>
    <t>albumin retention; carbon nanotube membranes; carbon nanotubes; enhanced middle molecule clearance; Ficoll sieving; hemofiltration/hemodialysis; hydraulic permeability</t>
  </si>
  <si>
    <t>HEMODIALYSIS MEMBRANES; COMPOSITE MEMBRANES; DIALYSIS MEMBRANES; ARTIFICIAL-KIDNEY; TRANSPORT; WATER; FABRICATION; EFFICIENT; CELLULOSE; CHARGE</t>
  </si>
  <si>
    <t>Conventional dialyzer membranes typically comprise of unevenly distributed polydisperse, tortuous, rough pores, embedded in relatively thick approximate to 20-50 mu m polymer layers wherein separation occurs via size exclusion as well as differences in diffusivity of the permeating species. However, transport in such polymeric pores is increasingly hindered as the molecule size approaches the pore dimension, resulting in significant retention of undesirable middle molecules (&gt;= 15-60 kDa) and uremic toxins. Enhanced removal of middle molecules is usually accompanied by high albumin loss (approximate to 66 kDa) causing hypoalbuminemia. Here, the scalable bottom-up fabrication of wafer-scale carbon nanotube (CNT) membranes with highly aligned, low-friction, straight-channels/capillaries and narrow pore-diameter distributions (approximate to 0.5-4.5 nm) is demonstrated, to overcome persistent challenges in hemofiltration/hemodialysis. Using fluorescein isothiocyanate (FITC)-Ficoll 70 and albumin in phosphate buffered saline (PBS) as well as in bovine blood plasma, it is shown that CNT membranes can allow for significantly higher hydraulic permeability (more than an order of magnitude when normalized to pore area) than commercial high-flux hemofiltration/hemodialysis membranes (HF 400), as well as greatly enhance removal of middle molecules while maintaining comparable albumin retention. These findings are rationalized via an N-pore transport model that highlights the critical role of molecular flexing and deformation during size-selective transport within nanoscale confinements of the CNTs. The unique transport characteristics of CNTs coupled with size-exclusion and wafer-scale fabrication offer transformative advances for hemofiltration, and the obtained insight into molecular transport can aid advancements in several other bio-systems/applications beyond hemofiltration/hemodialysis.</t>
  </si>
  <si>
    <t>[Cheng, Peifu; Kidambi, Piran R.] Vanderbilt Univ, Dept Chem &amp; Biomol Engn, Nashville, TN 37212 USA; [Ferrell, Nicholas; Wang, Dan] Ohio State Univ, Wexner Med Ctr, Dept Internal Med, Div Nephrol, Columbus, OH 43210 USA; [Oberg, Carl M.] Lund Univ, Dept Clin Sci Lund, Div Nephrol, Barngatan 2, S-21185 Lund, Sweden; [Buchsbaum, Steven F.; Jue, Melinda L.; Park, Sei Jin; Fornasiero, Francesco] Lawrence Livermore Natl Lab, Phys &amp; Life Sci, Livermore, CA 94550 USA; [Roy, Shuvo] Univ Calif San Francisco, Dept Bioengn &amp; Therapeut Sci, San Francisco, CA 94158 USA; [Fissell, William H.] Vanderbilt Univ, Med Ctr, Dept Med, Nashville, TN 37232 USA; [Fissell, William H.] Vanderbilt Univ, Med Ctr, Div Nephrol &amp; Hypertens, Nashville, TN 37232 USA; [Fissell, William H.; Kidambi, Piran R.] Vanderbilt Univ, Vanderbilt Inst Nanoscale Sci &amp; Engn, Nashville, TN 37212 USA; [Kidambi, Piran R.] Vanderbilt Univ, Dept Mech Engn, Nashville, TN 37212 USA; [Buchsbaum, Steven F.] Lawrence Livermore Natl Lab, Engn, Livermore, CA 94550 USA</t>
  </si>
  <si>
    <t>Vanderbilt University; University System of Ohio; Ohio State University; Lund University; United States Department of Energy (DOE); Lawrence Livermore National Laboratory; University of California System; University of California San Francisco; Vanderbilt University; Vanderbilt University; Vanderbilt University; Vanderbilt University; United States Department of Energy (DOE); Lawrence Livermore National Laboratory</t>
  </si>
  <si>
    <t>Kidambi, PR (corresponding author), Vanderbilt Univ, Dept Chem &amp; Biomol Engn, Nashville, TN 37212 USA.;Fissell, WH (corresponding author), Vanderbilt Univ, Med Ctr, Dept Med, Nashville, TN 37232 USA.;Fissell, WH (corresponding author), Vanderbilt Univ, Med Ctr, Div Nephrol &amp; Hypertens, Nashville, TN 37232 USA.;Fissell, WH; Kidambi, PR (corresponding author), Vanderbilt Univ, Vanderbilt Inst Nanoscale Sci &amp; Engn, Nashville, TN 37212 USA.;Kidambi, PR (corresponding author), Vanderbilt Univ, Dept Mech Engn, Nashville, TN 37212 USA.</t>
  </si>
  <si>
    <t>fornasiero1@llnl.gov; william.fissell@vumc.org; piran.kidambi@vanderbilt.edu</t>
  </si>
  <si>
    <t>The authors acknowledge the use of Vanderbilt Institute of Nanoscale Science and Engineering CORE facilities. This work was supported in part by faculty start-up funds from Vanderbilt University and in part via NSF CAREER award #1944134 to P.R.K. N.F. ackn; Vanderbilt University [2216394]; NSF [BA12PHM123]; NSF CAREER award [22-LW-058, DEAC52-07NA27344]; Chemical and Biological Technologies Department of the Defense Threat Reduction Agency [DE-AC02-05CH11231]; US Department of Energy; Offices of Science, Office of Basic Energy Sciences, of the US Department of Energy; [1944134]</t>
  </si>
  <si>
    <t>The authors acknowledge the use of Vanderbilt Institute of Nanoscale Science and Engineering CORE facilities. This work was supported in part by faculty start-up funds from Vanderbilt University and in part via NSF CAREER award #1944134 to P.R.K. N.F. ackn; Vanderbilt University; NSF(National Science Foundation (NSF)); NSF CAREER award(National Science Foundation (NSF)NSF - Office of the Director (OD)); Chemical and Biological Technologies Department of the Defense Threat Reduction Agency; US Department of Energy(United States Department of Energy (DOE)); Offices of Science, Office of Basic Energy Sciences, of the US Department of Energy(United States Department of Energy (DOE));</t>
  </si>
  <si>
    <t>The authors acknowledge the use of Vanderbilt Institute of Nanoscale Science and Engineering CORE facilities. This work was supported in part by faculty start-up funds from Vanderbilt University and in part via NSF CAREER award #1944134 to P.R.K. N.F. acknowledges funding support from NSF CAREER award #2216394 and the Ben J. Lipps Research Fellowship from the American Society of Nephrology for D.W. Work at Lawrence Livermore National Laboratory was enabled by financial support from the Chemical and Biological Technologies Department of the Defense Threat Reduction Agency (DTRA-CB) via grant BA12PHM123 in the Dynamic Multifunctional Materials for a Second Skin D[MS]2 program and from the LLNL-LDRD Program under Project No. 22-LW-058. Work at LLNL was performed under the auspices of the US Department of Energy under contract DEAC52-07NA27344. A portion of this work was performed at the Molecular Foundry, which was supported by the Offices of Science, Office of Basic Energy Sciences, of the US Department of Energy under contract DE-AC02-05CH11231.</t>
  </si>
  <si>
    <t>AUG 27</t>
  </si>
  <si>
    <t>10.1002/adfm.202304672</t>
  </si>
  <si>
    <t>Q3HM0</t>
  </si>
  <si>
    <t>WOS:001056457400001</t>
  </si>
  <si>
    <t>Galbo-Thomma, LK; Davenport, AT; Epperly, PM; Czoty, PW</t>
  </si>
  <si>
    <t>Galbo-Thomma, Lindsey K.; Davenport, April T.; Epperly, Phillip M.; Czoty, Paul W.</t>
  </si>
  <si>
    <t>Influence of social rank on the development of long-term ethanol drinking trajectories in cynomolgus monkeys</t>
  </si>
  <si>
    <t>ALCOHOL-CLINICAL AND EXPERIMENTAL RESEARCH</t>
  </si>
  <si>
    <t>alcohol use disorder; nonhuman primate; social dominance; social stress</t>
  </si>
  <si>
    <t>ALCOHOL-USE; SUBORDINATION STRESS; MACACA-FASCICULARIS; PRIMATE MODELS; DEPENDENCE; ONSET; AGE; DETERMINANTS; BEHAVIOR; CORTISOL</t>
  </si>
  <si>
    <t>Background Chronic stress contribute to the development of alcohol use disorder (AUD). However, characterizing the role of chronic social stressors in the development of problematic drinking trajectories in humans is complicated by practical and ethical constraints. Group-housed nonhuman primates develop social dominance hierarchies that represent a continuum of social experiences from enrichment in higher-ranked (dominant) monkeys to chronic social stress in lower-ranked (subordinate) individuals. This framework provides a translationally relevant model of chronic social stress that can be used to characterize its effects on vulnerability to AUD.Methods Twelve male cynomolgus monkeys living in three social groups with established social dominance hierarchies were provided access to ethanol and water for 22 h/day, 4-5 days/week, for 1 year. Ethanol-free periods (2- or 3-day weekends or longer periods up to 10 days) were spent in social groups to maintain the stability of the social hierarchies. Observational studies conducted 6 months into the year of drinking assessed signs of ethanol withdrawal. After 1 year, monkeys were individually housed 24 h/day, 7 days/week for four consecutive weeks to examine the effect of eliminating the weekends spent socially housed.Results Subordinate monkeys had significantly higher mean daily ethanol intakes than dominant monkeys across 1 year of open access. Subordinates also had higher intakes on the first day back drinking following ethanol-free periods of 9-10 days. Moreover, during the last 4 weeks of open access, intakes on the first drinking day after an ethanol-free weekend increased significantly in subordinate monkeys. This effect diminished when all monkeys were individually housed for 4 weeks, indicating that the increased intake in subordinates was driven by the social environment.Conclusions These data demonstrate that social subordination, which is associated with chronic social stress, results in increased vulnerability to the development and maintenance of heavy drinking trajectories.</t>
  </si>
  <si>
    <t>[Galbo-Thomma, Lindsey K.; Davenport, April T.; Epperly, Phillip M.; Czoty, Paul W.] Wake Forest Univ, Sch Med, Dept Physiol &amp; Pharmacol, Winston Salem, NC USA; [Czoty, Paul W.] Wake Forest Univ Sch Med, Dept Physiol &amp; Pharmacol, Med Ctr Blvd, Winston Salem, NC 27157 USA</t>
  </si>
  <si>
    <t>Wake Forest University; Wake Forest University</t>
  </si>
  <si>
    <t>Czoty, PW (corresponding author), Wake Forest Univ Sch Med, Dept Physiol &amp; Pharmacol, Med Ctr Blvd, Winston Salem, NC 27157 USA.</t>
  </si>
  <si>
    <t>pczoty@wakehealth.edu</t>
  </si>
  <si>
    <t>Galbo Thomma, Lindsey/0000-0001-8672-8323</t>
  </si>
  <si>
    <t>National Institute on Alcohol Abuse and Alcoholism [F31 AA029558, P50 AA026117, T32 AA007565]; National Institutes of Health</t>
  </si>
  <si>
    <t>National Institute on Alcohol Abuse and Alcoholism(United States Department of Health &amp; Human ServicesNational Institutes of Health (NIH) - USANIH National Institute on Alcohol Abuse &amp; Alcoholism (NIAAA)); National Institutes of Health(United States Department of Health &amp; Human ServicesNational Institutes of Health (NIH) - USA)</t>
  </si>
  <si>
    <t>National Institute on Alcohol Abuse and Alcoholism, Grant/Award Number: F31 AA029558, P50 AA026117 and T32 AA007565This work was supported by the National Institutes of Health and the National Institute of Alcohol Abuse and Alcoholism (P50 AA 26117, T32 AA 07565, F31 AA 029588).</t>
  </si>
  <si>
    <t>2993-7175</t>
  </si>
  <si>
    <t>ALCOHOL CLIN EXP RES</t>
  </si>
  <si>
    <t>Alcohol Clin. Exp. Res.</t>
  </si>
  <si>
    <t>10.1111/acer.15163</t>
  </si>
  <si>
    <t>Substance Abuse</t>
  </si>
  <si>
    <t>R3XM1</t>
  </si>
  <si>
    <t>WOS:001063712700001</t>
  </si>
  <si>
    <t>Gui, L; Luo, XQ; Zhou, LZ; Wei, QJ; Gu, JR</t>
  </si>
  <si>
    <t>Gui, Lian; Luo, Xiqing; Zhou, Liuzhong; Wei, Qiujing; Gu, Jieruo</t>
  </si>
  <si>
    <t>Peripheral CD4(+)/CD8(+) T cell composition distinct from healthy individuals is shared by ankylosing spondylitis and rheumatoid arthritis</t>
  </si>
  <si>
    <t>ankylosing spondylitis; rheumatoid arthritis; T cell subset</t>
  </si>
  <si>
    <t>AXIAL SPONDYLOARTHRITIS; IMMUNE; EXPRESSION; PATHOGENESIS; ASSOCIATION; CYTOKINES; CRITERIA; JOINTS</t>
  </si>
  <si>
    <t>Objective Ankylosing spondylitis (AS) and rheumatoid arthritis (RA) are chronic inflammatory joint diseases, linking to the alterations of immune cells. We attempted to assess whether the alterations in the composition of CD4(+)/CD8(+) T cells are different between AS and RA and identify the characteristic cells between male and female patients.Methods The proportions of CD3+ or double positive T cells, 6 CD4(+) T subsets and 9 CD8(+) T cell subsets were detected by flow cytometry and compared in 30 healthy individuals, 42 AS patients and 45 RA patients. The differentially altered cells were individually analyzed for associations with disease activity parameters. In addition, their proportions were compared between different genders in the 3 groups.Results The proportions of CD4(+) T cells, naive CD4(+) T cells and central memory CD4(+) T cells were lower in AS patients (P = 0.001, P = 0.002 and P = 0.007, respectively) and RA patients (P = 0.032, P &lt; 0.001 and P = 0.016, respectively), but the proportion of effector memory ones was higher when compared with healthy populations (both P &lt; 0.001), as were the decrease of naive/central memory CD8(+) T cells in AS (P = 0.003 and P = 0.016, respectively) and RA (P &lt; 0.001 and P = 0.006, respectively), and the increased tendency of terminally differentiated CD8(+) T cells. However, these above-mentioned cells, regulatory T (Treg) cells and CD8(+) T cells with different CD127 expressions between AS and RA were similar in proportion. Furthermore, naive CD4(+)T cells were positively associated with C-reactive protein (CRP) in AS, whereas CD4(+) T cells and terminally differentiated CD8(+) T of RA patients were associated with CRP in RA. The gender-related alterations predominantly displayed the overexpressions of Treg cells and naive CD8+ T cells in female patients with AS and RA, respectively.Conclusions AS patients and RA patients have some similar peripheral CD4(+)/CD8(+)T cell subsets but are distinct from healthy individuals, which may contribute to disease severity. Females are respectively characterized by the up-regulation of Treg cells and naive CD8(+) T cells in AS patients and RA patients. The study offers an in-depth understanding of the role of T cell subsets in the similarities of the disorders and helps us to monitor disease changes and may offer a theoretical basis of developing novel therapies against common targets.</t>
  </si>
  <si>
    <t>[Gui, Lian; Luo, Xiqing; Zhou, Liuzhong; Wei, Qiujing; Gu, Jieruo] Sun Yat Sen Univ, Affiliated Hosp 3, Dept Rheumatol, Guangzhou, Peoples R China; [Gu, Jieruo] Sun Yat Sen Univ, Affiliated Hosp 3, Dept Rheumatol, 600,Tianhe Rd, Guangzhou, Peoples R China</t>
  </si>
  <si>
    <t>Sun Yat Sen University; Sun Yat Sen University</t>
  </si>
  <si>
    <t>Gu, JR (corresponding author), Sun Yat Sen Univ, Affiliated Hosp 3, Dept Rheumatol, 600,Tianhe Rd, Guangzhou, Peoples R China.</t>
  </si>
  <si>
    <t>gujieruo@163.com</t>
  </si>
  <si>
    <t>We sincerely thank Guangzhou Huishan Medical Laboratory Co., Ltd. for providing the lab platform.</t>
  </si>
  <si>
    <t>10.1111/1756-185X.14860</t>
  </si>
  <si>
    <t>R3YA6</t>
  </si>
  <si>
    <t>WOS:001063727200001</t>
  </si>
  <si>
    <t>Radosavljevic, V; Cuenca, A; Wood, G; Glisic, D; Maksimovic-Zoric, J; Stone, D</t>
  </si>
  <si>
    <t>Radosavljevic, Vladimir; Cuenca, Argelia; Wood, Gareth; Glisic, Dimitrije; Maksimovic-Zoric, Jelena; Stone, David</t>
  </si>
  <si>
    <t>Phylogenetic analysis of spring viraemia of carp virus isolated in Serbia</t>
  </si>
  <si>
    <t>JOURNAL OF FISH DISEASES</t>
  </si>
  <si>
    <t>phylogenetic analysis; sequence analysis; spring viraemia of carp virus</t>
  </si>
  <si>
    <t>TROUT ONCORHYNCHUS-MYKISS; PIKE FRY RHABDOVIRUS; GRASS CARP; SEQUENCE; GENE; PERFORMANCE; SUBGROUPS; ROACH; SVC</t>
  </si>
  <si>
    <t>Spring viraemia of carp (SVC) is an infectious disease responsible for severe economic losses for various cyprinid species, particularly common carp (Cyprinus carpio carpio). The causative agent is the Rhabdovirus carpio or SVC virus (SVCV), a member of the Sprivivirus genus, within the Rhabdoviridae family. Phylogenetically, SVCV is divided into four genogroups (SVCV a, SVCV b, SVCV c and SVCV d), which have a reasonable correlation with the geographical distribution of the virus. In the late twentieth century, the disease was widespread in Serbian aquaculture and caused massive deaths in common carp. This study aimed to molecularly characterize the circulating SVCV isolates in Serbia over a 17-year period. The genetic relationships between 21 SVCV isolates from common carp and rainbow trout in Serbia between 1992 and 2009 were determined based on the partial nucleotide sequence of the glycoprotein gene (G gene). The phylogenetic analysis showed that the dominant SVCV isolates in Serbia belong to the SVCV d genogroup, with only one isolate belonging to genogroup SVCV b. The SVCV strains circulating in Serbia exhibited high homogeneity, as several isolates shared 100% similarity within these genogroups. Most Serbian isolates belonged to SVCV d1 and d2 subgroups, with one isolate notably different and included in a new subgroup SVCV d5. Understanding the SVCV genetic variants circulating in Serbia would be helpful in future epizootic investigations.</t>
  </si>
  <si>
    <t>[Radosavljevic, Vladimir; Glisic, Dimitrije; Maksimovic-Zoric, Jelena] Inst Vet Med Serbia, Janisa Janulisa 14, Belgrade 11000, Serbia; [Cuenca, Argelia] Tech Univ Denmark, Natl Inst Aquat Resources, Lyngby, Denmark; [Wood, Gareth; Stone, David] Ctr Environm Fisheries &amp; Aquaculture Sci CEFAS, Weymouth, Dorset, England</t>
  </si>
  <si>
    <t>Technical University of Denmark; Centre for Environment Fisheries &amp; Aquaculture Science</t>
  </si>
  <si>
    <t>Radosavljevic, V (corresponding author), Inst Vet Med Serbia, Janisa Janulisa 14, Belgrade 11000, Serbia.</t>
  </si>
  <si>
    <t>vladimiradosavljevic@yahoo.co.uk</t>
  </si>
  <si>
    <t>Radosavljevic, Vladimir/AAG-8482-2019; Cuenca, Argelia/AAK-9053-2021</t>
  </si>
  <si>
    <t>Radosavljevic, Vladimir/0000-0002-8072-4169; Cuenca, Argelia/0000-0001-8596-1086</t>
  </si>
  <si>
    <t>Department of the Environment Food and Rural Affairs, UK [C3387]; Ministry of Science and Technology development of the Republic of Serbia [451-03-47/2023-01/200030]</t>
  </si>
  <si>
    <t>Department of the Environment Food and Rural Affairs, UK(Department for Environment, Food &amp; Rural Affairs (DEFRA)); Ministry of Science and Technology development of the Republic of Serbia(Ministry of Education, Science &amp; Technological Development, Serbia)</t>
  </si>
  <si>
    <t>Department of the Environment Food and Rural Affairs, UK, Grant/Award Number: C3387; Ministry of Science and Technology development of the Republic of Serbia, Grant/Award Number: 451-03-47/2023-01/200030</t>
  </si>
  <si>
    <t>0140-7775</t>
  </si>
  <si>
    <t>1365-2761</t>
  </si>
  <si>
    <t>J FISH DIS</t>
  </si>
  <si>
    <t>J. Fish Dis.</t>
  </si>
  <si>
    <t>10.1111/jfd.13852</t>
  </si>
  <si>
    <t>Fisheries; Marine &amp; Freshwater Biology; Veterinary Sciences</t>
  </si>
  <si>
    <t>R3ZC2</t>
  </si>
  <si>
    <t>WOS:001063754900001</t>
  </si>
  <si>
    <t>Sefcik, JS; Hathaway, Z; DiMaria-Ghalili, RA</t>
  </si>
  <si>
    <t>Sefcik, Justine S.; Hathaway, Zachary; DiMaria-Ghalili, Rose Ann</t>
  </si>
  <si>
    <t>When snowball sampling leads to an avalanche of fraudulent participants in qualitative research</t>
  </si>
  <si>
    <t>INTERNATIONAL JOURNAL OF OLDER PEOPLE NURSING</t>
  </si>
  <si>
    <t>fraud; interviews; recruitment; research participant registry</t>
  </si>
  <si>
    <t>INTERVIEWS</t>
  </si>
  <si>
    <t>Background: Fraudulent research participants create negative consequences for the rigour and soundness of research. Aims: A case study is presented from a qualitative study where the research team believed several fraudulent participants fabricated information during an interview about being a caregiver for a person living with dementia and chronic wounds. Materials &amp; Methods: Participants were recruited through a free online research registry. Individual semi-structured interviews were held virtually. Results: The study was paused after the nurse scientist with qualitative methodology experience identified that participants were giving illogical and repetitive responses across interviews. The team developed a revised screening tool to help reduce fraudulent participants from enrolling in the study. None of the data collected were used for analysis. Discussion: Information is provided on how the team dealt with the situation, lessons learned for future studies, and recommendations for gerontological nurse researchers. Conclusion: Researchers should be aware that some participants are misrepresenting themselves for financial incentives and this can compromise the soundness of findings. Thorough screening tools are one way to identify and prevent fraud.</t>
  </si>
  <si>
    <t>[Sefcik, Justine S.; Hathaway, Zachary; DiMaria-Ghalili, Rose Ann] Drexel Univ, Coll Nursing &amp; Hlth Profess, Philadelphia, PA USA; [Sefcik, Justine S.] Drexel Univ, Coll Nursing &amp; Hlth Profess, 60 N 36th St, Room 10W53, Philadelphia, PA 19104 USA</t>
  </si>
  <si>
    <t>Drexel University; Drexel University</t>
  </si>
  <si>
    <t>Sefcik, JS (corresponding author), Drexel Univ, Coll Nursing &amp; Hlth Profess, 60 N 36th St, Room 10W53, Philadelphia, PA 19104 USA.</t>
  </si>
  <si>
    <t>jss398@drexel.edu</t>
  </si>
  <si>
    <t>DiMaria-Ghalili, Rose A/C-5924-2014</t>
  </si>
  <si>
    <t>Sefcik, Justine/0000-0003-1691-7836</t>
  </si>
  <si>
    <t>Research reported in this commentary was supported in part by the National Institute of Nursing Research and the National Institute of Aging of the National Institutes of Health under Award Number 3R01NR015995-04S1, NOT-AG-18-039. Justine S. Sefcik is supp; National Institute of Nursing Research [K23NR018673]; National Institute of Aging of the National Institutes of Health; National Institute of Nursing Research of the National Institutes of Health; [3R01NR015995-04S1]</t>
  </si>
  <si>
    <t>Research reported in this commentary was supported in part by the National Institute of Nursing Research and the National Institute of Aging of the National Institutes of Health under Award Number 3R01NR015995-04S1, NOT-AG-18-039. Justine S. Sefcik is supp; National Institute of Nursing Research(United States Department of Health &amp; Human ServicesNational Institutes of Health (NIH) - USANIH National Institute of Nursing Research (NINR)); National Institute of Aging of the National Institutes of Health(United States Department of Health &amp; Human ServicesNational Institutes of Health (NIH) - USANIH National Institute on Aging (NIA)); National Institute of Nursing Research of the National Institutes of Health(United States Department of Health &amp; Human ServicesNational Institutes of Health (NIH) - USANIH National Institute of Nursing Research (NINR));</t>
  </si>
  <si>
    <t>Research reported in this commentary was supported in part by the National Institute of Nursing Research and the National Institute of Aging of the National Institutes of Health under Award Number 3R01NR015995-04S1, NOT-AG-18-039. Justine S. Sefcik is supported by National Institute of Nursing Research of the National Institutes of Health (K23NR018673). The content is solely the responsibility of the authors and does not necessarily represent the official views of the National Institutes of Health.</t>
  </si>
  <si>
    <t>1748-3735</t>
  </si>
  <si>
    <t>1748-3743</t>
  </si>
  <si>
    <t>INT J OLDER PEOPLE N</t>
  </si>
  <si>
    <t>Int. J. Older People Nurs.</t>
  </si>
  <si>
    <t>AUG 26</t>
  </si>
  <si>
    <t>e12572</t>
  </si>
  <si>
    <t>10.1111/opn.12572</t>
  </si>
  <si>
    <t>Geriatrics &amp; Gerontology; Gerontology; Nursing</t>
  </si>
  <si>
    <t>Geriatrics &amp; Gerontology; Nursing</t>
  </si>
  <si>
    <t>Q0IH0</t>
  </si>
  <si>
    <t>WOS:001054426900001</t>
  </si>
  <si>
    <t>White, C; Reynolds, S; Murphy, K; Keegan, H; Naik, P; O'Brien, R; Pilkington, L; Ochoa, IS; Glesson, G; Russell, N; Nuttall, D; Tewari, P; Wright, F; O'Toole, S; Sharp, L; Flannelly, G; O'Leary, JJ; Martin, CM</t>
  </si>
  <si>
    <t>White, Christine; Reynolds, Stephen; Murphy, Katherine; Keegan, Helen; Naik, Padma; O'Brien, Roisin; Pilkington, Loretto; Ochoa, Imogen Sharkey; Glesson, Grainne; Russell, Noirin; Nuttall, David; Tewari, Prerna; Wright, Fiona; O'Toole, Sharon; Sharp, Linda; Flannelly, Grainne; O'Leary, John J.; Martin, Cara M.</t>
  </si>
  <si>
    <t>Cerviva Irish Cervical Screening</t>
  </si>
  <si>
    <t>Performance of the HPV E6/E7 mRNA Aptima HPV assay combined with partial genotyping compared with the HPV DNA Cobas 4800 HPV test for use in primary screening: Results from the CERVIVA HPV primary screening study in Ireland</t>
  </si>
  <si>
    <t>genotyping; HPV DNA; HPV mRNA; screening</t>
  </si>
  <si>
    <t>HUMAN-PAPILLOMAVIRUS ASSAYS; COLPOSCOPY; WOMEN; DISTRESS; CYTOLOGY</t>
  </si>
  <si>
    <t>There are currently several validated HPV tests. However, longitudinal data which spans appropriate age ranges, as well as evaluation of potential screening algorithms are necessary for screening programmes choice of test. The objective of our study was to evaluate the performance of HPV mRNA and HPV DNA testing, including partial genotyping, in routine cervical screening. As part of the CERVIVA HPV Primary Screening Study, ThinPrep samples from 10 150 women were tested for HPV mRNA using the Aptima HPV assay and HPV DNA using the Cobas 4800 HPV test. HPV mRNA-positive women were further assessed with the Aptima genotyping assay for HPV 16/18/45. Baseline cytology and prospective follow-up data were collected. The performance of the two tests was examined over 42 months (to date). HPV mRNA demonstrated equivalent sensitivity to HPV DNA testing for detection of CIN2+ (93.2% [92.4-93.9] vs 92.8% [92.0-93.6], respectively) and CIN3+ (94.6% [93.8-95.3] vs 94.6% [93.8-95.3]). HPV mRNA testing had significantly higher specificity compared to HPV DNA for detection of CIN2+ (84.0% [83.5-84.5] vs 80.8% [80.2-81.4], respectively) and CIN3+ (88.44% [88.2-88.6] vs 85.62 [85.4-85.9]). The proportion of CIN2+ and CIN3+, over 3 years (42 months), in HPV-negative women was comparable for both RNA (0.20% and 0.10%) and DNA (0.22% and 0.11%). Genotyping data was comparable across both assay platforms. In the context of HPV primary screening HPV mRNA testing has potential to reduce triage tests and follow-up tests at 12 months compared to DNA testing, with no significant difference in detection of CIN2+ and CIN3+.</t>
  </si>
  <si>
    <t>[White, Christine; Reynolds, Stephen; Murphy, Katherine; Keegan, Helen; Naik, Padma; Pilkington, Loretto; Ochoa, Imogen Sharkey; Nuttall, David; Tewari, Prerna; O'Toole, Sharon; O'Leary, John J.; Martin, Cara M.] Trinity Coll Dublin, Mol Pathol Lab, CERVIVA, Dublin, Ireland; [White, Christine; Naik, Padma; Tewari, Prerna; O'Toole, Sharon; O'Leary, John J.; Martin, Cara M.] Trinity Coll Dublin, St James Univ Hosp, Discipline Histopathol, Dublin, Ireland; [White, Christine; Reynolds, Stephen; Keegan, Helen; Naik, Padma; O'Brien, Roisin; O'Leary, John J.; Martin, Cara M.] Coombe Lying In Hosp, Dublin 8, Ireland; [Glesson, Grainne; Russell, Noirin; Tewari, Prerna] Natl Screening Serv, CervicalCheck, Kings Inns House, Dublin 1, Ireland; [Tewari, Prerna; O'Toole, Sharon; O'Leary, John J.; Martin, Cara M.] Trinity Coll Dublin, Trinity St James Canc Inst, Dublin, Ireland; [Sharp, Linda] Newcastle Univ, Populat Hlth Sci Inst, Newcastle Upon Tyne, England; [Flannelly, Grainne] Natl Matern Hosp, Dublin 2, Ireland</t>
  </si>
  <si>
    <t>Trinity College Dublin; Trinity College Dublin; Trinity College Dublin; Trinity College Dublin; Newcastle University - UK; National Maternity Hospital, Dublin</t>
  </si>
  <si>
    <t>White, C (corresponding author), Trinity Coll Dublin, Mol Pathol Lab, CERVIVA, Dublin, Ireland.</t>
  </si>
  <si>
    <t>chwhite@tcd.ie</t>
  </si>
  <si>
    <t>Sharkey Ochoa, Imogen/0000-0001-5800-7705</t>
  </si>
  <si>
    <t>Health Research Board [CARG29/2012]</t>
  </si>
  <si>
    <t>Health Research Board(Health Research Board - Ireland)</t>
  </si>
  <si>
    <t>Health Research Board, Grant/Award Number: CARG29/2012</t>
  </si>
  <si>
    <t>2023 AUG 26</t>
  </si>
  <si>
    <t>10.1002/ijc.34685</t>
  </si>
  <si>
    <t>R3TK2</t>
  </si>
  <si>
    <t>WOS:001063606800001</t>
  </si>
  <si>
    <t>Regueira, E; Novarin, MP; O'Donohoe, MEA; Valchi, P; Tropea, C; Tripodi, M; Hermida, GN</t>
  </si>
  <si>
    <t>Regueira, E.; Novarin, M. Pavon; O'Donohoe, M. E. A.; Valchi, P.; Tropea, C.; Tripodi, M.; Hermida, G. N.</t>
  </si>
  <si>
    <t>Naturally occurring variability in larval period length is associated with intraspecific differences in late tadpoles of a South American true toad</t>
  </si>
  <si>
    <t>JOURNAL OF ZOOLOGY</t>
  </si>
  <si>
    <t>metamorphosis; anuran; interrenal gland; larval period length; developmental plasticity; Rhinella arenarum; life-history traits; morphological variability</t>
  </si>
  <si>
    <t>POST-METAMORPHIC MORPHOLOGY; SEROUS CUTANEOUS GLANDS; LIFE-HISTORY; DEVELOPMENTAL PLASTICITY; PHENOTYPIC PLASTICITY; TRITURUS-CARNIFEX; INTERRENAL GLAND; BRAIN PLASTICITY; BUFO-BOREAS; ANURA</t>
  </si>
  <si>
    <t>The larval period in anurans is highly plastic. Even though larval period length and larval size have been the most studied characteristics showing intraspecific variability, other features such as morphology, behavior, food preferences and physiology have also been described as plastic. Metamorphic changes are triggered by thyroid and interrenal hormones, and environmental signals modulate the onset of metamorphosis via the hypothalamic-pituitary-interrenal axis. The South American bufonid toad Rhinella arenarum from nearby Buenos Aires City has a larval period of 30-120 days under the same environmental conditions. The goal of this study was to evaluate life-history traits in tadpoles from different localities and potential morphological differences among tadpoles with different larval period length. For this purpose, we reared under natural conditions tadpoles from two different localities nearby Buenos Aires City and in three different years measured their size at the end of metamorphosis and recorded their larval period length. The external appearance, histo-morphology and morphometry of the skin and kidney/interrenal complex were studied in metamorphs with short and long larval periods (SLP and LLP, respectively). We observed a larval period lasting 30-120 days in tadpoles from different localities or years. SLP metamorphs were smaller, darker, had less protruding eyes without eyelids, a thinner epidermis and fewer skin glands than LLP metamorphs. The secretion of skin glands from SLP tadpoles had acidic glycoconjugates. Kidney size was similar between LLP and SLP metamorphs, but the former had an adult-like histomorphology. Interrenal gland in LLP early and late climax tadpoles had cells with a high nucleus/cell diameter ratio, a sign of highly active steroidogenic cells. Overall, these results show that intraspecific variability in size, skin and interrenal gland development is associated with differences in larval period length. Distinct skin gland number and secretion, along with distinct interrenal histology at late climax, could have physiological consequences in the post-metamorphic life.</t>
  </si>
  <si>
    <t>[Regueira, E.; Novarin, M. Pavon; O'Donohoe, M. E. A.; Valchi, P.; Hermida, G. N.] Univ Buenos Aires, Fac Ciencias Exactas &amp; Nat, Dept Biodivers &amp; Biol Expt, Lab Biol Anfibios Histol Anim, Buenos Aires, Argentina; [Regueira, E.; O'Donohoe, M. E. A.; Tropea, C.; Tripodi, M.] Consejo Nacl Invest Cient &amp; Tecn, Buenos Aires, Argentina; [Tropea, C.] Univ Buenos Aires, Fac Ciencias Exactas &amp; Nat, Dept Biodivers &amp; Biol Expt,Inst Biodiversidad &amp; Bi, Lab Biol Reprod &amp; Crecimiento Crustaceos Decapodos, Buenos Aires, Argentina; [Tripodi, M.] Univ Buenos Aires, Fac Ciencias Exactas &amp; Nat, Dept Ecol Genet &amp; Evoluc, Lab Ecol Roedores Urbanos, Buenos Aires, Argentina; [Regueira, E.; Hermida, G. N.] Univ Buenos Aires, Fac Ciencias Exactas &amp; Nat, Dept Biodivers &amp; Biologia Expt, Lab Biologia Anfibios, Ave Int Geuiraldes2160, Pab II, 4 Piso,C1428EGA, Buenos Aires, Argentina</t>
  </si>
  <si>
    <t>University of Buenos Aires; Consejo Nacional de Investigaciones Cientificas y Tecnicas (CONICET); University of Buenos Aires; University of Buenos Aires; University of Buenos Aires</t>
  </si>
  <si>
    <t>Regueira, E; Hermida, GN (corresponding author), Univ Buenos Aires, Fac Ciencias Exactas &amp; Nat, Dept Biodivers &amp; Biologia Expt, Lab Biologia Anfibios, Ave Int Geuiraldes2160, Pab II, 4 Piso,C1428EGA, Buenos Aires, Argentina.</t>
  </si>
  <si>
    <t>eleonoraregueira@gmail.com; gladyshermida@gmail.com</t>
  </si>
  <si>
    <t>UBACYT of the Universidad de Buenos Aires, Republica Argentina [20020170100228BA]; Consejo Nacional de Investigaciones Cientificas y Tecnicas [PIP 11220170100352CO]; Agencia Nacional de Promocion de la Investigacion, el Desarrollo Tecnologico y la Innovacion, Republica Argentina [PICT 2016-4144]; Consejo Nacional de Investigaciones Cientificas y Tecnicas (CONICET); Universidad de Buenos Aires</t>
  </si>
  <si>
    <t>UBACYT of the Universidad de Buenos Aires, Republica Argentina; Consejo Nacional de Investigaciones Cientificas y Tecnicas(Consejo Nacional de Investigaciones Cientificas y Tecnicas (CONICET)); Agencia Nacional de Promocion de la Investigacion, el Desarrollo Tecnologico y la Innovacion, Republica Argentina; Consejo Nacional de Investigaciones Cientificas y Tecnicas (CONICET)(Consejo Nacional de Investigaciones Cientificas y Tecnicas (CONICET)); Universidad de Buenos Aires(University of Buenos Aires)</t>
  </si>
  <si>
    <t>Research support was provided by UBACYT 2018-2022 No 20020170100228BA of the Universidad de Buenos Aires, Republica Argentina, PIP 11220170100352CO of the Consejo Nacional de Investigaciones Cientificas y Tecnicas, and PICT 2016-4144 of the Agencia Nacional de Promocion de la Investigacion, el Desarrollo Tecnologico y la Innovacion, Republica Argentina. Scholarship support for M.E.A.O. was provided by the Consejo Nacional de Investigaciones Cientificas y Tecnicas (CONICET). Scholarship support for P.V. was provided by Universidad de Buenos Aires. We would like to thank Marissa Fabrezi for suggestions and discussing with us several aspects of the study. We thank two anonymous reviewers for their valuable suggestions to improve the paper.</t>
  </si>
  <si>
    <t>0952-8369</t>
  </si>
  <si>
    <t>1469-7998</t>
  </si>
  <si>
    <t>J ZOOL</t>
  </si>
  <si>
    <t>J. Zool.</t>
  </si>
  <si>
    <t>2023 AUG 25</t>
  </si>
  <si>
    <t>10.1111/jzo.13112</t>
  </si>
  <si>
    <t>Zoology</t>
  </si>
  <si>
    <t>R3TD2</t>
  </si>
  <si>
    <t>WOS:001063599800001</t>
  </si>
  <si>
    <t>Wyatt, JC; Scott, P; Ordish, J; South, M; Thomas, M; Jones, C; Lacey-Bryant, S; Workshop Participants</t>
  </si>
  <si>
    <t>Wyatt, Jeremy C.; Scott, Philip; Ordish, Johan; South, Matthew; Thomas, Mark; Jones, Caroline; Lacey-Bryant, Sue; Workshop Participants</t>
  </si>
  <si>
    <t>Which computable biomedical knowledge objects will be regulated? Results of a UK workshop discussing the regulation of knowledge libraries and software as a medical device</t>
  </si>
  <si>
    <t>computable knowledge; knowledge libraries; learning health systems; medical device regulation; mobilising computable biomedical knowledge</t>
  </si>
  <si>
    <t>Introduction: To understand when knowledge objects in a computable biomedical knowledge library are likely to be subject to regulation as a medical device in the United Kingdom.Methods: A briefing paper was circulated to a multi-disciplinary group of 25 including regulators, lawyers and others with insights into device regulation. A 1-day workshop was convened to discuss questions relating to our aim. A discussion paper was drafted by lead authors and circulated to other authors for their comments and contributions.Results: This article reports on those deliberations and describes how UK device regulators are likely to treat the different kinds of knowledge objects that may be stored in computable biomedical knowledge libraries. While our focus is the likely approach of UK regulators, our analogies and analysis will also be relevant to the approaches taken by regulators elsewhere. We include a table examining the implications for each of the four knowledge levels described by Boxwala in 2011 and propose an additional level.Conclusions: If a knowledge object is described as directly executable for a medical purpose to provide decision support, it will generally be in scope of UK regulation as software as a medical device. However, if the knowledge object consists of an algorithm, a ruleset, pseudocode or some other representation that is not directly executable and whose developers make no claim that it can be used for a medical purpose, it is not likely to be subject to regulation. We expect similar reasoning to be applied by regulators in other countries.</t>
  </si>
  <si>
    <t>[Wyatt, Jeremy C.] Univ Southampton, Sch Primary Care Populat Sci &amp; Med Educ, Southampton, England; [Scott, Philip] Univ Wales Trinity St David, Inst Management &amp; Hlth, Lampeter, Wales; [Ordish, Johan] Med &amp; Healthcare Regulatory Agcy, Software Med Device Div, London, England; [South, Matthew; Thomas, Mark] Univ Birmingham, Dept Med, Birmingham, England; [Jones, Caroline] Swansea Univ, Hillary Rodham Clinton Sch Law, Swansea, Wales; [Lacey-Bryant, Sue] NHS England, London, England</t>
  </si>
  <si>
    <t>University of Southampton; University of Wales Trinity St David; University of Birmingham; Swansea University</t>
  </si>
  <si>
    <t>Wyatt, JC (corresponding author), Univ Southampton, Sch Primary Care Populat Sci &amp; Med Educ, Southampton, England.</t>
  </si>
  <si>
    <t>j.c.wyatt@soton.ac.uk</t>
  </si>
  <si>
    <t>Scott, Philip/0000-0002-6289-4260</t>
  </si>
  <si>
    <t>Thanks to British Computer Society Health and Care Informatics for funding the meeting venue and to all workshop speakers and participants for their enthusiastic engagement and freely sharing their insights.; British Computer Society Health and Care Informatics</t>
  </si>
  <si>
    <t>Thanks to British Computer Society Health and Care Informatics for funding the meeting venue and to all workshop speakers and participants for their enthusiastic engagement and freely sharing their insights.</t>
  </si>
  <si>
    <t>AUG 25</t>
  </si>
  <si>
    <t>e10386</t>
  </si>
  <si>
    <t>10.1002/lrh2.10386</t>
  </si>
  <si>
    <t>Q0HR4</t>
  </si>
  <si>
    <t>WOS:001054410900001</t>
  </si>
  <si>
    <t>Betori, RC; May, CM; Scheidt, KA</t>
  </si>
  <si>
    <t>Betori, R. C.; May, C. M.; Scheidt, K. A.</t>
  </si>
  <si>
    <t>RETRACTION: Combined Photoredox/Enzymatic C-H Benzylic Hydroxylations (Retraction of Vol 58, Pg 16490, 2019)</t>
  </si>
  <si>
    <t>Retraction</t>
  </si>
  <si>
    <t>AUG 24</t>
  </si>
  <si>
    <t>e202311469</t>
  </si>
  <si>
    <t>10.1002/anie.202311469</t>
  </si>
  <si>
    <t>P9OU6</t>
  </si>
  <si>
    <t>WOS:001053908100001</t>
  </si>
  <si>
    <t>Firouzabadi, N; Asadi-Pooya, AA; Alimoradi, N; Simani, L; Asadollahi, M</t>
  </si>
  <si>
    <t>Firouzabadi, Negar; Asadi-Pooya, Ali A.; Alimoradi, Nahid; Simani, Leila; Asadollahi, Marjan</t>
  </si>
  <si>
    <t>Polymorphism of glucocorticoid receptor gene (rs41423247) in functional seizures (psychogenic nonepileptic seizures/attacks)</t>
  </si>
  <si>
    <t>EPILEPSIA OPEN</t>
  </si>
  <si>
    <t>genetic; nonepileptic; psychogenic; seizure; single nucleotide polymorphism</t>
  </si>
  <si>
    <t>VARIANTS; STRESS</t>
  </si>
  <si>
    <t>Objective: We investigated the association between the glucocorticoid receptor (GR) gene, also known as the nuclear receptor subfamily 3, group C, member 1 (NR3C1), rs41423247 polymorphism, and functional seizures (psychogenic nonepileptic seizures/attacks) in a case-control study. We hypothesized that the tested polymorphism has significant associations with functional seizures (psychogenic nonepileptic seizures/attacks) independent from comorbid depression.Methods: Seventy patients with functional seizures (psychogenic nonepileptic seizures/attacks), 70 with major depressive disorder (MDD), and 70 healthy controls (HCs) were studied. Their DNAs were analyzed for NR3C1 rs41423247 polymorphism.Results: Genotype and allele frequencies of rs41423247 were different between the three groups. G allele carriers were more frequent in patients with functional seizures (psychogenic nonepileptic seizures/attacks) and those with MDD compared to HCs (p = 0.0001). However no significant difference was observed with respect to allele distributions between functional seizures (psychogenic nonepileptic seizures/attacks) and MDD groups (p = 0.391). CC genotype was less often associated with functional seizures (psychogenic nonepileptic seizures/attacks) versus HC: Codominant model; p = 0.001, OR = 0.11, 95% CI = 0.05-0.24, and -2loglilkelihood = 231.7. In comparison between functional seizures (psychogenic nonepileptic seizures/attacks) group and other (MDD + HC) groups, we observed a significant association between CG genotype and functional seizures (psychogenic nonepileptic seizures/attacks) (Codominant model; p = 0.001, OR = 5.63, 95% CI = 2.60-12.40 and -2loglikelihood = 245.99).Significance: Patients with functional seizures (psychogenic nonepileptic seizures/attacks) and those with MDD were significantly more often G allele carriers in rs41423247 compared with HCs. We observed a significant association between CG genotype and functional seizures (psychogenic nonepileptic seizures/attacks). However, we could not exclude the possibility of confounding effects of depression. Future genetic studies of patients with functional seizures (psychogenic nonepileptic seizures/attacks) should include a comparison group with depression in addition to a comparison group of HCs.</t>
  </si>
  <si>
    <t>[Firouzabadi, Negar; Alimoradi, Nahid] Shiraz Univ Med Sci, Sch Pharm, Dept Pharmacol &amp; Toxicol, Shiraz, Iran; [Asadi-Pooya, Ali A.] Shiraz Univ Med Sci, Epilepsy Res Ctr, Shiraz, Iran; [Asadi-Pooya, Ali A.] Thomas Jefferson Univ, Jefferson Comprehens Epilepsy Ctr, Dept Neurol, Philadelphia, PA USA; [Simani, Leila] Shahid Beheshti Univ Med Sci, Brain Mapping Res Ctr, Tehran, Iran; [Simani, Leila] Univ Kentucky, Coll Pharm, Dept Pharmaceut Sci, Lexington, KY USA; [Asadollahi, Marjan] Shahid Beheshti Univ Med Sci, Loghman Hakim Hosp, Dept Epilepsy, Tehran, Iran</t>
  </si>
  <si>
    <t>Shiraz University of Medical Science; Shiraz University of Medical Science; Jefferson University; Shahid Beheshti University Medical Sciences; University of Kentucky; Shahid Beheshti University Medical Sciences</t>
  </si>
  <si>
    <t>Asadi-Pooya, AA (corresponding author), Shiraz Univ Med Sci, Epilepsy Res Ctr, Shiraz, Iran.</t>
  </si>
  <si>
    <t>aliasadipooya@yahoo.com</t>
  </si>
  <si>
    <t>Asadi-Pooya, Ali/0000-0002-2598-7601; Asadollahi, Marjan/0000-0002-1820-1658; Simani, Leila/0000-0002-1349-4252</t>
  </si>
  <si>
    <t>The authors thank Ms. Keshavarz and Ms. Cheraghipour for their cooperation and assistance. No medical writer or editor was involved in the creation of our manuscript. We confirm that we have read the Journalamp;apos;s position on issues involved in ethica</t>
  </si>
  <si>
    <t>The authors thank Ms. Keshavarz and Ms. Cheraghipour for their cooperation and assistance. No medical writer or editor was involved in the creation of our manuscript. We confirm that we have read the Journal &amp; apos;s position on issues involved in ethical publication and affirm that this report is consistent with those guidelines.</t>
  </si>
  <si>
    <t>2470-9239</t>
  </si>
  <si>
    <t>Epilepsia Open</t>
  </si>
  <si>
    <t>epi412816</t>
  </si>
  <si>
    <t>10.1002/epi4.12816</t>
  </si>
  <si>
    <t>P9PC9</t>
  </si>
  <si>
    <t>WOS:001053916600001</t>
  </si>
  <si>
    <t>Gantana, EJ; Nell, EM; Musekwa, E; Lohlun, RK; Chetty, C; Moodley, K; Chabunya, S; Ras, J; Chapanduka, ZC</t>
  </si>
  <si>
    <t>Gantana, Ethan James; Nell, Erica-Mari; Musekwa, Ernest; Lohlun, Robert Kingsley; Chetty, Carissa; Moodley, Keshanya; Chabunya, Sylvester; Ras, Jacqui; Chapanduka, Zivanai Cuthbert</t>
  </si>
  <si>
    <t>Evaluation of a new technique using artificial intelligence for quantification of plasma cells on CD138 immunohistochemistry</t>
  </si>
  <si>
    <t>INTERNATIONAL JOURNAL OF LABORATORY HEMATOLOGY</t>
  </si>
  <si>
    <t>general hematology; myeloma; pathology; plasma cells</t>
  </si>
  <si>
    <t>MYELOMA; MARKER</t>
  </si>
  <si>
    <t>Introduction: The diagnosis of plasma cell neoplasms depends on the accurate quantification of plasma cells, traditionally done by immunohistochemical CD138 staining of bone marrow biopsies. Currently, there is no fully satisfactory reference method for this quantification. In our previous study, we compared the commonly used overview estimation method (method A) with a novel method for counting plasma cells in three representative areas (method B). Results showed comparable concordance parameters between the two methods. In this follow-up study, we compared the previously evaluated methods with a digital analysis method (method C) that uses artificial intelligence in open-source software, QuPath.Methods: Archived CD138 immunohistochemically stained trephine sections of bone marrow samples used in our previous study were used (n = 33). Reviewers selected three representative areas on each sample by taking images with a light microscope and camera. Digital analysis was performed using the positive cell detection function in QuPath. The entire process was repeated by each reviewer to test intraobserver concordance (concordance correlation coefficient [CCC]) in addition to interobserver concordance (intraclass correlation coefficient [ICC]).Results: Intraobserver concordance of method C showed strong agreement for all reviewers with the lowest CCC = 0.854. Interobserver concordance for method C using ICC was 0.909 and 0.949. This showed high interobserver agreement with significant differences between method C and previously assessed method A (ICC = 0.793 and 0.713) and method B (ICC = 0.657 and 0.658).Conclusion: We were able to successfully count CD138-positive plasma cells in bone marrow biopsies using artificial intelligence. This method is superior to both manual counting and overview estimation, regardless of tumour load.</t>
  </si>
  <si>
    <t>[Gantana, Ethan James] Tygerberg Hosp, Dept Haematol, Natl Hlth Lab Serv, Cape Town, South Africa; [Gantana, Ethan James] Stellenbosch Univ, Fac Med &amp; Hlth Sci, Cape Town, South Africa</t>
  </si>
  <si>
    <t>Tygerberg Hospital; Stellenbosch University</t>
  </si>
  <si>
    <t>Gantana, EJ (corresponding author), Tygerberg Hosp, Dept Haematol, Natl Hlth Lab Serv, Cape Town, South Africa.;Gantana, EJ (corresponding author), Stellenbosch Univ, Fac Med &amp; Hlth Sci, Cape Town, South Africa.</t>
  </si>
  <si>
    <t>ethan.gantana@nhls.ac.za</t>
  </si>
  <si>
    <t>Chapanduka, Zivanai Cuthbert/0000-0002-5489-8392</t>
  </si>
  <si>
    <t>The authors would like to thank Fazlin Kolia, the laboratory manager, as well as all the technologists and scientists for their contribution to this study.</t>
  </si>
  <si>
    <t>1751-5521</t>
  </si>
  <si>
    <t>1751-553X</t>
  </si>
  <si>
    <t>INT J LAB HEMATOL</t>
  </si>
  <si>
    <t>Int. J. Lab. Hematol.</t>
  </si>
  <si>
    <t>2023 AUG 24</t>
  </si>
  <si>
    <t>10.1111/ijlh.14161</t>
  </si>
  <si>
    <t>S2ME9</t>
  </si>
  <si>
    <t>WOS:001069554700001</t>
  </si>
  <si>
    <t>Guzel, BC; Isbilir, F</t>
  </si>
  <si>
    <t>Guzel, Baris Can; Isbilir, Fatma</t>
  </si>
  <si>
    <t>Radiological examination of the skull of Siirt-coloured mohair goat, Romanov and Hamdani sheep</t>
  </si>
  <si>
    <t>craniometric measurements; goat (Capra Hircus); radiography; sheep (Ovis Aries)</t>
  </si>
  <si>
    <t>DOMESTIC SHEEP</t>
  </si>
  <si>
    <t>The skull is a vitally important complex structure formed by the combination of many bones. Craniometric studies are performed with various imaging methods to deter- mine morphometric characteristics in animals. One of these methods is radiogra- phy. In our study, skulls of 14 Hamdani sheep, 20 Siirt-coloured mohair goats and 20 Romanov sheep breeds were used. Skull sections were taken with a computed tomog- raphy device and saved in DICOM format. Nine separate measurements and six index calculations were made from the images. In the study, firstly, the gender difference was ignored and the similarities and differences between the species were recorded. In addition, gender differences were determined statistically, without making any distinction between species. Correlation analysis was performed to compare meas- urement parameters between animal species. As a result of the study, the highest skull length (SL) and cranial length (CL) values were determined in the Siirt-coloured mohair goat. It was determined that the difference between Romanov sheep and Siirt-coloured mohair goat in CL parameter was not statistically significant (p&gt; 0.05). In ad- dition, a statistically significant difference was observed between the Romanov sheep breed and the Hamdani sheep breed (p &lt; 0.01). The external length of the cranium (ELC) measurement parameter was found to have a statistically significant difference in three animals (p &lt; 0.01). According to the results of the correlation analysis, the highest correlation value was determined between cranial width (CW) and CL param- eters (r= 0.920). When the species difference was ignored, and the statistical differ- ence of the internal height of the cranium (IHC) parameter was found to be significant between female and male animals (p &lt; 0.05). In addition, it was determined that SL, CW and internal cranium index (ICI) parameters had a significant difference depend- ing on sex (p &lt; 0.01). It is foreseen that the obtained data can be used in sciences such as zoo archaeology, anatomy, surgery and forensic medicine.</t>
  </si>
  <si>
    <t>[Guzel, Baris Can; Isbilir, Fatma] Siirt Univ, Fac Vet Med, Dept Anat, Siirt, Turkiye</t>
  </si>
  <si>
    <t>Siirt University</t>
  </si>
  <si>
    <t>Guzel, BC (corresponding author), Siirt Univ, Fac Vet Med, Dept Anat, Siirt, Turkiye.</t>
  </si>
  <si>
    <t>bcguzel@hotmail.com</t>
  </si>
  <si>
    <t>Güzel, Barış can/HJI-0263-2023</t>
  </si>
  <si>
    <t>Guzel, Baris Can/0000-0002-2504-120X</t>
  </si>
  <si>
    <t>10.1111/ahe.12956</t>
  </si>
  <si>
    <t>R3QK3</t>
  </si>
  <si>
    <t>WOS:001063528900001</t>
  </si>
  <si>
    <t>Lewandowska, M; Carter, DJ; Gasparrini, A; Lohr, PA; Wellings, K</t>
  </si>
  <si>
    <t>Lewandowska, Maria; Carter, Daniel J.; Gasparrini, Antonio; Lohr, Patricia A.; Wellings, Kaye</t>
  </si>
  <si>
    <t>Impact of approval of home use of misoprostol in England on access to medical abortion: An interrupted time series analysis</t>
  </si>
  <si>
    <t>abortion; medical abortion; self-care; self-management; sexual and reproductive health; telemedicine; women's health</t>
  </si>
  <si>
    <t>ACCEPTABILITY; MIFEPRISTONE; SAFETY; EXPERIENCES; EFFICACY</t>
  </si>
  <si>
    <t>Objective: In 2018, the Department of Health and Social Care in England approved the use of misoprostol at home for early medical abortions, following administration of mifepristone at clinic. The objective of the present study was to assess the impact of the approval of home administration of misoprostol in England on access to medical abortion, assessed through proxy measures of the proportion of all abortions that were medical and gestational age.Methods: This study uses the clinical data from the British Pregnancy Advisory Service on abortions in England in years 2018-2019, containing demographic and procedure characteristics of patients. We conducted an interrupted time series analysis to establish the differences before and after the approval in access to medical abortion, measured by the proportion of all abortions that were medical, and gestational age. The analysis also examined whether these changes were equitable, with focus on area-level deprivation.Results: The analysis of the data (145 529 abortions) suggested that there was an increase in the proportion of medical abortions and decrease in gestational age of abortions after the approval. Compared with the situation if former trends had continued, the actual proportion of early medical abortions was 4.2% higher in December 2019, and the mean gestational age 3.4 days lower. We found that the acceleration of existing trends in increase in proportion of medical abortions and decrease in gestational age were larger in the most deprived quintiles and in those reporting a disability, but not equal across ethnic groups, with Black and Black British women experiencing little change in trajectories post-approval.Conclusion: The approval of home use of misoprostol as part of an early medical abortion regimen in England was associated with material and equitable improvements in abortion access. Pre-approval trends toward greater uptake of medical abortion and declining gestational age were accelerated post-approval and were greatest in the most deprived areas of England, but not across all racial/ethnic groups. The present findings strongly support the continuation or introduction of home management of medical abortions.</t>
  </si>
  <si>
    <t>[Lewandowska, Maria; Carter, Daniel J.; Gasparrini, Antonio; Wellings, Kaye] London Sch Hyg &amp; Trop Med, Fac Publ Hlth &amp; Policy, London, England; [Lohr, Patricia A.] British Pregnancy Advisory Serv, Ctr Reprod Res &amp; Commun, London, England; [Lewandowska, Maria] London Sch Hyg &amp; Trop Med, 15-17 Tavistock Pl, London WC1H 9SH, England</t>
  </si>
  <si>
    <t>University of London; London School of Hygiene &amp; Tropical Medicine; University of London; London School of Hygiene &amp; Tropical Medicine</t>
  </si>
  <si>
    <t>Lewandowska, M (corresponding author), London Sch Hyg &amp; Trop Med, 15-17 Tavistock Pl, London WC1H 9SH, England.</t>
  </si>
  <si>
    <t>maria.lewandowska@lshtm.ac.uk</t>
  </si>
  <si>
    <t>Gasparrini, Antonio/F-7627-2012</t>
  </si>
  <si>
    <t>Gasparrini, Antonio/0000-0002-2271-3568; Lohr, Patricia/0000-0003-1862-5730; Wellings, Kaye/0000-0003-1053-8640; Lewandowska, Maria/0000-0002-3012-1132</t>
  </si>
  <si>
    <t>We would like to thank BPAS for providing us with their clinical data. We also thank Dr Rebecca French for providing us with her comments on the manuscript. The lead authors affirm that this manuscript is an honest, accurate, and transparent account of the</t>
  </si>
  <si>
    <t>We would like to thank BPAS for providing us with their clinical data. We also thank Dr Rebecca French for providing us with her comments on the manuscript. The lead authors affirm that this manuscript is an honest, accurate, and transparent account of the study being reported; that no important aspects of the study have been omitted; and that any discrepancies from the study as planned (and, if relevant, registered) have been explained.</t>
  </si>
  <si>
    <t>10.1002/ijgo.15044</t>
  </si>
  <si>
    <t>R3RG3</t>
  </si>
  <si>
    <t>WOS:001063550900001</t>
  </si>
  <si>
    <t>Sengul, FS; Yildiz, O; Deveci, M; Ayyildiz, P; Guzeltas, A</t>
  </si>
  <si>
    <t>Sengul, Fatma Sevinc; Yildiz, Okan; Deveci, Murat; Ayyildiz, Pelin; Guzeltas, Alper</t>
  </si>
  <si>
    <t>From cyanosis to diagnosis: A case report on right atrial fibroma in a pediatric patient</t>
  </si>
  <si>
    <t>ECHOCARDIOGRAPHY-A JOURNAL OF CARDIOVASCULAR ULTRASOUND AND ALLIED TECHNIQUES</t>
  </si>
  <si>
    <t>cardiac tumor; echocardiography; fibroma; pediatrics</t>
  </si>
  <si>
    <t>CARDIAC TUMORS</t>
  </si>
  <si>
    <t>A 3-year-old female patient presented with symptoms of cyanosis and intermittent eyelid edema, leading to the discovery of a lobulated mass in the right atrium, obstructing the superior vena cava. Despite the inability to entirely remove the mass due to its origins in the right atrium myocardium and its extension towards the sinoatrial node, successful surgical intervention and subsequent histopathological evaluation identified the mass as a fibroma, and postoperative symptoms were significantly alleviated.</t>
  </si>
  <si>
    <t>[Sengul, Fatma Sevinc; Ayyildiz, Pelin; Guzeltas, Alper] Univ Hlth Sci Istanbul, Mehmet Akif Ersoy Thorac &amp; Cardiovasc Surg Trainin, Dept Pediat Cardiol, Istanbul, Turkiye; [Yildiz, Okan] Univ Hlth Sci Istanbul, Mehmet Akif Ersoy Thorac &amp; Cardiovasc Surg Trainin, Dept Pediat Cardiac Surg, Istanbul, Turkiye; [Deveci, Murat] Trakya Univ, Fac Med, Dept Pediat Cardiol, Edirne, Turkiye; [Sengul, Fatma Sevinc] Univ Mehmet Akif Ersoy Res &amp; Training Hosp, Dept Pediat Cardiol, Bezirganbahce St, Istanbul, Turkiye</t>
  </si>
  <si>
    <t>Trakya University</t>
  </si>
  <si>
    <t>Sengul, FS (corresponding author), Univ Mehmet Akif Ersoy Res &amp; Training Hosp, Dept Pediat Cardiol, Bezirganbahce St, Istanbul, Turkiye.</t>
  </si>
  <si>
    <t>doganfatmasevinc@gmail.com</t>
  </si>
  <si>
    <t>Deveci, Murat/A-6913-2015; Sevinc Sengul, Fatma/HIR-5964-2022</t>
  </si>
  <si>
    <t>Deveci, Murat/0000-0001-6246-671X; Sevinc Sengul, Fatma/0000-0001-6791-3777; Ayyildiz, Pelin/0000-0002-1811-3658</t>
  </si>
  <si>
    <t>This paper did not receive any specific grant from funding agencies in the public, commercial, or not-for-profit sectors.</t>
  </si>
  <si>
    <t>0742-2822</t>
  </si>
  <si>
    <t>1540-8175</t>
  </si>
  <si>
    <t>ECHOCARDIOGR-J CARD</t>
  </si>
  <si>
    <t>Echocardiography-J. Cardiovasc. Ultrasound Allied Tech.</t>
  </si>
  <si>
    <t>10.1111/echo.15674</t>
  </si>
  <si>
    <t>Q8HX2</t>
  </si>
  <si>
    <t>WOS:001059888400001</t>
  </si>
  <si>
    <t>Tao, P; Li, YJ; Zheng, K</t>
  </si>
  <si>
    <t>Tao, Pan; Li, Yujun; Zheng, Ke</t>
  </si>
  <si>
    <t>Electrochemical Direct C-H Halogenation of N-Heteroarenes and Naphthols</t>
  </si>
  <si>
    <t>electrochemistry; halogenation; N-heteroarenes; indoles; naphthols</t>
  </si>
  <si>
    <t>COUPLING REACTIONS; REGIOSELECTIVE HALOGENATION; ORGANIC ELECTROSYNTHESIS; SELECTIVE HALOGENATION; BROMINATION; FUNCTIONALIZATION; CHLORINATION; INDOLES; EFFICIENT; HALIDE</t>
  </si>
  <si>
    <t>In this study, we present a straightforward and environmentally friendly electrochemical approach for achieving selective halogenation of N-heteroarenes, including indoles, diazoles, pyrroles, quinolinone, and naphthols. Our method utilizes commercially available and affordable ammonium halides as halogen source. A library of valuable halogenated N-heteroarenes can be synthesized in moderate to excellent yields under mild conditions (transition-metal-free, oxidant-free, ethanol as solvent, atmospheric environment). The approach demonstrates a broad substrate scope, excellent tolerance towards various functional groups, and scalability.</t>
  </si>
  <si>
    <t>[Tao, Pan; Li, Yujun; Zheng, Ke] Sichuan Univ, Coll Chem, Key Lab Green Chem &amp; Technol, Minist Educ, Chengdu 610065, Peoples R China</t>
  </si>
  <si>
    <t>Zheng, K (corresponding author), Sichuan Univ, Coll Chem, Key Lab Green Chem &amp; Technol, Minist Educ, Chengdu 610065, Peoples R China.</t>
  </si>
  <si>
    <t>kzheng@scu.edu.cn</t>
  </si>
  <si>
    <t>We thank the Xiaoming Feng laboratory (SCU) for access to equipment. We also thank the comprehensive training platform of the Specialized Laboratory in the College of Chemistry at Sichuan University for compound testing. Funding: We acknowledge support fro [2020YJ0301]; National Natural Science Foundation of China [2020SCUNL204]; Sichuan Science and Technology Program; Sichuan University; Fundamental Research Funds for the Central Universities; [21602142]</t>
  </si>
  <si>
    <t>We thank the Xiaoming Feng laboratory (SCU) for access to equipment. We also thank the comprehensive training platform of the Specialized Laboratory in the College of Chemistry at Sichuan University for compound testing. Funding: We acknowledge support fro; National Natural Science Foundation of China(National Natural Science Foundation of China (NSFC)); Sichuan Science and Technology Program; Sichuan University(Sichuan University); Fundamental Research Funds for the Central Universities(Fundamental Research Funds for the Central Universities);</t>
  </si>
  <si>
    <t>We thank the Xiaoming Feng laboratory (SCU) for access to equipment. We also thank the comprehensive training platform of the Specialized Laboratory in the College of Chemistry at Sichuan University for compound testing. Funding: We acknowledge support from the National Natural Science Foundation of China (Nos. 21602142), Sichuan Science and Technology Program (Nos. 2020YJ0301), Sichuan University (Nos. 2020SCUNL204), and Fundamental Research Funds for the Central Universities.</t>
  </si>
  <si>
    <t>e202300622</t>
  </si>
  <si>
    <t>10.1002/ejoc.202300622</t>
  </si>
  <si>
    <t>P9KR0</t>
  </si>
  <si>
    <t>WOS:001053797200001</t>
  </si>
  <si>
    <t>Zhang, XF; Liu, TF; Zhu, L; Guan, JC; Lu, Y; Keal, TW; Buckeridge, J; Catlow, CRA; Sokol, AA</t>
  </si>
  <si>
    <t>Zhang, Xingfan; Liu, Taifeng; Zhu, Lei; Guan, Jingcheng; Lu, You; Keal, Thomas W.; Buckeridge, John; Catlow, C. Richard A.; Sokol, Alexey A.</t>
  </si>
  <si>
    <t>Bulk and Surface Contributions to Ionisation Potentials of Metal Oxides</t>
  </si>
  <si>
    <t>Ceria; Ionization Potential; Metal Oxides; QM/MM; Surface Chemistry</t>
  </si>
  <si>
    <t>CERIA CATALYSTS; CEO2(001); ENERGIES; EXCHANGE; PROGRAM; STATES; MODEL</t>
  </si>
  <si>
    <t>Determining the absolute band edge positions in solid materials is crucial for optimising their performance in wide-ranging applications including photocatalysis and electronic devices. However, obtaining absolute energies is challenging, as seen in CeO2, where experimental measurements show substantial discrepancies in the ionisation potential (IP). Here, we have combined several theoretical approaches, from classical electrostatics to quantum mechanics, to elucidate the bulk and surface contributions to the IP of metal oxides. We have determined a theoretical bulk contribution to the IP of stoichiometric CeO2 of only 5.38 eV, while surface orientation results in intrinsic IP variations ranging from 4.2 eV to 8.2 eV. Highly tuneable IPs were also found in TiO2, ZrO2, and HfO2, in which surface polarisation plays a pivotal role in long-range energy level shifting. Our analysis, in addition to rationalising the observed range of experimental results, provides a firm basis for future interpretations of experimental and computational studies of oxide band structures.</t>
  </si>
  <si>
    <t>[Zhang, Xingfan; Liu, Taifeng; Zhu, Lei; Guan, Jingcheng; Catlow, C. Richard A.; Sokol, Alexey A.] UCL, Dept Chem, Kathleen Lonsdale Mat Chem, London WC1H?0AJ, England; [Lu, You; Keal, Thomas W.] STFC Daresbury Lab, Sci Comp Dept, Warrington WA4 4AD, England; [Buckeridge, John] London South Bank Univ, Sch Engn, London SE1 0AA, England; [Catlow, C. Richard A.] Cardiff Univ, Sch Chem, Pk Pl, Cardiff CF10 1AT, Wales; [Liu, Taifeng] Henan Univ, Natl &amp; Local Joint Engn Res Ctr Appl Technol Hybri, Kaifeng 475004, Peoples R China</t>
  </si>
  <si>
    <t>University of London; University College London; STFC Daresbury Laboratory; London South Bank University; Cardiff University; Henan University</t>
  </si>
  <si>
    <t>Zhang, XF; Catlow, CRA; Sokol, AA (corresponding author), UCL, Dept Chem, Kathleen Lonsdale Mat Chem, London WC1H?0AJ, England.;Catlow, CRA (corresponding author), Cardiff Univ, Sch Chem, Pk Pl, Cardiff CF10 1AT, Wales.</t>
  </si>
  <si>
    <t>xingfan.zhang.20@ucl.ac.uk; c.r.a.catlow@ucl.ac.uk; a.sokol@ucl.ac.uk</t>
  </si>
  <si>
    <t>Zhang, Xingfan/S-8166-2017; Buckeridge, John/A-4780-2013; Sokol, Alexey/A-5409-2010</t>
  </si>
  <si>
    <t>Zhang, Xingfan/0000-0003-0852-4194; Keal, Thomas/0000-0001-8747-3975; Catlow, Charles/0000-0002-1341-1541; Zhu, Lei/0000-0002-6610-3542; Buckeridge, John/0000-0002-2537-5082; Sokol, Alexey/0000-0003-0178-1147</t>
  </si>
  <si>
    <t>The authors acknowledge the use of the THOMAS, YOUNG, and ARCHER2 UK National Supercomputing Service () via membership of UKamp;apos;s HEC Materials Chemistry Consortium, which is funded by EPSRC (Grant No. EP/X035859, EP/P020194, EP/T022213, and EP/R0294 [EP/W014378, EP/W026775, EP/R001847, EP/K038419, EP/I030662]; EPSRC; China Scholarship Council (CSC); [EP/W014580]</t>
  </si>
  <si>
    <t>The authors acknowledge the use of the THOMAS, YOUNG, and ARCHER2 UK National Supercomputing Service () via membership of UKamp;apos;s HEC Materials Chemistry Consortium, which is funded by EPSRC (Grant No. EP/X035859, EP/P020194, EP/T022213, and EP/R0294; EPSRC(UK Research &amp; Innovation (UKRI)Engineering &amp; Physical Sciences Research Council (EPSRC)); China Scholarship Council (CSC)(China Scholarship Council);</t>
  </si>
  <si>
    <t>The authors acknowledge the use of the THOMAS, YOUNG, and ARCHER2 UK National Supercomputing Service () via membership of UK &amp; apos;s HEC Materials Chemistry Consortium, which is funded by EPSRC (Grant No. EP/X035859, EP/P020194, EP/T022213, and EP/R029431). We also acknowledge funding provided by EPSRC under Grant No. EP/W014580, EP/W014378, EP/W026775, EP/R001847, EP/K038419, and EP/I030662. We are grateful to Professors Robert Palgrave and Chris Blackman for useful discussions. X. Z. acknowledges the support from the China Scholarship Council (CSC) and Han Yu for useful discussions.</t>
  </si>
  <si>
    <t>e202308411</t>
  </si>
  <si>
    <t>10.1002/anie.202308411</t>
  </si>
  <si>
    <t>P9NL1</t>
  </si>
  <si>
    <t>WOS:001053871600001</t>
  </si>
  <si>
    <t>Avcilar, OV; Onbasilar, EE; Yalcin, S; Akca, H; Gundogar, UC</t>
  </si>
  <si>
    <t>Avcilar, Ozlem Varol; Onbasilar, Esin Ebru; Yalcin, Sakine; Akca, Hanife; Gundogar, Umut Can</t>
  </si>
  <si>
    <t>Egg mineral levels, hatching results and bone properties in embryos and chicks obtained from broiler breeders at different ages</t>
  </si>
  <si>
    <t>breeder age; chick bone; egg; embryo; mineral</t>
  </si>
  <si>
    <t>YOLK ABSORPTION; FLOCK AGE; HATCHABILITY; PERFORMANCE; INCUBATION; DEFICIENT; STRENGTH; QUALITY; POULTRY; WEIGHT</t>
  </si>
  <si>
    <t>It is inevitable to obtain chicks from breeders of different ages in broiler fattening. However, breeder age has an effect on eggs. There is no detailed study on the changes in mineral levels in eggs and bones of these effects. Therefore, the aim of this study examines how mineral levels of shell, albumen, egg yolk, and bone, embryonic development and bone characteristics change according to the breeder age. A total of 370 fresh hatching eggs were obtained from Ross-308 breeders at 2 different ages (25 to 60-week-old). Egg, embryo, yolk sac and chick characteristics were determined. Morphometric parameters of bones of embryos at 19 days of age and chicks at hatch were examined. Mineral levels of albumen, yolk, shell and bones of embryo and chick were determined. Egg weight, embryo weight, embryo length, chick weight and chick length were higher in old breeder than those of younger one. Femur length, width and Seedor index of tibia, weight, width and Seedor index of metatarsus were found to be high in embryos at 19 days of old breeder than young breeder. There were differences in relative femur weight, tibia length and relative metatarsus weight of chicks at hatch. The mineral levels were high in the femur, tibia and metatarsus of embryos and chicks, in parts of the egg of old breeder. K, Ca, Mg, P, Fe and Mn levels in the eggshell were decreased during incubation. Ca and Mg levels were decreased in the yolk during incubation. K, Ca, Mg, P, Fe, Zn and Mn levels were found to be high in chick bones than those of bones of embryos at 19 days of age. The total embryonic death was found to be high in the fertile eggs of younger breeder group. No differences were observed in fertility, hatchability of fertile and set eggs according to the age of breeders. These data may be useful in designing in-ovo injections, formulating diets of broiler breeders and broilers and in preventing bone diseases in broilers.</t>
  </si>
  <si>
    <t>[Avcilar, Ozlem Varol] Osmaniye Korkut Ata Univ, Fac Hlth Sci, Dept Nutr &amp; Dietet, Osmaniye, Turkiye; [Onbasilar, Esin Ebru; Yalcin, Sakine; Gundogar, Umut Can] Ankara Univ, Fac Vet Med, Dept Anim Husb, Ankara, Turkiye; [Akca, Hanife] Ankara Univ, Fac Agr, Dept Soil Sci &amp; Plant Nutr, Ankara, Turkiye</t>
  </si>
  <si>
    <t>Osmaniye Korkut Ata University; Ankara University; Ankara University</t>
  </si>
  <si>
    <t>Avcilar, OV (corresponding author), Osmaniye Korkut Ata Univ, Fac Hlth Sci, Dept Nutr &amp; Dietet, Osmaniye, Turkiye.</t>
  </si>
  <si>
    <t>ovarolavcilar@osmaniye.edu.tr</t>
  </si>
  <si>
    <t>Varol Avcılar, Özlem/JEZ-7599-2023; Onbaşılar, Esin Ebru/AAF-9514-2020; Akca, Hanife/AAW-5570-2021</t>
  </si>
  <si>
    <t>Onbaşılar, Esin Ebru/0000-0002-1321-0280; Akca, Hanife/0000-0001-8529-6469; Varol Avcilar, Ozlem/0000-0001-5999-9750</t>
  </si>
  <si>
    <t>Osmaniye Korkut Ata University</t>
  </si>
  <si>
    <t>Osmaniye Korkut Ata University(Osmaniye Korkut Ata University)</t>
  </si>
  <si>
    <t>2023 AUG 23</t>
  </si>
  <si>
    <t>10.1111/jpn.13874</t>
  </si>
  <si>
    <t>P6TO1</t>
  </si>
  <si>
    <t>WOS:001051982100001</t>
  </si>
  <si>
    <t>Figlerowicz, M</t>
  </si>
  <si>
    <t>Figlerowicz, Marta</t>
  </si>
  <si>
    <t>Poland's Other Pope: Re-appreciating Maria Janion</t>
  </si>
  <si>
    <t>CRITICAL QUARTERLY</t>
  </si>
  <si>
    <t>[Figlerowicz, Marta] Yale Univ, Dept Comparat Literature, New Haven, CT 06520 USA</t>
  </si>
  <si>
    <t>Yale University</t>
  </si>
  <si>
    <t>Figlerowicz, M (corresponding author), Yale Univ, Dept Comparat Literature, New Haven, CT 06520 USA.</t>
  </si>
  <si>
    <t>marta.figlerowicz@yale.edu</t>
  </si>
  <si>
    <t>0011-1562</t>
  </si>
  <si>
    <t>1467-8705</t>
  </si>
  <si>
    <t>CRIT QUART</t>
  </si>
  <si>
    <t>Crit. Q.</t>
  </si>
  <si>
    <t>10.1111/criq.12738</t>
  </si>
  <si>
    <t>Literary Reviews</t>
  </si>
  <si>
    <t>Literature</t>
  </si>
  <si>
    <t>P7RE1</t>
  </si>
  <si>
    <t>WOS:001052600200001</t>
  </si>
  <si>
    <t>Ma, Y; Li, WJ; Liu, Y; Guo, WQ; Xu, HJ; Han, SG; Tang, LW; Fan, QS; Luo, JH; Sun, ZH</t>
  </si>
  <si>
    <t>Ma, Yu; Li, Wenjing; Liu, Yi; Guo, Wuqian; Xu, Haojie; Han, Shiguo; Tang, Liwei; Fan, Qingshun; Luo, Junhua; Sun, Zhihua</t>
  </si>
  <si>
    <t>Polarization-Dependent Large Photorefractive Effect In A Wide Bandgap 2D Metal Halide Ferroelectric</t>
  </si>
  <si>
    <t>ferroelectric; light-induced pyroelectricity; metal halide; photorefractive effect</t>
  </si>
  <si>
    <t>COMPOSITES; LINBO3; DAMAGE</t>
  </si>
  <si>
    <t>Photorefractive effect of ferroelectrics refers to the light-induced change of refractive index, which is an optical controlling avenue in holographic storage and image processing. For most ferroelectrics, however, the small photorefractive effect (10(-5)-10(-4)) hinders their practical application and it is urgent to exploit new photorefractive system. Here, for the first time, strong photorefractive effects are achieved in a 2D metal-halide ferroelectric, [CH3(CH2)(3)NH3](2)(CH3NH3)Pb2Cl7 (1), showing large spontaneous polarization (approximate to 4.1 mu C cm(-2)) and wide optical bandgap (approximate to 3.20 eV). Notably, under light irradiation, 1 enables a large variation of refractive indices up to approximate to 1x 10(-3), being one order higher than the existing materials and comparable to the state-of-the-art inorganic ferroelectrics. This intriguing photorefractive behavior involves with the sharp variation of polarization caused by photo-pyroelectricity. As the first report of 2D metal-halide photorefractive ferroelectric, this work sheds light on optical controlling of physical properties in electric-ordered materials.</t>
  </si>
  <si>
    <t>[Ma, Yu; Li, Wenjing; Liu, Yi; Guo, Wuqian; Xu, Haojie; Han, Shiguo; Tang, Liwei; Fan, Qingshun; Luo, Junhua; Sun, Zhihua] Chinese Acad Sci, State Key Lab Struct Chem, Fujian Inst Res Struct Matter, Fuzhou 350002, Fujian, Peoples R China; [Ma, Yu; Li, Wenjing; Liu, Yi; Guo, Wuqian; Xu, Haojie; Han, Shiguo; Tang, Liwei; Fan, Qingshun; Luo, Junhua; Sun, Zhihua] Univ Chinese Acad Sci, Chinese Acad Sci, Beijing 100039, Peoples R China</t>
  </si>
  <si>
    <t>Chinese Academy of Sciences; Fujian Institute of Research on the Structure of Matter, CAS; Chinese Academy of Sciences; University of Chinese Academy of Sciences, CAS</t>
  </si>
  <si>
    <t>Sun, ZH (corresponding author), Chinese Acad Sci, State Key Lab Struct Chem, Fujian Inst Res Struct Matter, Fuzhou 350002, Fujian, Peoples R China.;Sun, ZH (corresponding author), Univ Chinese Acad Sci, Chinese Acad Sci, Beijing 100039, Peoples R China.</t>
  </si>
  <si>
    <t>sunzhihua@fjirsm.ac.cn</t>
  </si>
  <si>
    <t>zhihua, sun/0000-0003-2659-3927</t>
  </si>
  <si>
    <t>This work was financially supported by NSF (22125110, 21875251, 22205233, 22193042, 21833010, 21921001, and U21A2069), the Key Research Program of Frontier Sciences of the Chinese Academy of Sciences (ZDBS-LY-SLH024), the National Postdoctoral Program for [21875251, 22205233, 22193042, 21833010, 21921001, U21A2069, ZDBS-LY-SLH024]; NSF [BX2021315, 2019YFA0210402]; Key Research Program of Frontier Sciences of the Chinese Academy of Sciences [2023J01235]; National Key Research and Development Program of China [2022TQ0337]; Natural Science Foundation of Fujian Province; China Postdoctoral Science Fund; [22125110]</t>
  </si>
  <si>
    <t>This work was financially supported by NSF (22125110, 21875251, 22205233, 22193042, 21833010, 21921001, and U21A2069), the Key Research Program of Frontier Sciences of the Chinese Academy of Sciences (ZDBS-LY-SLH024), the National Postdoctoral Program for; NSF(National Science Foundation (NSF)); Key Research Program of Frontier Sciences of the Chinese Academy of Sciences; National Key Research and Development Program of China; Natural Science Foundation of Fujian Province(Natural Science Foundation of Fujian Province); China Postdoctoral Science Fund(China Postdoctoral Science Foundation);</t>
  </si>
  <si>
    <t>This work was financially supported by NSF (22125110, 21875251, 22205233, 22193042, 21833010, 21921001, and U21A2069), the Key Research Program of Frontier Sciences of the Chinese Academy of Sciences (ZDBS-LY-SLH024), the National Postdoctoral Program for Innovative Talents BX2021315, the National Key Research and Development Program of China (2019YFA0210402), Natural Science Foundation of Fujian Province (2023J01235), and the China Postdoctoral Science Fund (2022TQ0337).</t>
  </si>
  <si>
    <t>AUG 23</t>
  </si>
  <si>
    <t>10.1002/smll.202303909</t>
  </si>
  <si>
    <t>P8UC0</t>
  </si>
  <si>
    <t>WOS:001053358400001</t>
  </si>
  <si>
    <t>Nkurikiye, E; Chen, GJ; Tilley, M; Wu, XR; Zhang, GR; Fritz, A; Li, YH</t>
  </si>
  <si>
    <t>Nkurikiye, Eric; Chen, Gengjun; Tilley, Michael; Wu, Xiaorong; Zhang, Guorong; Fritz, Allan; Li, Yonghui</t>
  </si>
  <si>
    <t>Incorporating chickpea flour can enhance mixing tolerance and dough strength of wheat flour</t>
  </si>
  <si>
    <t>CEREAL CHEMISTRY</t>
  </si>
  <si>
    <t>chickpea; dough strength; extensibility; mixing stability; mixograph; sensory</t>
  </si>
  <si>
    <t>FUNCTIONAL-PROPERTIES; BREAD QUALITY; GLUTEN; RHEOLOGY; WATER; EXTENSIBILITY; PERFORMANCE; PROTEINS; IMPACT; STARCH</t>
  </si>
  <si>
    <t>Background and ObjectiveDough mixing properties are crucial in determining the usability of wheat flour. Currently, many industrial sourced chemicals are used as additives to improve the mixing stability of dough. This study aims to evaluate the effect of adding chickpea flour on mixing tolerance and dough strength improvement based on 20 different wheat genotypes. The effects of different types (i.e., kabuli and desi) and amounts (1.5%, 3.75%, 7.5%, 15%, and 30%, w/w) of chickpea flours and kabuli chickpea fractions (7.5%) were further studied. Mixograph, dough strength and extensibility, and baking test of selected treatments were performed. FindingsIncorporating chickpea flour at a level of 7.5% (w/w flour basis) or lower significantly improved (p &lt; .05) the mixing stability and dough strength of different wheat flours. Adding the insoluble fraction of the chickpea flour resulted in better stability and dough strength compared to other fractions, while adding the soluble fraction of chickpea flour weakened the dough. At the optimum incorporation level (7.5%) or lower, the inclusion of chickpea flour did not negatively alter the physical (bread volume), texture (hardness), or taste attributes of the bread. ConclusionThe results demonstrate that adding chickpea flour can improve dough mixing properties, particularly for weak/normal wheat flour, without compromising the quality of bread. The optimal chickpea flour incorporation level in refined wheat flour is 7.5%. Chickpea flour incorporation could also assist bakers in case of overmixing the dough. Significance and NoveltyThis study portrays the use of natural ingredients to improve dough mixing properties, providing bakers and scientific community with natural alternatives to enhance wheat flour mixing properties while improving the quality and nutrition of the flour as chickpea is a protein-rich legume.</t>
  </si>
  <si>
    <t>[Nkurikiye, Eric; Chen, Gengjun; Li, Yonghui] Kansas State Univ, Dept Grain Sci &amp; Ind, Manhattan, KS USA; [Tilley, Michael; Wu, Xiaorong] USDA, Ctr Grain &amp; Anim Hlth Res, Agr Res Serv, Manhattan, KS USA; [Zhang, Guorong] Kansas State Univ, Agr Res Ctr Hays, Hays, KS USA; [Fritz, Allan] Kansas State Univ, Dept Agron, Manhattan, KS USA; [Li, Yonghui] Kansas State Univ, Dept Grain Sci &amp; Ind, Manhattan, KS 66506 USA</t>
  </si>
  <si>
    <t>Kansas State University; United States Department of Agriculture (USDA); Kansas State University; Kansas State University; Kansas State University</t>
  </si>
  <si>
    <t>Li, YH (corresponding author), Kansas State Univ, Dept Grain Sci &amp; Ind, Manhattan, KS 66506 USA.</t>
  </si>
  <si>
    <t>yonghui@ksu.edu</t>
  </si>
  <si>
    <t>Li, Yonghui/E-8925-2011; Chen, Gengjun/N-6746-2019</t>
  </si>
  <si>
    <t>Li, Yonghui/0000-0003-4320-0806; Chen, Gengjun/0000-0002-1462-5461</t>
  </si>
  <si>
    <t>USDA Pulse Crop Health Initiative (PCHI) [0439205]; USDA National Institute of Food and Agriculture Hatch Project [7003330]</t>
  </si>
  <si>
    <t>USDA Pulse Crop Health Initiative (PCHI); USDA National Institute of Food and Agriculture Hatch Project</t>
  </si>
  <si>
    <t>USDA Pulse Crop Health Initiative (PCHI), Grant/Award Number: 0439205; USDA National Institute of Food and Agriculture Hatch Project, Grant/Award Number: 7003330</t>
  </si>
  <si>
    <t>0009-0352</t>
  </si>
  <si>
    <t>1943-3638</t>
  </si>
  <si>
    <t>CEREAL CHEM</t>
  </si>
  <si>
    <t>Cereal Chem.</t>
  </si>
  <si>
    <t>10.1002/cche.10705</t>
  </si>
  <si>
    <t>Chemistry, Applied; Food Science &amp; Technology</t>
  </si>
  <si>
    <t>Chemistry; Food Science &amp; Technology</t>
  </si>
  <si>
    <t>P7TM2</t>
  </si>
  <si>
    <t>WOS:001052660500001</t>
  </si>
  <si>
    <t>Park, HW; Byun, S; Kim, KD; Ryoo, SK; Lee, IS; Lee, YB; Lee, SH; Nam, HW; Lee, JH; Song, JH; Shin, SJ; Hwang, CS</t>
  </si>
  <si>
    <t>Park, Hyeon Woo; Byun, Seungyong; Kim, Kyung Do; Ryoo, Seung Kyu; Lee, In Soo; Lee, Yong Bin; Lee, Suk Hyun; Nam, Hyun Woo; Lee, Jae Hoon; Song, Jae Hee; Shin, Sung Jae; Hwang, Cheol Seong</t>
  </si>
  <si>
    <t>Exploring the Physical Origin of the Negative Capacitance Effect in a Metal-Ferroelectric-Metal-Dielectric Structure</t>
  </si>
  <si>
    <t>charge screening; ferroelectric multidomain simulation; inhomogeneous stray field; negative capacitance</t>
  </si>
  <si>
    <t>LAYER; TRANSISTORS</t>
  </si>
  <si>
    <t>The ferroelectric negative capacitance (NC) draws a great deal of attention for low-power negative capacitance field-effect transistors (NCFET) and NC capacitors. The fabrication of steep-slope FET (subthreshold swing &lt; 60mVdec-1) is reported, followed by modeling approaches. While the device fabrication favors a ferroelectric gate structure without interlayer metal, many NCFET models adopt interlayer metal between the ferroelectric layer and metal-insulator-semiconductor structure. The metal interlayer averages out spatial variation in the ferroelectric polarization, enabling a compact charge-based relation between the layers. In addition, the approach assumes that the NC effect emerges from the ferroelectric layer regardless of the metal interlayer, which is not necessarily probable. This work reinvestigates the possible NC effect in ferroelectric-dielectric capacitors connected by a metal interlayer. The experiment confirms that the NC effect in the metal-ferroelectric-dielectric-metal structure does not appear in the metal-ferroelectric-metal-dielectric-metal structure. These results are inconsistent with the multidomain-1D Landau-Ginzburg-Devonshire model. In contrast, the suppression of the NC effect in the structure is fully explained by the advanced inhomogeneous stray-field energy model, which simulates the dynamic evolution of polarization and screening charges. Therefore, an NCFET with a metal interlayer is impractical.</t>
  </si>
  <si>
    <t>[Park, Hyeon Woo; Byun, Seungyong; Kim, Kyung Do; Ryoo, Seung Kyu; Lee, In Soo; Lee, Yong Bin; Lee, Suk Hyun; Nam, Hyun Woo; Lee, Jae Hoon; Song, Jae Hee; Shin, Sung Jae; Hwang, Cheol Seong] Seoul Natl Univ, Coll Engn, Interuniv Semicond Res Ctr, Dept Mat Sci &amp; Engn, Seoul 08826, South Korea; [Park, Hyeon Woo] Georgia Inst Technol, Sch Elect &amp; Comp Engn, Atlanta, GA 30332 USA</t>
  </si>
  <si>
    <t>Seoul National University (SNU); University System of Georgia; Georgia Institute of Technology</t>
  </si>
  <si>
    <t>Hwang, CS (corresponding author), Seoul Natl Univ, Coll Engn, Interuniv Semicond Res Ctr, Dept Mat Sci &amp; Engn, Seoul 08826, South Korea.</t>
  </si>
  <si>
    <t>cheolsh@snu.ac.kr</t>
  </si>
  <si>
    <t>H.W.P. and S.B. contributed equally to this work.</t>
  </si>
  <si>
    <t>10.1002/adfm.202304754</t>
  </si>
  <si>
    <t>P8UZ6</t>
  </si>
  <si>
    <t>WOS:001053382200001</t>
  </si>
  <si>
    <t>Qi, MH; Suleman, M; Wang, YX; Lu, P; Wang, YG</t>
  </si>
  <si>
    <t>Qi, Minghui; Suleman, Muhammad; Wang, Yingxiao; Lu, Ping; Wang, Yanguang</t>
  </si>
  <si>
    <t>Synthesis of Isochromeno[3,4-d]imidazoles via Rh(II)-catalyzed [3+2] Annulation between 4-Diazoisochroman-3-imines and Oximes</t>
  </si>
  <si>
    <t>ASIAN JOURNAL OF ORGANIC CHEMISTRY</t>
  </si>
  <si>
    <t>diazo compounds; annulation; metal carbenes; Rh(II) catalysis</t>
  </si>
  <si>
    <t>ORGANIC-SYNTHESIS; IONIC LIQUIDS; IMIDAZOLES</t>
  </si>
  <si>
    <t>A series of isochromeno[3,4-d]imidazoles were synthesized in good yields via Rh(II)-catalyzed [3+2] annulation between 4-diazoisochroman-3-imines and oximes. This method involves the formation of rhodium carbene intermediates and elucidates the unique reactivity of oximes under Rh(II) catalysis. Operationally simple and mild reaction conditions with broad substrate diversity, and readily accessible starting materials and rhodium catalyst are the merits of our reaction.</t>
  </si>
  <si>
    <t>[Qi, Minghui; Suleman, Muhammad; Wang, Yingxiao; Lu, Ping; Wang, Yanguang] Zhejiang Univ, Dept Chem, Hangzhou 310027, Peoples R China</t>
  </si>
  <si>
    <t>Zhejiang University</t>
  </si>
  <si>
    <t>Lu, P; Wang, YG (corresponding author), Zhejiang Univ, Dept Chem, Hangzhou 310027, Peoples R China.</t>
  </si>
  <si>
    <t>pinglu@zju.edu.cn; orgwyg@zju.edu.cn</t>
  </si>
  <si>
    <t>Wang, Yanguang/0000-0002-5096-7450</t>
  </si>
  <si>
    <t>National Natural Science Foundation of China [22171241]</t>
  </si>
  <si>
    <t>Acknowledgments This work was financially supported by the National Natural Science Foundation of China (grant No. 22171241).</t>
  </si>
  <si>
    <t>2193-5807</t>
  </si>
  <si>
    <t>2193-5815</t>
  </si>
  <si>
    <t>ASIAN J ORG CHEM</t>
  </si>
  <si>
    <t>Asian J. Org. Chem.</t>
  </si>
  <si>
    <t>10.1002/ajoc.202300343</t>
  </si>
  <si>
    <t>P6UO8</t>
  </si>
  <si>
    <t>WOS:001052008800001</t>
  </si>
  <si>
    <t>Song, X; Chen, C; Arthur, E; Tuller, M; Zhou, H; Shang, JY; Hu, KL</t>
  </si>
  <si>
    <t>Song, Xue; Chen, Chong; Arthur, Emmanuel; Tuller, Markus; Zhou, Hu; Shang, Jianying; Hu, Kelin</t>
  </si>
  <si>
    <t>Effect of soil organic matter on sorption of water vapor and associated hysteresis</t>
  </si>
  <si>
    <t>SOIL SCIENCE SOCIETY OF AMERICA JOURNAL</t>
  </si>
  <si>
    <t>MOISTURE SORPTION; ADSORPTION; REPELLENCY; AGGREGATE</t>
  </si>
  <si>
    <t>In-depth knowledge about the impact of organic matter (OM) on soil water vapor sorption (SWVS) and associated hysteresis related to various water activity (a(w)) levels is limited. The objective of this study was to elucidate the effect of OM on SWVS and sorption hysteresis for different a(w) levels. We measured water sorption isotherms and physicochemical properties of eight soils with varying clay (6%-47%) and OM (2.0%-7.8%) contents before and after OM removal. In general, OM increased SWVS, but the effect of OM on SWVS varied for different a(w) ranges. The presence of OM generally increased water vapor sorption during the adsorption process. For soils with OM content above 4.6%, the presence of OM decreased water vapor sorption during the condensation process. The local hysteresis (H-w) of soils with OM was higher than that of soils without OM for soils with OM contents above 3.4%. For a(w) &lt; &amp; SIM;0.75, the water vapor sorption hysteresis of soils with and without OM showed a significant correlation with cation exchange capacity (CEC), and the H-w values of soils with OM were lower than that of soils without OM for the same CEC. The OM can affect water vapor sorption and the associated hysteresis at low a(w) levels through adsorbed cations and organic functional groups, and at high a(w) levels through the structures of pores and OM.</t>
  </si>
  <si>
    <t>[Song, Xue; Chen, Chong; Zhou, Hu; Shang, Jianying; Hu, Kelin] China Agr Univ, Key Lab Arable Land Conservat North China, Coll Land Sci &amp; Technol, Minist Agr, Beijing, Peoples R China; [Arthur, Emmanuel] Aarhus Univ, Dept Agroecol, Tjele, Denmark; [Tuller, Markus] Univ Arizona, Dept Environm Sci, Tucson, AZ USA</t>
  </si>
  <si>
    <t>Ministry of Agriculture &amp; Rural Affairs; China Agricultural University; Aarhus University; University of Arizona</t>
  </si>
  <si>
    <t>Chen, C (corresponding author), China Agr Univ, Key Lab Arable Land Conservat North China, Coll Land Sci &amp; Technol, Minist Agr, Beijing, Peoples R China.</t>
  </si>
  <si>
    <t>chenchongsxnd@cau.edu.cn</t>
  </si>
  <si>
    <t>Arthur, Emmanuel/C-5649-2015</t>
  </si>
  <si>
    <t>Arthur, Emmanuel/0000-0002-0788-0712; Zhou, Hu/0000-0003-4947-0946</t>
  </si>
  <si>
    <t>National Key Research and Development Program of China [2021YFD1500802]; National Natural Science Foundation of China [42177273, U1832188]</t>
  </si>
  <si>
    <t>National Key Research and Development Program of China; National Natural Science Foundation of China(National Natural Science Foundation of China (NSFC))</t>
  </si>
  <si>
    <t>ACKNOWLEDGMENTS This work was financially supported in part by the National Key Research and Development Program of China (2021YFD1500802) and the National Natural Science Foundation of China (42177273 and U1832188).</t>
  </si>
  <si>
    <t>0361-5995</t>
  </si>
  <si>
    <t>1435-0661</t>
  </si>
  <si>
    <t>SOIL SCI SOC AM J</t>
  </si>
  <si>
    <t>Soil Sci. Soc. Am. J.</t>
  </si>
  <si>
    <t>10.1002/saj2.20577</t>
  </si>
  <si>
    <t>Soil Science</t>
  </si>
  <si>
    <t>P6RC6</t>
  </si>
  <si>
    <t>WOS:001051918600001</t>
  </si>
  <si>
    <t>Tran, KN; Pantha, P; Wang, GN; Kumar, N; Wijesinghege, C; Oh, DH; Wimalagunasekara, S; Duppen, N; Li, HF; Hong, H; Johnson, JC; Kelt, R; Matherne, MG; Nguyen, TT; Garcia, JR; Clement, A; Tran, D; Crain, C; Adhikari, P; Zhang, YX; Foroozani, M; Sessa, G; Larkin, JC; Smith, AP; Longstreth, D; Finnegan, P; Testerink, C; Barak, S; Dassanayake, M</t>
  </si>
  <si>
    <t>Tran, Kieu-Nga; Pantha, Pramod; Wang, Guannan; Kumar, Narender; Wijesinghege, Chathura; Oh, Dong-Ha; Wimalagunasekara, Samadhi; Duppen, Nick; Li, Hongfei; Hong, Hyewon; Johnson, John C.; Kelt, Ross; Matherne, Megan G.; Nguyen, Thu T.; Garcia, Jason R.; Clement, Ashley; Tran, David; Crain, Colt; Adhikari, Prava; Zhang, Yanxia; Foroozani, Maryam; Sessa, Guido; Larkin, John C.; Smith, Aaron P.; Longstreth, David; Finnegan, Patrick; Testerink, Christa; Barak, Simon; Dassanayake, Maheshi</t>
  </si>
  <si>
    <t>Balancing growth amidst salt stress - lifestyle perspectives from the extremophyte model Schrenkiella parvula</t>
  </si>
  <si>
    <t>PLANT JOURNAL</t>
  </si>
  <si>
    <t>Extremophyte; abiotic stress; trade-offs; plasticity; stress-resilient growth; salt stress; life history traits; physiological responses; structural adaptations</t>
  </si>
  <si>
    <t>LEAF SUCCULENCE; TOLERANCE; SALINITY; ADAPTATION; CONSTRAINTS; HALOPHYTES; EXPRESSION; EVOLUTION; SODIUM; GENOME</t>
  </si>
  <si>
    <t>Schrenkiella parvula, a leading extremophyte model in Brassicaceae, can grow and complete its lifecycle under multiple environmental stresses, including high salinity. Yet, the key physiological and structural traits underlying its stress-adapted lifestyle are unknown along with trade-offs when surviving salt stress at the expense of growth and reproduction. We aimed to identify the influential adaptive trait responses that lead to stress-resilient and uncompromised growth across developmental stages when treated with salt at levels known to inhibit growth in Arabidopsis and most crops. Its resilient growth was promoted by traits that synergistically allowed primary root growth in seedlings, the expansion of xylem vessels across the root-shoot continuum, and a high capacity to maintain tissue water levels by developing thicker succulent leaves while enabling photosynthesis during salt stress. A successful transition from vegetative to reproductive phase was initiated by salt-induced early flowering, resulting in viable seeds. Self-fertilization in salt-induced early flowering was dependent upon filament elongation in flowers otherwise aborted in the absence of salt during comparable plant ages. The maintenance of leaf water status promoting growth, and early flowering to ensure reproductive success in a changing environment, were among the most influential traits that contributed to the extremophytic lifestyle of S. parvula.</t>
  </si>
  <si>
    <t>[Tran, Kieu-Nga; Pantha, Pramod; Wang, Guannan; Kumar, Narender; Wijesinghege, Chathura; Oh, Dong-Ha; Wimalagunasekara, Samadhi; Johnson, John C.; Kelt, Ross; Matherne, Megan G.; Nguyen, Thu T.; Garcia, Jason R.; Clement, Ashley; Crain, Colt; Adhikari, Prava; Foroozani, Maryam; Larkin, John C.; Smith, Aaron P.; Longstreth, David; Dassanayake, Maheshi] Louisiana State Univ, Dept Biol Sci, Baton Rouge, LA 70803 USA; [Duppen, Nick] Ben Gurion Univ Negev, Albert Katz Int Sch Desert Studies, Sde Boqer Campus, IL-8499000 Beer Sheva, Israel; [Li, Hongfei; Zhang, Yanxia] Wageningen Univ &amp; Res, Lab Plant Physiol, Plant Sci Grp, NL-6708 PB Wageningen, Netherlands; [Hong, Hyewon] Univ Illinois, Dept Plant Biol, Urbana, IL 61801 USA; [Tran, David] Univ Miami, Dept Biochem, Coral Gables, FL 33146 USA; [Tran, David] Univ Miami, Dept Psychol, Coral Gables, FL 33146 USA; [Crain, Colt] Louisiana Sch Math Sci &amp; Arts, Natchitoches, LA 71457 USA; [Sessa, Guido] Tel Aviv Univ, George S Wise Fac Life Sci, Sch Plant Sci &amp; Food Secur, Tel Aviv, Israel; [Finnegan, Patrick] Univ Western Australia, Sch Biol Sci, Perth 6009, Australia; [Barak, Simon] Ben Gurion Univ Negev, French Associates Inst Agr &amp; Biotechnol Drylands, Jacob Blaustein Inst Desert Res, Sde Boqer Campus, IL-8499000 Beer Sheva, Israel</t>
  </si>
  <si>
    <t>Louisiana State University System; Louisiana State University; Ben Gurion University; Wageningen University &amp; Research; University of Illinois System; University of Illinois Urbana-Champaign; University of Miami; University of Miami; Tel Aviv University; University of Western Australia; Ben Gurion University</t>
  </si>
  <si>
    <t>Dassanayake, M (corresponding author), Louisiana State Univ, Dept Biol Sci, Baton Rouge, LA 70803 USA.</t>
  </si>
  <si>
    <t>maheshid@lsu.edu</t>
  </si>
  <si>
    <t>Kumar, Narender/J-3355-2019; Oh, Dong-Ha/O-7591-2019; Pantha, Pramod/AAV-4249-2020; Finnegan, Patrick/B-3469-2011</t>
  </si>
  <si>
    <t>Kumar, Narender/0000-0002-2009-3158; Oh, Dong-Ha/0000-0003-1526-9814; Pantha, Pramod/0000-0001-5654-4355; Wimalagunasekara, Samadhi/0000-0003-1705-6409; Finnegan, Patrick/0000-0001-5021-1138</t>
  </si>
  <si>
    <t>US National Science Foundation/US-Israel Binational Science Foundation [NSF-BSF-IOS-EDGE 1923589/2019610, NSF-MCB-1616827]; US Department of Energy [BER-DE-SC0020358, BER DE-SC0022985]; Next-Generation BioGreen21 Program of Republic of Korea [PJ01317301]; Goldinger Trust Jewish Fund for the Future awards; Economic Development Assistantship; President's Future Leaders in Research Program at the Louisiana State University (LSU); China Scholarship Council (CSC) through a Sino-Dutch Bilateral Exchange Scholarship; European Research Council (ERC) under the EU [724321]</t>
  </si>
  <si>
    <t>US National Science Foundation/US-Israel Binational Science Foundation; US Department of Energy(United States Department of Energy (DOE)); Next-Generation BioGreen21 Program of Republic of Korea; Goldinger Trust Jewish Fund for the Future awards; Economic Development Assistantship; President's Future Leaders in Research Program at the Louisiana State University (LSU); China Scholarship Council (CSC) through a Sino-Dutch Bilateral Exchange Scholarship(China Scholarship Council); European Research Council (ERC) under the EU(European Research Council (ERC))</t>
  </si>
  <si>
    <t>This work was supported by the US National Science Foundation/US-Israel Binational Science Foundation award NSF-BSF-IOS-EDGE 1923589/2019610, NSF-MCB-1616827, US Department of Energy BER-DE-SC0020358 and BER DE-SC0022985, Next-Generation BioGreen21 Program of Republic of Korea (PJ01317301), and the Goldinger Trust Jewish Fund for the Future awards. Graduate students K.T., G.W., P.P., and C.W. were supported by an Economic Development Assistantship and undergraduate students J.C.G. and M.G.M. were supported by the President's Future Leaders in Research Program at the Louisiana State University (LSU). H.L. was sponsored by the China Scholarship Council (CSC) through a Sino-Dutch Bilateral Exchange Scholarship. C.T. and Y.Z. were funded by the European Research Council (ERC) under the EU Horizon 2020 Research and Innovation programme (grant #724321). We acknowledge the productive discussions led by Drs. Hans Bohnert and John Cheeseman at the University of Illinois at Urbana-Champaign (UIUC) that prompted us to initiate this study. We thank the LSU High Performance Computing facility for providing computational resources; Dr. Ying Xiao in the Shared Instrumentation Facility at LSU for assistance with microscopy imaging; undergraduate students Stephanie Presedo at LSU and Rebekah Munaretto, Michael Pettineo, and Aditya Ravindra at UIUC for assisting with plant phenotyping; Jasper Lamers from WUR-PPH for providing the script for automated root edge detection; and Aliza Finkler and Guilia Meshulam at Tel Aviv University for providing technical help with the phenomics study.</t>
  </si>
  <si>
    <t>0960-7412</t>
  </si>
  <si>
    <t>1365-313X</t>
  </si>
  <si>
    <t>PLANT J</t>
  </si>
  <si>
    <t>Plant J.</t>
  </si>
  <si>
    <t>10.1111/tpj.16396</t>
  </si>
  <si>
    <t>P8AR4</t>
  </si>
  <si>
    <t>WOS:001052848200001</t>
  </si>
  <si>
    <t>Zhou, YH; Xu, Y; Zheng, T; Huang, DL; Chen, JY; Wu, YC; Mei, RH; Ma, WB</t>
  </si>
  <si>
    <t>Zhou, Yunhao; Xu, Yue; Zheng, Tao; Huang, Dongliang; Chen, Jianyang; Wu, Yongchang; Mei, Ruhuai; Ma, Wenbo</t>
  </si>
  <si>
    <t>Copper-Mediated C-H Chalcogenation of Heterocycles: Application to the Synthesis of Chalcogenoxanthones</t>
  </si>
  <si>
    <t>Copper-mediated; Heterocycle; C-H Activation; Chalcogenation; Chalcogenoxanthone</t>
  </si>
  <si>
    <t>DIRECT THIOLATION; ARENES; SULFENYLATION; BONDS; ORGANOSELENIUM; SELENYLATION; SELENATION; LIGAND; ARYL; FUNCTIONALIZATIONS</t>
  </si>
  <si>
    <t>A copper-mediated C(sp(2))-H chalcogenation of heterocycles with readily available dichalcogenide, benzeneselenol and thiol is described. This protocol demonstrates scalability, good chemo- and regio-selectivity, as well as broad functional group tolerance, which overall provides an accessible method to valuable aryl chalcogenides. The chalcogenated picolinamide products could be further transformed into selenoxanthones and thioxanthone scaffolds through intramolecular cyclization via a semi-one pot process.</t>
  </si>
  <si>
    <t>[Zhou, Yunhao; Xu, Yue; Zheng, Tao; Huang, Dongliang; Mei, Ruhuai; Ma, Wenbo] Chengdu Univ, Sch Pharm, Sichuan Ind Inst Antibiot, Antibiot Res &amp; Reevaluat Key Lab Sichuan Prov, Chengdu 610106, Peoples R China; [Chen, Jianyang] Chongqing Univ Arts &amp; Sci, Coll Chem &amp; Environm Engn, Chongqing Key Lab Environm Mat &amp; Remediat Technol, Yongchuan 402160, Peoples R China; [Wu, Yongchang] Peoples Hosp Rongchang Dist, Chongqing 404000, Peoples R China</t>
  </si>
  <si>
    <t>Chengdu University; Chongqing University of Arts &amp; Sciences</t>
  </si>
  <si>
    <t>Mei, RH; Ma, WB (corresponding author), Chengdu Univ, Sch Pharm, Sichuan Ind Inst Antibiot, Antibiot Res &amp; Reevaluat Key Lab Sichuan Prov, Chengdu 610106, Peoples R China.;Wu, YC (corresponding author), Peoples Hosp Rongchang Dist, Chongqing 404000, Peoples R China.</t>
  </si>
  <si>
    <t>wuyc@hospital.cqmu.edu.cn; wenboma@hotmail.com; rmei@cdu.edu.cn</t>
  </si>
  <si>
    <t>Mei, Ruhuai/ABK-0031-2022</t>
  </si>
  <si>
    <t>Mei, Ruhuai/0000-0001-7866-231X</t>
  </si>
  <si>
    <t>Natural Science Foundation of Sichuan Province [2022NSFSC0620, 2022NSFSC0623]; Fundamental Research Funds for the Central Universities [20826041F4150]; National Base for International Science and Technology Cooperation, Chengdu University [ISTC202102]; Chongqing University of Arts and Sciences [R2018SHJ06]; Antibiotics Research and Re-evaluation Key Laboratory of Sichuan Province [ARRLKF22-05]</t>
  </si>
  <si>
    <t>Natural Science Foundation of Sichuan Province; Fundamental Research Funds for the Central Universities(Fundamental Research Funds for the Central Universities); National Base for International Science and Technology Cooperation, Chengdu University; Chongqing University of Arts and Sciences; Antibiotics Research and Re-evaluation Key Laboratory of Sichuan Province</t>
  </si>
  <si>
    <t>&amp; nbsp;The authors wish to thank the Natural Science Foundation of Sichuan Province (Grant No. 2022NSFSC0620, 2022NSFSC0623), the Fundamental Research Funds for the Central Universities (Grant No. 20826041F4150), National Base for International Science and Technology Cooperation, Chengdu University (ISTC202102), Chongqing University of Arts and Sciences (R2018SHJ06), and Antibiotics Research and Re-evaluation Key Laboratory of Sichuan Province (ARRLKF22-05)</t>
  </si>
  <si>
    <t>10.1002/adsc.202300620</t>
  </si>
  <si>
    <t>P7WP4</t>
  </si>
  <si>
    <t>WOS:001052742000001</t>
  </si>
  <si>
    <t>Bailey, ME; Borges, LF; Goldberg, HJ; Hathorn, KE; Gavini, S; Lo, WK; Chan, WW</t>
  </si>
  <si>
    <t>Bailey, Mariel E.; Borges, Lawrence F.; Goldberg, Hilary J.; Hathorn, Kelly E.; Gavini, Sravanya; Lo, Wai-Kit; Chan, Walter W.</t>
  </si>
  <si>
    <t>Abnormal bolus reflux on impedance-pH testing independently predicts 3-year pulmonary outcome and mortality in pulmonary fibrosis</t>
  </si>
  <si>
    <t>aspiration; extra-esophageal reflux; gastroesophageal reflux; lung disease; outcomes</t>
  </si>
  <si>
    <t>STAGE LUNG-DISEASE; GASTROESOPHAGEAL-REFLUX; TRANSPLANT; SURVIVAL</t>
  </si>
  <si>
    <t>Background and AimGastroesophageal reflux has been associated with idiopathic pulmonary fibrosis (IPF), although the directionality of the relationship has been debated. Data on the value of objective reflux measures in predicting IPF disease progression and mortality remain limited. We aimed to evaluate the association between multichannel intraluminal impedance and pH testing (MII-pH) and 3-year pulmonary outcomes in IPF patients. MethodsThis was a retrospective cohort study of adults with IPF who underwent pre-lung transplant MII-pH off acid suppression at a tertiary center. Patients were followed for 3 years after MII-pH for poor pulmonary outcomes (hospitalization for respiratory exacerbation or death). A secondary analysis was performed using mortality as outcome of interest. Time-to-event analyses using Kaplan-Meier and Cox regression were performed to evaluate associations between MII-pH and poor outcomes. ResultsOne hundred twenty-four subjects (mean age = 61.7 &amp; PLUSMN; 8 years, 62% male) were included. Increased bolus exposure time (BET) on MII-pH was associated with decreased time to poor pulmonary outcomes and death (log-ranked P-value = 0.017 and 0.031, respectively). On multivariable Cox regression analyses controlling for potential confounders including age, sex, smoking history, body mass index, proton pump inhibitor use, baseline pulmonary function, and anti-fibrotic therapy, increased BET was an independent predictor for poor pulmonary outcomes [hazard ratio 3.18 (95% confidence interval: 1.25-8.09), P = 0.015] and mortality [hazard ratio 11.3 (95% confidence interval: 1.37-63.9), P = 0.025] over 3 years. ConclusionsIncreased BET on MII-pH is an independent predictor of poor pulmonary outcomes and mortality over 3 years in IPF patients. These findings also support a role for gastroesophageal reflux in IPF disease progression and the potential impact of routine reflux testing and treatment.</t>
  </si>
  <si>
    <t>[Bailey, Mariel E.; Borges, Lawrence F.; Goldberg, Hilary J.; Hathorn, Kelly E.; Gavini, Sravanya; Lo, Wai-Kit; Chan, Walter W.] Brigham &amp; Womens Hosp, Dept Med, Boston, MA 02115 USA; [Bailey, Mariel E.; Borges, Lawrence F.; Goldberg, Hilary J.; Hathorn, Kelly E.; Gavini, Sravanya; Lo, Wai-Kit; Chan, Walter W.] Harvard Med Sch, Boston, MA USA; [Borges, Lawrence F.; Hathorn, Kelly E.; Gavini, Sravanya; Lo, Wai-Kit; Chan, Walter W.] Brigham &amp; Womens Hosp, Div Gastroenterol Hepatol &amp; Endoscopy, 75 Francis St, Boston, MA 02115 USA; [Goldberg, Hilary J.] Brigham &amp; Womens Hosp, Div Pulm &amp; Crit Care Med, Boston, MA 02115 USA</t>
  </si>
  <si>
    <t>Harvard University; Brigham &amp; Women's Hospital; Harvard University; Harvard Medical School; Harvard University; Brigham &amp; Women's Hospital; Harvard University; Brigham &amp; Women's Hospital</t>
  </si>
  <si>
    <t>Chan, WW (corresponding author), Brigham &amp; Womens Hosp, Div Gastroenterol Hepatol &amp; Endoscopy, 75 Francis St, Boston, MA 02115 USA.</t>
  </si>
  <si>
    <t>wwchan@bwh.harvard.edu</t>
  </si>
  <si>
    <t>Chan, Walter/0000-0002-1709-8230</t>
  </si>
  <si>
    <t>2023 AUG 22</t>
  </si>
  <si>
    <t>10.1111/jgh.16325</t>
  </si>
  <si>
    <t>P6SG8</t>
  </si>
  <si>
    <t>WOS:001051948800001</t>
  </si>
  <si>
    <t>Boutain, DM; Kim, E; Wang, D; Lim, S; Nofziger, RM; Weiner, BJ</t>
  </si>
  <si>
    <t>Boutain, Doris M.; Kim, Eunjung; Wang, Di; Lim, Sungwon; Nofziger, Rebekah Maldonado; Weiner, Bryan J.</t>
  </si>
  <si>
    <t>Unexpected capacity-building experiences of multicultural, multilingual participants in a public health initiative</t>
  </si>
  <si>
    <t>PUBLIC HEALTH NURSING</t>
  </si>
  <si>
    <t>capacity building; community-based organizations; public health</t>
  </si>
  <si>
    <t>AimsThis study of a levy-voter funded public health initiative program (1) identifies capacity-building concerns, (2) summarizes those concerns at the community-based organization (CBO) level, and (3) documents the desired CBO capacity-building outcome. ParticipantsNineteen participants from nine CBOs were included, representing 95% of participants (19/20) and 90% of CBOs (9/10) from the initiative's program population. MethodsInterviews were conducted. A focus group validated data. Demographic surveys were completed. Methodology and AnalysisData were analyzed using demographic and inductive content analyses. Fifteen capacity-building unexpected concerns were identified. Participants from eight out of nine (88.8%) CBOs shared at least ten concerns. Seven CBO capacity-building outcomes were identified. ResultsCapacity-building providers helped participants mitigate the Initiative's capacity-building testing of the National Implementation Research Network (NIRN) model. Participants' NIRN processes were Western and mainstream. Participants wanted community-designed processes and the funder to understand CBO clients' backgrounds, cultures, and languages. The contract money did not match the needed capacity-building processes, time, and workload. DiscussionThe funder's pre-selected the NIRN Western majority approach did not fit. Participants wanted to lead. Capacity-building only for home-based program development was less desired. Social justice leadership could have made a difference.</t>
  </si>
  <si>
    <t>[Boutain, Doris M.; Kim, Eunjung; Lim, Sungwon] Univ Washington, Sch Nursing, Dept Child Family &amp; Populat Hlth, Seattle, WA USA; [Wang, Di] Univ Washington, Sch Nursing, Dept Biobehav Nursing &amp; Hlth Informat, Seattle, WA USA; [Nofziger, Rebekah Maldonado] Seattle Publ Sch, Hlth Serv, Seattle, WA USA; [Weiner, Bryan J.] Univ Washington, Sch Publ Hlth Prof, Dept Global Hlth, Seattle, WA USA; [Weiner, Bryan J.] Univ Washington, Dept Hlth Serv &amp; Populat Hlth, Seattle, WA USA; [Boutain, Doris M.] Univ Washington, Sch Nursing, Box 357263, Seattle, WA 98195 USA</t>
  </si>
  <si>
    <t>University of Washington; University of Washington Seattle; University of Washington; University of Washington Seattle; University of Washington; University of Washington Seattle; University of Washington; University of Washington Seattle; University of Washington; University of Washington Seattle</t>
  </si>
  <si>
    <t>Boutain, DM (corresponding author), Univ Washington, Sch Nursing, Box 357263, Seattle, WA 98195 USA.</t>
  </si>
  <si>
    <t>dboutain@uw.edu; eunjungk@uw.edu; wangdi@uw.edu; staroot11@uw.edu; kahmn@posteo.net; bjweiner@uw.edu</t>
  </si>
  <si>
    <t>Lim, Sungwon/0000-0001-9086-5101</t>
  </si>
  <si>
    <t>0737-1209</t>
  </si>
  <si>
    <t>1525-1446</t>
  </si>
  <si>
    <t>PUBLIC HEALTH NURS</t>
  </si>
  <si>
    <t>Public Health Nurs.</t>
  </si>
  <si>
    <t>10.1111/phn.13239</t>
  </si>
  <si>
    <t>Public, Environmental &amp; Occupational Health; Nursing</t>
  </si>
  <si>
    <t>P6IS7</t>
  </si>
  <si>
    <t>WOS:001051699000001</t>
  </si>
  <si>
    <t>Chavanne, AV; Meinke, C; Langhammer, T; Roesmann, K; Boehnlein, J; Gathmann, B; Herrmann, MJ; Junghoefer, M; Klahn, L; Schwarzmeier, H; Seeger, FR; Siminski, N; Straube, T; Dannlowski, U; Lueken, U; Leehr, EJ; Hilbert, K</t>
  </si>
  <si>
    <t>Chavanne, Alice V.; Meinke, Charlotte; Langhammer, Till; Roesmann, Kati; Boehnlein, Joscha; Gathmann, Bettina; Herrmann, Martin J.; Junghoefer, Markus; Klahn, Luisa; Schwarzmeier, Hanna; Seeger, Fabian R.; Siminski, Niklas; Straube, Thomas; Dannlowski, Udo; Lueken, Ulrike; Leehr, Elisabeth J.; Hilbert, Kevin</t>
  </si>
  <si>
    <t>Individual-Level Prediction of Exposure Therapy Outcome Using Structural and Functional MRI Data in Spider Phobia: A Machine-Learning Study</t>
  </si>
  <si>
    <t>DEPRESSION AND ANXIETY</t>
  </si>
  <si>
    <t>COGNITIVE-BEHAVIORAL THERAPY; SIGNAL VARIABILITY; ANXIETY; FEAR; DISORDERS</t>
  </si>
  <si>
    <t>Machine-learning prediction studies have shown potential to inform treatment stratification, but recent efforts to predict psychotherapy outcomes with clinical routine data have only resulted in moderate prediction accuracies. Neuroimaging data showed promise to predict treatment outcome, but previous prediction attempts have been exploratory and reported small clinical sample sizes. Herein, we aimed to examine the incremental predictive value of neuroimaging data in contrast to clinical and demographic data alone (for which results were previously published), using a two-level multimodal ensemble machine-learning strategy. We used pretreatment structural and task-based fMRI data to predict virtual reality exposure therapy outcome in a bicentric sample of N=190 patients with spider phobia. First, eight 1st-level random forest classifications were conducted using separate data modalities (clinical questionnaire scores and sociodemographic data, cortical thickness and gray matter volumes, functional activation, connectivity, connectivity-derived graph metrics, and BOLD signal variance). Then, the resulting predictions were used to train a 2nd-level classifier that produced a final prediction. No 1st-level or 2nd-level classifier performed above chance level except BOLD signal variance, which showed potential as a contributor to higher-level prediction from multiple regions across the brain (1st-level balanced accuracy=0.63). Overall, neuroimaging data did not provide any incremental accuracy for treatment outcome prediction in patients with spider phobia with respect to clinical and sociodemographic data alone. Thus, we advise caution in the interpretation of prediction performances from small-scale, single-site patient samples. Larger multimodal datasets are needed to further investigate individual-level neuroimaging predictors of therapy response in anxiety disorders.</t>
  </si>
  <si>
    <t>[Chavanne, Alice V.; Meinke, Charlotte; Langhammer, Till; Lueken, Ulrike; Hilbert, Kevin] Humboldt Univ, Dept Psychol, Berlin, Germany; [Chavanne, Alice V.] Univ Paris Saclay, Ecole Normale Super Paris Saclay, CNRS, INSERM,Trajectoires Dev &amp; Psychiat,U1299,Ctr Borel, Saclay, France; [Roesmann, Kati] Univ Siegen, Inst Clin Psychol &amp; Psychotherapy, Siegen, Germany; [Roesmann, Kati; Junghoefer, Markus] Univ Munster, Inst Biomagnetism &amp; Biosignalanal, Munster, Germany; [Roesmann, Kati] Univ Osnabruck, Inst Psychol, Unit Clin Psychol &amp; Psychotherapy Childhood &amp; Adol, Osnabruck, Germany; [Boehnlein, Joscha; Straube, Thomas; Dannlowski, Udo; Leehr, Elisabeth J.] Univ Munster, Inst Translat Psychiat, Munster, Germany; [Gathmann, Bettina; Straube, Thomas] Univ Munster, Inst Med Psychol &amp; Syst Neurosci, Munster, Germany; [Herrmann, Martin J.; Schwarzmeier, Hanna; Seeger, Fabian R.; Siminski, Niklas] Univ Hosp Wurzburg, Ctr Mental Hlth, Dept Psychiat Psychosomat &amp; Psychotherapy, Wurzburg, Germany; [Junghoefer, Markus] Univ Munster, Otto Creutzfeld Ctr Cognit &amp; Behav Neurosci, Munster, Germany; [Klahn, Luisa] Univ Gothenburg, Inst Neurosci &amp; Physiol, Dept Psychiat &amp; Neurochem, Gothenburg, Sweden</t>
  </si>
  <si>
    <t>Humboldt University of Berlin; Centre National de la Recherche Scientifique (CNRS); UDICE-French Research Universities; Universite Paris Saclay; Institut National de la Sante et de la Recherche Medicale (Inserm); Universitat Siegen; University of Munster; University Osnabruck; University of Munster; University of Munster; University of Wurzburg; University of Munster; University of Gothenburg</t>
  </si>
  <si>
    <t>Chavanne, AV (corresponding author), Humboldt Univ, Dept Psychol, Berlin, Germany.;Chavanne, AV (corresponding author), Univ Paris Saclay, Ecole Normale Super Paris Saclay, CNRS, INSERM,Trajectoires Dev &amp; Psychiat,U1299,Ctr Borel, Saclay, France.</t>
  </si>
  <si>
    <t>alice.chavanne-arod@universite-paris-saclay.fr; charlotte.meinke@hu-berlin.de; till.langhammer@hu-berlin.de; kati.roesmann@uni-siegen.de; joscha.boehnlein@gmail.com; gathmann@uni-muenster.de; herrmann_m@ukw.de; markus.junghoefer@ukmuenster.de; luisa.klahn@gu.se; h_schwarzmeier@gmx.de; fabian.seeger@med.uni-heidelberg.de; siminski_n@ukw.de; thomas.straube@ukmuenster.de; udo.dannlowski@uni-muenster.de; ulrike.lueken@hu-berlin.de; leehr@uni-muenster.de; kevin.hilbert@hu-berlin.de</t>
  </si>
  <si>
    <t>Hilbert, Kevin/AAL-1303-2021</t>
  </si>
  <si>
    <t>Hilbert, Kevin/0000-0002-7986-4113; Bohnlein, Joscha/0000-0002-9870-5599; Klahn, Luisa/0000-0002-9189-6687; Langhammer, Till/0000-0001-6729-956X; Roesmann (Keuper), Kati/0000-0001-6940-3551; Herrmann, Martin J./0000-0001-9970-2122</t>
  </si>
  <si>
    <t>Deutsche Forschungsgemeinschaft (DFG) [44541416-TRR 58, CRC-TRR58, 442075332]</t>
  </si>
  <si>
    <t>Deutsche Forschungsgemeinschaft (DFG)(German Research Foundation (DFG))</t>
  </si>
  <si>
    <t>This work was funded by the Deutsche Forschungsgemeinschaft (DFG) (Projektnummer 44541416-TRR 58) (CRC-TRR58, Project C08 to MJ and TS, Project C09 to UD and UL, Project C07 to TS and MH) and supported by the DFG-FOR5187 (Projektnummer 442075332). We would like to acknowledge Tina Jocham, Jana Scharnagl, and Inge Groebner (Dept. of Psychiatry, University Hospital of Wuerzburg); Dominik Grotegerd, Ramona Lennings, Manuel Kraft, Merle Gebauer, Elena Wilkens, Jonathan Repple, Nina Muck, Stella Fingas, Janina Werner, Anna Kraus, Luisa Altegoer, and Kordula Vorspohl (Dept. of Psychiatry, University of Muenster); Harald Kugel, Jochen Bauer, and Birgit Vahrenkamp (Dept. of Clinical Radiology, University of Muenster), Lea Borgmann, Jaqueline Brieke, Aylin Fuchs, Carolin Heinemann, Annika Hense, Valeria Kleinitz, Kaja Loock, Johannes Luecke, and Kathrin Rueb (Institute of Medical Psychology and Systems Neuroscience); Tilman Coers, Julia Wandschura, Marielle Clerc, Hannah Casper, Sarah Hein, Karin Wilken, Andreas Wollbrink, Ute Trompeter, and Hildegard Deitermann (Institute for Biomagnetism and Biosignalanalysis) for their help and support.</t>
  </si>
  <si>
    <t>1091-4269</t>
  </si>
  <si>
    <t>1520-6394</t>
  </si>
  <si>
    <t>DEPRESS ANXIETY</t>
  </si>
  <si>
    <t>Depress. Anxiety</t>
  </si>
  <si>
    <t>AUG 22</t>
  </si>
  <si>
    <t>10.1155/2023/8594273</t>
  </si>
  <si>
    <t>Psychology, Clinical; Psychiatry; Psychology</t>
  </si>
  <si>
    <t>Psychology; Psychiatry</t>
  </si>
  <si>
    <t>Q5IM5</t>
  </si>
  <si>
    <t>WOS:001057855900001</t>
  </si>
  <si>
    <t>Cordova, AC; Dodds, JN; Tsai, HHD; Lloyd, DT; Roman-Hubers, AT; Wright, FA; Chiu, WA; McDonald, TJ; Zhu, R; Newman, G; Rusyn, I</t>
  </si>
  <si>
    <t>Cordova, Alexandra C.; Dodds, James N.; Tsai, Han-Hsuan D.; Lloyd, Dillon T.; Roman-Hubers, Alina T.; Wright, Fred A.; Chiu, Weihsueh A.; McDonald, Thomas J.; Zhu, Rui; Newman, Galen; Rusyn, Ivan</t>
  </si>
  <si>
    <t>Application of Ion Mobility Spectrometry-Mass Spectrometry for Compositional Characterization and Fingerprinting of a Library of Diverse Crude Oil Samples</t>
  </si>
  <si>
    <t>ENVIRONMENTAL TOXICOLOGY AND CHEMISTRY</t>
  </si>
  <si>
    <t>Analytical chemistry; Environmental chemistry; Hazard; risk assessment; Mixtures; Oil spills</t>
  </si>
  <si>
    <t>POLYCYCLIC AROMATIC-HYDROCARBONS; PETROLEUM; SUBSTANCES</t>
  </si>
  <si>
    <t>Exposure characterization of crude oils, especially in time-sensitive circumstances such as spills and disasters, is a well-known analytical chemistry challenge. Gas chromatography-mass spectrometry is commonly used for fingerprinting and origin tracing in oil spills; however, this method is both time-consuming and lacks the resolving power to separate co-eluting compounds. Recent advances in methodologies to analyze petroleum substances using high-resolution analytical techniques have demonstrated both improved resolving power and higher throughput. One such method, ion mobility spectrometry-mass spectrometry (IMS-MS), is especially promising because it is both rapid and high-throughput, with the ability to discern among highly homologous hydrocarbon molecules. Previous applications of IMS-MS to crude oil analyses included a limited number of samples and did not provide detailed characterization of chemical constituents. We analyzed a diverse library of 195 crude oil samples using IMS-MS and applied a computational workflow to assign molecular formulas to individual features. The oils were from 12 groups based on geographical and geological origins: non-US (1 group), US onshore (3), and US Gulf of Mexico offshore (8). We hypothesized that information acquired through IMS-MS data would provide a more confident grouping and yield additional fingerprint information. Chemical composition data from IMS-MS was used for unsupervised hierarchical clustering, as well as machine learning-based supervised analysis to predict geographic and source rock categories for each sample; the latter also yielded several novel prospective biomarkers for fingerprinting of crude oils. We found that IMS-MS data have complementary advantages for fingerprinting and characterization of diverse crude oils and that proposed polycyclic aromatic hydrocarbon biomarkers can be used for rapid exposure characterization. Environ Toxicol Chem 2023;00:1-14. &amp; COPY; 2023 The Authors. Environmental Toxicology and Chemistry published by Wiley Periodicals LLC on behalf of SETAC.</t>
  </si>
  <si>
    <t>[Cordova, Alexandra C.; Tsai, Han-Hsuan D.; Roman-Hubers, Alina T.; Wright, Fred A.; Chiu, Weihsueh A.; McDonald, Thomas J.; Rusyn, Ivan] Texas A&amp;M Univ, Interdisciplinary Fac Toxicol, College Stn, TX 77843 USA; [Cordova, Alexandra C.; Tsai, Han-Hsuan D.; Roman-Hubers, Alina T.; Chiu, Weihsueh A.; Rusyn, Ivan] Texas A&amp;M Univ, Dept Vet Physiol &amp; Pharmacol, College Stn, TX 77843 USA; [Dodds, James N.] Univ North Carolina Chapel Hill, Dept Chem, Chapel Hill, NC USA; [Lloyd, Dillon T.; Wright, Fred A.] North Carolina State Univ, Dept Stat &amp; Biol Sci, Raleigh, NC USA; [Lloyd, Dillon T.; Wright, Fred A.] North Carolina State Univ, Bioinformat Res Ctr, Raleigh, NC USA; [McDonald, Thomas J.] Texas A&amp;M Univ, Dept Environm &amp; Occupat Hlth, College Stn, TX USA; [Zhu, Rui; Newman, Galen] Texas A&amp;M Univ, Dept Landscape Architecture &amp; Urban Planning, College Stn, TX USA</t>
  </si>
  <si>
    <t>Texas A&amp;M University System; Texas A&amp;M University College Station; Texas A&amp;M University System; Texas A&amp;M University College Station; University of North Carolina; University of North Carolina Chapel Hill; University of North Carolina School of Medicine; North Carolina State University; North Carolina State University; Texas A&amp;M University System; Texas A&amp;M University College Station; Texas A&amp;M University System; Texas A&amp;M University College Station</t>
  </si>
  <si>
    <t>Rusyn, I (corresponding author), Texas A&amp;M Univ, Interdisciplinary Fac Toxicol, College Stn, TX 77843 USA.;Rusyn, I (corresponding author), Texas A&amp;M Univ, Dept Vet Physiol &amp; Pharmacol, College Stn, TX 77843 USA.</t>
  </si>
  <si>
    <t>irusyn@tamu.edu</t>
  </si>
  <si>
    <t>TSAI, HAN-HSUAN/0000-0002-3484-5955</t>
  </si>
  <si>
    <t>US National Institute of Environmental Health Sciences [P42 ES027704, T32 ES026568]; US National Academies Gulf Research Program [2000008942]</t>
  </si>
  <si>
    <t>US National Institute of Environmental Health Sciences(United States Department of Health &amp; Human ServicesNational Institutes of Health (NIH) - USANIH National Institute of Environmental Health Sciences (NIEHS)); US National Academies Gulf Research Program</t>
  </si>
  <si>
    <t>Acknowledgements The present study was partly supported by grants from the US National Institute of Environmental Health Sciences (P42 ES027704 and T32 ES026568) and the US National Academies Gulf Research Program (2000008942).</t>
  </si>
  <si>
    <t>0730-7268</t>
  </si>
  <si>
    <t>1552-8618</t>
  </si>
  <si>
    <t>ENVIRON TOXICOL CHEM</t>
  </si>
  <si>
    <t>Environ. Toxicol. Chem.</t>
  </si>
  <si>
    <t>10.1002/etc.5727</t>
  </si>
  <si>
    <t>Environmental Sciences; Toxicology</t>
  </si>
  <si>
    <t>Environmental Sciences &amp; Ecology; Toxicology</t>
  </si>
  <si>
    <t>P6BG4</t>
  </si>
  <si>
    <t>WOS:001051502100001</t>
  </si>
  <si>
    <t>Czyz, CM; Kunth, PW; Gruber, F; Kremslehner, C; Hammers, CM; Hundt, JE</t>
  </si>
  <si>
    <t>Czyz, Christianna Marie; Kunth, Paul Werner; Gruber, Florian; Kremslehner, Christopher; Hammers, Christoph Matthias; Hundt, Jennifer Elisabeth</t>
  </si>
  <si>
    <t>Requisite instruments for the establishment of three-dimensional epidermal human skin equivalents-A methods review</t>
  </si>
  <si>
    <t>EXPERIMENTAL DERMATOLOGY</t>
  </si>
  <si>
    <t>human skin equivalent; human skin organ culture model; keratinocytes; three-dimensional skin model; validation</t>
  </si>
  <si>
    <t>LIQUID INTERFACE CULTURE; FOLLICLE STEM-CELLS; ORGAN-CULTURE; ANTIMICROBIAL PEPTIDES; LANGERHANS CELLS; KERATIN 1; MODEL; EXPRESSION; FILAGGRIN; SYSTEM</t>
  </si>
  <si>
    <t>Human skin equivalents (HSEs) are three-dimensional skin organ culture models raised in vitro. This review gives an overview of common techniques for setting up HSEs. The HSE consists of an artificial dermis and epidermis. 3T3-J2 murine fibroblasts, purchased human fibroblasts or freshly isolated and cultured fibroblasts, together with other components, for example, collagen type I, are used to build the scaffold. Freshly isolated and cultured keratinocytes are seeded on top. It is possible to add other cell types, for example, melanocytes, to the HSE-depending on the research question. After several days and further steps, the 3D skin can be harvested. Additionally, we show possible markers and techniques for evaluation of artificial skin. Furthermore, we provide a comparison of HSEs to human skin organ culture, a model which employs human donor skin. We outline advantages and limitations of both models and discuss future perspectives in using HSEs.</t>
  </si>
  <si>
    <t>[Czyz, Christianna Marie; Kunth, Paul Werner; Hammers, Christoph Matthias; Hundt, Jennifer Elisabeth] Univ Lubeck, Lubeck Inst Expt Dermatol LIED, Lubeck, Germany; [Gruber, Florian; Kremslehner, Christopher] Med Univ Vienna, Christian Doppler Lab Skin Multimodal Analyt Imagi, Vienna, Austria; [Hammers, Christoph Matthias] Univ Kiel, Dept Dermatol Venereol &amp; Allergol, Kiel, Germany; [Czyz, Christianna Marie] Univ Lubeck, LIED, Ratzeburger Allee 160, D-23562 Lubeck, Germany</t>
  </si>
  <si>
    <t>University of Lubeck; Medical University of Vienna; University of Kiel; University of Lubeck</t>
  </si>
  <si>
    <t>Czyz, CM (corresponding author), Univ Lubeck, LIED, Ratzeburger Allee 160, D-23562 Lubeck, Germany.</t>
  </si>
  <si>
    <t>christiczyz@gmail.com; pw.kunth@web.de</t>
  </si>
  <si>
    <t>DFG [454193335, 179309734]; Projekt DEAL</t>
  </si>
  <si>
    <t>DFG(German Research Foundation (DFG)); Projekt DEAL</t>
  </si>
  <si>
    <t>This review was supported by DFG funding for the Collaborative Research Center (CRC) 1526 - Pathomechanisms of Antibody-mediated Autoimmunity (PANTAU) - Insights from Pemphigoid Diseases (Grant No.: 454193335) to CMH. Additionally the research was supported by DFG funding for the Research Training Group (RTG) 1727 - Modulation of Autoimmunity (Project number 179309734) to CMC and PWK. Open Access funding enabled and organized by Projekt DEAL.</t>
  </si>
  <si>
    <t>0906-6705</t>
  </si>
  <si>
    <t>1600-0625</t>
  </si>
  <si>
    <t>EXP DERMATOL</t>
  </si>
  <si>
    <t>Exp. Dermatol.</t>
  </si>
  <si>
    <t>10.1111/exd.14911</t>
  </si>
  <si>
    <t>P6SN0</t>
  </si>
  <si>
    <t>WOS:001051955000001</t>
  </si>
  <si>
    <t>Du, JP; Wang, YF; Wan, F; Li, JS; Li, D; Liu, RJ</t>
  </si>
  <si>
    <t>Du, Jinping; Wang, Yanfei; Wan, Fan; Li, Junsheng; Li, Duan; Liu, Rongjun</t>
  </si>
  <si>
    <t>SiC modified self-healing ytterbium disilicate materials for potential environmental barrier coating application</t>
  </si>
  <si>
    <t>environmental barrier coating; self-healing; silicon carbide; ytterbium disilicate</t>
  </si>
  <si>
    <t>CERAMIC-MATRIX COMPOSITES; OXIDATION BEHAVIOR; THERMAL-PROPERTIES; WATER-VAPOR; FIBERS</t>
  </si>
  <si>
    <t>Environmental barrier coatings (EBCs) are crucial to the reliability and durability of SiCf/SiC composite components seeking applications in hot sections of next-generation advanced aero-engines. The cracks initiated and developed in EBCs owing to various reasons during service greatly undermine their lifespans. To address this problem, in this work, silicon carbide (SiC) in the forms of particles and whiskers with various amounts have been introduced to ytterbium disilicate (Yb2Si2O7), the mainstream EBC topcoat materials, so as to gain some self-healing potential. The results reveal that, the SiC inclusions in Yb2Si2O7 in the presence of ytterbium monosilicate (Yb2SiO5) can trigger the following reactions. Specifically, SiC self-healing agents are oxidized to form viscous SiO2, which actively reacts with Yb2SiO5 upon encountering it, forming Yb2Si2O7. This has brought twofold beneficial effects including ① silicon supplementation of disilicate topcoat, whose silicon element tends to be dragged out by water vapor, leading to the deterioration of thermal mismatch; as well as ② crack self-healing resulting from the volume expansion induced by the above reactions. Then the two aspects of self-healing agents, namely the promptness and sustainability, have been discussed in detail. The former is unveiled to be more pertinent to the repairing of large cracks, whilst the latter is more relevant to the self-healing of tiny cracks at initiation or early stage of propagation. The current work sheds some lights on the design and development of more durable and robust EBCs with self-healing capability.</t>
  </si>
  <si>
    <t>[Du, Jinping; Wang, Yanfei; Wan, Fan; Li, Junsheng; Li, Duan; Liu, Rongjun] Natl Univ Def Technol, Sci &amp; Technol Adv Ceram Fibers &amp; Composites Lab, Changsha 410073, Hunan, Peoples R China</t>
  </si>
  <si>
    <t>National University of Defense Technology - China</t>
  </si>
  <si>
    <t>Wang, YF; Liu, RJ (corresponding author), Natl Univ Def Technol, Sci &amp; Technol Adv Ceram Fibers &amp; Composites Lab, Changsha 410073, Hunan, Peoples R China.</t>
  </si>
  <si>
    <t>wangyanfei@nudt.edu.cn; rongjunliu@163.com</t>
  </si>
  <si>
    <t>National Natural Science Foundation of China [U2241239]; State Key Laboratory Consistently Supporting Project [WDZC20195500504]; Research Fund for State Key Laboratory [6142907200303]</t>
  </si>
  <si>
    <t>National Natural Science Foundation of China(National Natural Science Foundation of China (NSFC)); State Key Laboratory Consistently Supporting Project; Research Fund for State Key Laboratory</t>
  </si>
  <si>
    <t>This work was financially supported by National Natural Science Foundation of China (grant number: U2241239), State Key Laboratory Consistently Supporting Project (grant number: WDZC20195500504), and Research Fund for State Key Laboratory (grant number: 6142907200303).</t>
  </si>
  <si>
    <t>10.1111/jace.19395</t>
  </si>
  <si>
    <t>P6SI0</t>
  </si>
  <si>
    <t>WOS:001051950000001</t>
  </si>
  <si>
    <t>Feld, L; Bhandari, A; Allen, J; Saxena, S; Stefanovski, D; Afolabi-Brown, O</t>
  </si>
  <si>
    <t>Feld, Lance; Bhandari, Anita; Allen, Julian; Saxena, Shikha; Stefanovski, Darko; Afolabi-Brown, Olufunke</t>
  </si>
  <si>
    <t>The impact of obstructive sleep apnea in children with sickle cell disease and asthma</t>
  </si>
  <si>
    <t>asthma; obstructive sleep apnea; sickle cell disease</t>
  </si>
  <si>
    <t>OXYHEMOGLOBIN DESATURATION; PULMONARY COMPLICATIONS; ADOLESCENTS; SEVERITY</t>
  </si>
  <si>
    <t>IntroductionAsthma and obstructive sleep apnea (OSA) are chronic diseases that disproportionately affect children with sickle cell disease (SCD). The literature describes the negative impact that both conditions have on children with SCD separately; however, the effect of OSA on asthmatic children with OSA is less specific. We hypothesized that the presence of OSA in children with SCD and asthma is associated with specific hematologic markers, worse clinical outcomes, and greater healthcare utilization. MethodsWe retrospectively evaluated children with both SCD and asthma who underwent polysomnography (PSG). We assessed their demographic information, PSG data, hematologic indices, and healthcare utilization based on the concurrent presence of OSA. ResultsFifty-nine percent of the cohort had OSA with a lower oxygen saturation (SpO(2)) nadir (87% vs. 93%, p &lt; 0.001) and a lower median daytime SpO(2) (96.5% vs. 98.5%, p &lt; 0.05); those with OSA were more likely to have the hemoglobin SS genotype (86% vs. 46.5%, p = 0.03). Additionally, those with OSA had a higher mean corpuscular volume (87 vs. 77.2 fL, p = 0.03) and reticulocyte count (10.1% vs. 5.5%, p &lt; 0.01). There was no difference in asthma severity or healthcare utilization between those with OSA and those without OSA. DiscussionOverall, children with SCD and asthma might be at increased risk for developing OSA, and screening for sleep-disordered breathing should be incorporated as part of their routine care.</t>
  </si>
  <si>
    <t>[Feld, Lance; Bhandari, Anita; Allen, Julian; Afolabi-Brown, Olufunke] Childrens Hosp Philadelphia, Div Pulm &amp; Sleep Med, 3401 Civ Ctr Blvd, Philadelphia, PA 19104 USA; [Bhandari, Anita; Allen, Julian; Afolabi-Brown, Olufunke] Univ Penn, Dept Pediat, Perelman Sch Med, Philadelphia, PA USA; [Saxena, Shikha] Monroe Carell Jr Childrens Hosp Vanderbilt, Div Allergy Immunol &amp; Pulm Med, Nashville, TN USA; [Stefanovski, Darko] Univ Penn, Dept Clin Studies, Sch Vet Med, New Bolton Ctr, Philadelphia, PA USA</t>
  </si>
  <si>
    <t>University of Pennsylvania; Pennsylvania Medicine; Childrens Hospital of Philadelphia; University of Pennsylvania; Pennsylvania Medicine; Vanderbilt University; University of Pennsylvania</t>
  </si>
  <si>
    <t>Bhandari, A (corresponding author), Childrens Hosp Philadelphia, Div Pulm &amp; Sleep Med, 3401 Civ Ctr Blvd, Philadelphia, PA 19104 USA.</t>
  </si>
  <si>
    <t>bhandaria@chop.edu</t>
  </si>
  <si>
    <t>10.1002/ppul.26643</t>
  </si>
  <si>
    <t>P5ZH4</t>
  </si>
  <si>
    <t>WOS:001051450900001</t>
  </si>
  <si>
    <t>Giobbio, G; Cavinato, LM; Fresta, E; Montrieul, A; Mahoro, GU; Lohier, JF; Renaud, JL; Linares, M; Gaillard, S; Costa, RD</t>
  </si>
  <si>
    <t>Giobbio, Ginevra; Cavinato, Luca M. M.; Fresta, Elisa; Montrieul, Anais; Umuhire Mahoro, Gilbert; Lohier, Jean-Francois; Renaud, Jean-Luc; Linares, Mathieu; Gaillard, Sylvain; Costa, Ruben D.</t>
  </si>
  <si>
    <t>Design Rule Hidden from The Eye in S/N-Bridged Ancillary Ligands for Copper(I) Complexes Applied to Light-Emitting Electrochemical Cells</t>
  </si>
  <si>
    <t>copper (I) complexes; light-emitting electrochemical cells; multivariate analysis; thermally activated delayed fluorescence; thin-film lighting</t>
  </si>
  <si>
    <t>CU(I) COMPLEXES; DELAYED FLUORESCENCE; SINGLET; STATE; AREA</t>
  </si>
  <si>
    <t>Enhancing low-energy emitting Cu(I)-ionic transition metal complexes (iTMCs) light-emitting electrochemical cells (LECs) is of utmost importance towards Cu(I)-iTMC-based white-emitting LECs. Here, the ancillary ligand design includes (i) extension of &amp; pi;-systems and (ii) insertion of S-bridge between heteroaromatics rings. This led to two novel heteroleptic Cu(I)-iTMCs: 2-(pyridin-2-yl-l2-azanyl)quinoline (CuN2) and 2-(naphthalen-2-ylthio)quinoline (CuS2) as N&lt;^&gt;N and bis[(2-diphenylphosphino)phenyl] ether as P&lt;^&gt;P, exhibiting improved photoluminescence quantum yields (&amp; phi;) and thermally activated delayed fluorescence processes compared to their reference Cu(I)-iTMCs: di(pyridin-2-yl)-l2-azane (CuN1) and di(pyridin-2-yl)sulfane (CuS1). Despite CuS2 stands out with the highest &amp; phi; (38% vs 17 / 14 / 1% for CuN1 / CuN2 / CuS1), only CuN2-LECs show the expected enhanced performance (0.35 cd A(-1) at luminance of 117 cd m(-2)) compared to CuN1-LECs (0.02 cd A(-1) at6 cd m(-2)), while CuS2-LECs feature low performances (0.04 cd A(-1) at 10 cd m(-2)). This suggests that conventional chemical design rules are not effective towards enhancing device performance. Herein, nonconventional multivariate statistical analysis and electrochemical impedance spectroscopy studies allow to rationalize the mismatch between chemical design and device performance bringing to light a hidden design rule: polarizability of the ancillary ligand is key for an efficient Cu(I)-iTMC-LECs. All-in-all, this study provides fresh insights for the design of Cu-iTMCs fueling research on sustainable ion-based lighting sources.</t>
  </si>
  <si>
    <t>[Giobbio, Ginevra; Cavinato, Luca M. M.; Fresta, Elisa; Costa, Ruben D.] Tech Univ Munich, Chair Biogenic Funct Mat, Campus Straubing Biotechnol &amp; Sustainabil, Schulgasse 22, D-94315 Straubing, Germany; [Giobbio, Ginevra; Montrieul, Anais; Umuhire Mahoro, Gilbert; Lohier, Jean-Francois; Renaud, Jean-Luc; Gaillard, Sylvain] Normandie Univ, ENSICAEN,LCMT, UNICAEN, CNRS, F-14000 Caen, France; [Fresta, Elisa] Heidelberg Univ, Inst Phys Chem, INF 253, D-69120 Heidelberg, Germany; [Fresta, Elisa] Heidelberg Univ, Inst Mol Engn &amp; Adv Mat, INF 225, D-69120 Heidelberg, Germany; [Montrieul, Anais; Linares, Mathieu] Linkoping Univ, Dept Phys Chem &amp; Biol, Div Theoret Chem, S-58183 Linkoping, Sweden</t>
  </si>
  <si>
    <t>Technical University of Munich; Universite de Caen Normandie; Centre National de la Recherche Scientifique (CNRS); Ruprecht Karls University Heidelberg; Ruprecht Karls University Heidelberg; Linkoping University</t>
  </si>
  <si>
    <t>Costa, RD (corresponding author), Tech Univ Munich, Chair Biogenic Funct Mat, Campus Straubing Biotechnol &amp; Sustainabil, Schulgasse 22, D-94315 Straubing, Germany.;Gaillard, S (corresponding author), Normandie Univ, ENSICAEN,LCMT, UNICAEN, CNRS, F-14000 Caen, France.</t>
  </si>
  <si>
    <t>sylvain.gaillard@ensicaen.fr; ruben.costa@tum.de</t>
  </si>
  <si>
    <t>Costa, Ruben D./B-1759-2015</t>
  </si>
  <si>
    <t>Costa, Ruben D./0000-0003-3776-9158</t>
  </si>
  <si>
    <t>European Union [956923]; CNRS (Centre National de la Recherche Scientifique); LABEX SynOrg [ANR-11-LABX-0029]; Normandie University; Projekt DEAL; Ministere de l'Enseignement Superieur et de la Recherche; Region Normandie; Graduate School of Research XL-Chem [ANR-18-EURE-0020 XL-Chem]</t>
  </si>
  <si>
    <t>European Union(European Union (EU)); CNRS (Centre National de la Recherche Scientifique)(Centre National de la Recherche Scientifique (CNRS)); LABEX SynOrg; Normandie University; Projekt DEAL; Ministere de l'Enseignement Superieur et de la Recherche(Estonian Research Council); Region Normandie(Region Normandie); Graduate School of Research XL-Chem</t>
  </si>
  <si>
    <t>G.G. and L.M.C. contributed equally to this work. L.M.C. and R.R. acknowledge the European Union under grant agreement MSCA-ITN STiBNite No. 956923. This work was supported by the Ministere de l'Enseignement Superieur et de la Recherche, CNRS (Centre National de la Recherche Scientifique) and the LABEX SynOrg (ANR-11-LABX-0029). S.G. acknowledges the Region Normandie (G.G.), the Graduate School of Research XL-Chem (ANR-18-EURE-0020 XL-Chem) (A.M.) and Normandie University (G.U.M.) for their fundings.Open access funding enabled and organized by Projekt DEAL.</t>
  </si>
  <si>
    <t>10.1002/adfm.202304668</t>
  </si>
  <si>
    <t>P7FD4</t>
  </si>
  <si>
    <t>WOS:001052286100001</t>
  </si>
  <si>
    <t>Hamai, A; Okada, T; Uemura, K; Uchida, T; Kondo, K; Yamada, Y</t>
  </si>
  <si>
    <t>Hamai, Ayano; Okada, Tadao; Uemura, Kosuke; Uchida, Takuro; Kondo, Keita; Yamada, Yuto</t>
  </si>
  <si>
    <t>Participation of medical students in the medical team of sports events</t>
  </si>
  <si>
    <t>JOURNAL OF GENERAL AND FAMILY MEDICINE</t>
  </si>
  <si>
    <t>[Hamai, Ayano; Kondo, Keita; Yamada, Yuto] Awa Reg Med Ctr, Dept Gen Med, Chiba, Japan; [Hamai, Ayano; Okada, Tadao; Kondo, Keita] Tessyokai Kameda Family Clin Tateyama, Chiba, Japan; [Uemura, Kosuke; Uchida, Takuro] Juntendo Univ, Dept Gen Med, Fac Med, Tokyo, Japan; [Hamai, Ayano] Awa Reg Med Ctr, Dept Gen Med, 1155 Yamamoto, Tateyama, Chiba 2940014, Japan</t>
  </si>
  <si>
    <t>Juntendo University</t>
  </si>
  <si>
    <t>Hamai, A (corresponding author), Awa Reg Med Ctr, Dept Gen Med, 1155 Yamamoto, Tateyama, Chiba 2940014, Japan.</t>
  </si>
  <si>
    <t>ayanohamai.chariq1216@gmail.com</t>
  </si>
  <si>
    <t>Uchida, Takuro/0000-0002-1514-319X; Okada, Tadao/0000-0002-4002-3966; HAMAI, AYANO/0000-0002-5221-4209</t>
  </si>
  <si>
    <t>2189-7948</t>
  </si>
  <si>
    <t>J GEN FAM MED</t>
  </si>
  <si>
    <t>J. Gen. Fam. Med.</t>
  </si>
  <si>
    <t>10.1002/jgf2.645</t>
  </si>
  <si>
    <t>P7KK7</t>
  </si>
  <si>
    <t>WOS:001052424600001</t>
  </si>
  <si>
    <t>Lammle, M; Metz, J; Kropp, M; Wapler, J; Oltersdorf, T; Gunther, D; Herkel, S; Bongs, C</t>
  </si>
  <si>
    <t>Laemmle, Manuel; Metz, Jakob; Kropp, Michael; Wapler, Jeannette; Oltersdorf, Thore; Guenther, Danny; Herkel, Sebastian; Bongs, Constanze</t>
  </si>
  <si>
    <t>Heat Pump Systems in Existing Multifamily Buildings: A Meta-Analysis of Field Measurement Data Focusing on the Relationship of Temperature and Performance of Heat Pump Systems</t>
  </si>
  <si>
    <t>decarbonization; energy-efficient buildings; existing buildings; heat pumps; renewable heating; seasonal performance factor</t>
  </si>
  <si>
    <t>Heat pumps play a central role in decarbonizing the heat supply of buildings. However, in this article, implementing heat pumps in existing buildings, a significant challenge is still presented due to high temperature requirements. In this article, a systematic analysis of the effects of heat source temperatures, maximum heat pump condenser temperatures, and system temperatures on the seasonal performance of heat pump (HP) systems is presented. The quantitative performance analysis encompasses over 50 heat pumps installed in residential buildings, revealing correlations between the building characteristics, observed temperatures, and heat pump type. The performance of an HP system retrofitted to a 30-dwelling multifamily building is presented in more detail. The bivalent HP system combines air and ground as heat sources and achieves a seasonal performance factor of 3.25 with a share of the gas boiler of 27% in its first year of operation. In these findings, the technical feasibility of retrofitting heat pumps is demonstrated in existing buildings and insights are provided into overcoming the challenges associated with high temperature requirements.</t>
  </si>
  <si>
    <t>[Laemmle, Manuel; Metz, Jakob; Wapler, Jeannette; Oltersdorf, Thore; Guenther, Danny; Herkel, Sebastian; Bongs, Constanze] Fraunhofer Inst Solar Energy Syst, Energy Efficient Bldg EEB, Heidenhofstr 2, D-79110 Freiburg, Germany; [Laemmle, Manuel; Kropp, Michael] Univ Freiburg, Inst Sustainable Syst Engn INATECH, Emmy Noether Str 2, D-79110 Freiburg, Germany</t>
  </si>
  <si>
    <t>Fraunhofer Gesellschaft; University of Freiburg</t>
  </si>
  <si>
    <t>Lammle, M; Herkel, S (corresponding author), Fraunhofer Inst Solar Energy Syst, Energy Efficient Bldg EEB, Heidenhofstr 2, D-79110 Freiburg, Germany.;Lammle, M (corresponding author), Univ Freiburg, Inst Sustainable Syst Engn INATECH, Emmy Noether Str 2, D-79110 Freiburg, Germany.</t>
  </si>
  <si>
    <t>manuel.laemmle@ise.fraunhofer.de; sebastian.herkel@ise.fraunhofer.de</t>
  </si>
  <si>
    <t>Lammle, Manuel/HJY-6966-2023</t>
  </si>
  <si>
    <t>Lammle, Manuel/0000-0001-5931-7975</t>
  </si>
  <si>
    <t>German Federal Ministry for Economic Affairs and Climate Action (BMWK) [03SBE0001, 03ET1272, 03ET1540B, 03ET1590, 03EGB0023A, 03ET1488A, LC150]; Projekt DEAL; [03EN4001A]</t>
  </si>
  <si>
    <t>German Federal Ministry for Economic Affairs and Climate Action (BMWK); Projekt DEAL;</t>
  </si>
  <si>
    <t>&amp; nbsp;The authors gratefully acknowledge financial support of the German Federal Ministry for Economic Affairs and Climate Action (BMWK) due to an enactment of the German Bundestag under grant numbers 03SBE0001 (LowEx-Bestand), 03ET1272 (WPsmart im Bestand), 03EN2029A (WP-QS im Bestand), 03ET1540B (HEAVEN), 03ET1590 (Smartes Quartier KA-Durlach), 03EGB0023A(integraTE), 03ET1488A (NK4HTWP), and 03EN4001A (LC150). Also, the authors would like to thank all our project partners for the fruitful cooperation. Open Access funding enabled and organized by Projekt DEAL.</t>
  </si>
  <si>
    <t>10.1002/ente.202300379</t>
  </si>
  <si>
    <t>P7FD0</t>
  </si>
  <si>
    <t>WOS:001052285700001</t>
  </si>
  <si>
    <t>Li, B; Feng, SP; He, QY; Zhu, YS; Hu, ZG; Jiang, YJ; Su, LH</t>
  </si>
  <si>
    <t>Li, Bin; Feng, Shaopeng; He, Qiyu; Zhu, Yansong; Hu, Zhigang; Jiang, Yajun; Su, Lihua</t>
  </si>
  <si>
    <t>Numerical simulation of rice drying process in a deep bed under an angular air duct</t>
  </si>
  <si>
    <t>JOURNAL OF FOOD PROCESS ENGINEERING</t>
  </si>
  <si>
    <t>local thermal non-equilibrium; multi-physics field simulation; porous media; rice drying</t>
  </si>
  <si>
    <t>FLOW DISTRIBUTION; ROUGH RICE</t>
  </si>
  <si>
    <t>The deep-bed drying process of rice grains was investigated through numerical simulation, employing the porous medium flow field theory and the local thermal nonequilibrium method. Moisture field of rice grains described using thin-layer equations. On this basis, the deep-bed drying of rice grains modeled with COMSOL, and verified its plausibility. The results showed that the drying rate of rice grains was significantly accelerated when the hot air temperature was increased from 40 &amp; DEG;C to 70 &amp; DEG;C, but the inhomogeneity of rice grains temperature increased by 29.79%, 22.31%, and 17.41% for every 10 &amp; DEG;C increase. Drying grains faster with vertically arranged an angular air duct, with a 4.88% increase in drying speed in 300 min. The temperature difference between the top and the bottom of an angular air duct with a small width is smaller, about 11 &amp; DEG;C, and the heating efficiency is better at the top, by 31.28%.Practical ApplicationsGrain dryers are often used in high-volume grain drying operations and it has been a great challenge to save the energy consumption of the drying process. It is necessary to use numerical simulation to design a reasonable structure of the heating section to improve the energy utilization efficiency of the heating section of the grain dryer. The numerical model proposed in this article can effectively simulate the spatial distribution of moisture content of rice under different structures of grain drying units, which can be used not only for the prediction of drying time but also for analyzing the optimal heating structure from it. A technical basis is provided for the design of grain dryers.</t>
  </si>
  <si>
    <t>[Li, Bin; Feng, Shaopeng; He, Qiyu; Zhu, Yansong; Hu, Zhigang; Jiang, Yajun; Su, Lihua] Wuhan Polytech Univ, Sch Mech Engn, Wuhan, Hubei, Peoples R China; [Li, Bin] Wuhan Polytech Univ, Sch Mech Engn, Wuhan 430023, Hubei, Peoples R China</t>
  </si>
  <si>
    <t>Wuhan Polytechnic University; Wuhan Polytechnic University</t>
  </si>
  <si>
    <t>Li, B (corresponding author), Wuhan Polytech Univ, Sch Mech Engn, Wuhan 430023, Hubei, Peoples R China.</t>
  </si>
  <si>
    <t>lb420@whpu.edu.cn</t>
  </si>
  <si>
    <t>The work was supported by 2022 Knowledge Innovation Dawn Special Plan Project (2022010801020393), Marine Defense Technology Innovation Center Innovation Fund (JJ-2020-719-01), Natural Science Foundation of Hubei Province (2021CFB292), Research and Innovati [JJ-2020-719-01]; 2022 Knowledge Innovation Dawn Special Plan Project [2021CFB292]; Marine Defense Technology Innovation Center Innovation Fund [2022J04]; Natural Science Foundation of Hubei Province [2022BBA0070]; Research and Innovation Initiatives of WHPU; Hubei Key Research and Development Program Project; [2022010801020393]</t>
  </si>
  <si>
    <t>The work was supported by 2022 Knowledge Innovation Dawn Special Plan Project (2022010801020393), Marine Defense Technology Innovation Center Innovation Fund (JJ-2020-719-01), Natural Science Foundation of Hubei Province (2021CFB292), Research and Innovati; 2022 Knowledge Innovation Dawn Special Plan Project; Marine Defense Technology Innovation Center Innovation Fund; Natural Science Foundation of Hubei Province(Natural Science Foundation of Hubei Province); Research and Innovation Initiatives of WHPU; Hubei Key Research and Development Program Project;</t>
  </si>
  <si>
    <t>The work was supported by 2022 Knowledge Innovation Dawn Special Plan Project (2022010801020393), Marine Defense Technology Innovation Center Innovation Fund (JJ-2020-719-01), Natural Science Foundation of Hubei Province (2021CFB292), Research and Innovation Initiatives of WHPU (2022J04), and Hubei Key Research and Development Program Project (No. 2022BBA0070).</t>
  </si>
  <si>
    <t>0145-8876</t>
  </si>
  <si>
    <t>1745-4530</t>
  </si>
  <si>
    <t>J FOOD PROCESS ENG</t>
  </si>
  <si>
    <t>J. Food Process Eng.</t>
  </si>
  <si>
    <t>e14438</t>
  </si>
  <si>
    <t>10.1111/jfpe.14438</t>
  </si>
  <si>
    <t>Engineering, Chemical; Food Science &amp; Technology</t>
  </si>
  <si>
    <t>Q3YJ2</t>
  </si>
  <si>
    <t>WOS:001056904400001</t>
  </si>
  <si>
    <t>Ma, BX; Fan, DQ; Zhang, GY; Liao, YM; Shen, ZY; Lu, Y</t>
  </si>
  <si>
    <t>Ma, Baixue; Fan, Deqi; Zhang, Guangyao; Liao, Yemei; Shen, Ziyi; Lu, Yi</t>
  </si>
  <si>
    <t>Configurations Manipulation of Electrospun Membranes Based on High-Entropy Alloys-Enabled High-Performance Solar Water Evaporation</t>
  </si>
  <si>
    <t>SOLAR RRL</t>
  </si>
  <si>
    <t>electrospinning; high-entropy alloys; origami processes; seawater desalination; solar evaporation</t>
  </si>
  <si>
    <t>NANOFIBROUS MEMBRANES; POROUS MEMBRANE; OXIDE</t>
  </si>
  <si>
    <t>Solar-driven interfacial steam technology converts photons into heat energy directly and therefore realizes the effective removal of environmental pollutants, which presents huge potential in seawater desalination and freshwater production. To realize efficient and rapid solar-driven water evaporation, developing and designing efficient photothermal conversion materials is of great significance. Herein, a high-entropy alloy (HEA) fiber membrane with rapid heating and wide spectral response is synthesized via adjusting high-entropy metals diffusion on the surface of carbon nanofibers by an electrospinning technology. Benefiting from the low equivalent evaporation enthalpy and high solar spectrum capacity of HEA fibers, the HEA (FeCoNiCuMn)-carbon nanofiber-5S2 achieves a rapid steam-generation rate of 2.74 kg m(-2) h(-1) with a solar-to-vapor conversion efficiency of 99.4% under 1 sun illumination. In addition, the evaporator presented a stable seawater desalination and wastewater purification performance. Therefore, the HEA-based solar evaporator can be an alternative photothermal material for efficient solar steam generation.</t>
  </si>
  <si>
    <t>[Ma, Baixue; Zhang, Guangyao; Liao, Yemei; Shen, Ziyi; Lu, Yi] Nanjing Forestry Univ, Coll Sci, Jiangsu Co Innovat Ctr Efficient Proc, Nanjing 210037, Peoples R China; [Ma, Baixue; Zhang, Guangyao; Liao, Yemei; Shen, Ziyi; Lu, Yi] Nanjing Forestry Univ, Coll Sci, Utilizat Forest Resources Int Innovat Ctr Forest C, Nanjing 210037, Peoples R China; [Fan, Deqi] Nanjing Forestry Univ, Coll Chem Engn, Nanjing 210037, Peoples R China; [Lu, Yi] Wuhan Univ Sci &amp; Technol, State Key Lab Refractories &amp; Metallury, Wuhan 430081, Peoples R China</t>
  </si>
  <si>
    <t>Nanjing Forestry University; Nanjing Forestry University; Nanjing Forestry University; Wuhan University of Science &amp; Technology</t>
  </si>
  <si>
    <t>Lu, Y (corresponding author), Nanjing Forestry Univ, Coll Sci, Jiangsu Co Innovat Ctr Efficient Proc, Nanjing 210037, Peoples R China.;Lu, Y (corresponding author), Nanjing Forestry Univ, Coll Sci, Utilizat Forest Resources Int Innovat Ctr Forest C, Nanjing 210037, Peoples R China.;Lu, Y (corresponding author), Wuhan Univ Sci &amp; Technol, State Key Lab Refractories &amp; Metallury, Wuhan 430081, Peoples R China.</t>
  </si>
  <si>
    <t>yilu@njfu.edu.cn</t>
  </si>
  <si>
    <t>LU, YI/0000-0002-3441-7395</t>
  </si>
  <si>
    <t>State Key Laboratory of Refractories and Metallury (Wuhan University of Science and Technology) [G202203]; National Natural Science Foundation of China [51902164]; Science Fund for Distinguished Young Scholars [JC2019002]; Nanjing Forestry University; Priority Academic Program Development of Jiangsu Higher Education Institutions (PAPD)</t>
  </si>
  <si>
    <t>State Key Laboratory of Refractories and Metallury (Wuhan University of Science and Technology); National Natural Science Foundation of China(National Natural Science Foundation of China (NSFC)); Science Fund for Distinguished Young Scholars(National Natural Science Foundation of China (NSFC)National Science Fund for Distinguished Young Scholars); Nanjing Forestry University; Priority Academic Program Development of Jiangsu Higher Education Institutions (PAPD)</t>
  </si>
  <si>
    <t>B.M. and D.F. contributed equally to this work. This work was supported by the State Key Laboratory of Refractories and Metallury (Wuhan University of Science and Technology, grant no. G202203), the National Natural Science Foundation of China (grant no. 51902164), Science Fund for Distinguished Young Scholars (grant no. JC2019002), Nanjing Forestry University. This work was also funded by the Priority Academic Program Development of Jiangsu Higher Education Institutions (PAPD).</t>
  </si>
  <si>
    <t>2367-198X</t>
  </si>
  <si>
    <t>SOL RRL</t>
  </si>
  <si>
    <t>Sol. RRL</t>
  </si>
  <si>
    <t>10.1002/solr.202300484</t>
  </si>
  <si>
    <t>Energy &amp; Fuels; Materials Science, Multidisciplinary</t>
  </si>
  <si>
    <t>Energy &amp; Fuels; Materials Science</t>
  </si>
  <si>
    <t>P7FE8</t>
  </si>
  <si>
    <t>WOS:001052287500001</t>
  </si>
  <si>
    <t>Mallet, MC; Mozun, R; Ardura-Garcia, C; Pedersen, ESL; Jurca, M; Latzin, P; LUIS Study Grp; Moeller, A; Kuehni, CE</t>
  </si>
  <si>
    <t>Mallet, Maria; Mozun, Rebeca; Ardura-Garcia, Cristina; Pedersen, Eva S. L.; Jurca, Maja; Latzin, Philipp; LUIS Study Grp, Claudia E.; Moeller, Alexander; Kuehni, Claudia</t>
  </si>
  <si>
    <t>Phenotypic characteristics, healthcare use, and treatment in children with night cough compared with children with wheeze</t>
  </si>
  <si>
    <t>asthma; FeNO; healthcare; spirometry</t>
  </si>
  <si>
    <t>RECURRENT COUGH; RESPIRATORY SYMPTOMS; PERSISTENT COUGH; ASTHMA; CHILDHOOD; PREVALENCE; MANAGEMENT; BURDEN</t>
  </si>
  <si>
    <t>ObjectivesPopulation-based studies of children with dry night cough alone compared with those who also wheeze are few and inconclusive. We compared how children with dry night cough differ from those who wheeze. MethodsLuftiBus in the school is a population-based study of schoolchildren conducted between 2013 and 2016 in Zurich, Switzerland. We divided children into four mutually exclusive groups based on reported dry night cough (henceforth referred as cough) and wheeze and compared parent-reported symptoms, comorbidities, exposures, FeNO, spirometry, and healthcare use and treatment. ResultsAmong 3457 schoolchildren aged 6-17 years, 294 (9%) reported cough, 181 (5%) reported wheeze, 100 (3%) reported wheeze and cough, and 2882 (83%) were asymptomatic. Adjusting for confounders in a multinomial regression, children with cough reported more frequent colds, rhinitis, and snoring than asymptomatic children; children with wheeze or wheeze and cough more often reported hay fever, eczema, and parental histories of asthma. FeNO and spirometry were similar among asymptomatic and children with cough, while children with wheeze or wheeze and cough had higher FeNO and evidence of bronchial obstruction. Children with cough used healthcare less often than those with wheeze, and they attended mainly primary care. Twenty-two children (7% of those with cough) reported a physician diagnosis of asthma and used inhalers. These had similar characteristics as children with wheeze. ConclusionOur representative population-based study confirms that children with dry night cough without wheeze clearly differed from those with wheeze. This suggests asthma is unlikely, and they should be investigated for alternative aetiologies, particularly upper airway disease.</t>
  </si>
  <si>
    <t>[Mallet, Maria; Mozun, Rebeca; Ardura-Garcia, Cristina; Pedersen, Eva S. L.; Jurca, Maja; Kuehni, Claudia] Univ Bern, Inst Social &amp; Prevent Med, Bern, Switzerland; [Mallet, Maria] Univ Bern, Grad Sch Hlth Sci, Bern, Switzerland; [Mozun, Rebeca] Univ Zurich, Univ Childrens Hosp Zurich, Childrens Res Ctr, Dept Intens Care &amp; Neonatol, Zurich, Switzerland; [Jurca, Maja] Univ Childrens Hosp Basel, Basel, Switzerland; [Latzin, Philipp; Kuehni, Claudia] Univ Bern, Bern Univ Hosp, Dept Paediat, Div Paediat Resp Med &amp; Allergol,Inselspital, Bern, Switzerland; [Moeller, Alexander] Univ Childrens Hosp Zurich, Dept Resp Med, Zurich, Switzerland; [Moeller, Alexander] Univ Zurich, Childrens Res Ctr, Zurich, Switzerland; [Kuehni, Claudia] Univ Bern, Inst Social &amp; Prevent Med, Mittelstr 43, CH-3012 Bern, Switzerland</t>
  </si>
  <si>
    <t>University of Bern; University of Bern; University of Zurich; University Children's Hospital Zurich; University of Basel; University of Bern; University Hospital of Bern; University Children's Hospital Zurich; University of Zurich; University of Bern</t>
  </si>
  <si>
    <t>Kuehni, CE (corresponding author), Univ Bern, Inst Social &amp; Prevent Med, Mittelstr 43, CH-3012 Bern, Switzerland.</t>
  </si>
  <si>
    <t>claudia.kuehni@unibe.ch</t>
  </si>
  <si>
    <t>Mozun, Rebeca/Y-6809-2019; Mozun, Rebeca/IZD-8138-2023; Latzin, Philipp/F-2206-2017</t>
  </si>
  <si>
    <t>Mozun, Rebeca/0000-0002-5237-8668; Pedersen, Eva Sophie Lunde/0000-0003-0293-9954; ARDURA-GARCIA, CRISTINA/0000-0001-7924-518X; Mallet, Maria Christina/0000-0002-3633-8017; Latzin, Philipp/0000-0002-5239-1571; Kuehni, Claudia E./0000-0001-8957-2002</t>
  </si>
  <si>
    <t>Lunge Zuerich, Switzerland; Swiss National Science Foundation [320030_182628, 320030_212519]; Swiss National Science Foundation (SNF) [320030_212519, 320030_182628] Funding Source: Swiss National Science Foundation (SNF)</t>
  </si>
  <si>
    <t>Lunge Zuerich, Switzerland; Swiss National Science Foundation(Swiss National Science Foundation (SNSF)); Swiss National Science Foundation (SNF)(Swiss National Science Foundation (SNSF))</t>
  </si>
  <si>
    <t>Lunge Zuerich, Switzerland; Swiss National Science Foundation, Grant/Award Numbers: 320030_182628, 320030_212519</t>
  </si>
  <si>
    <t>10.1002/ppul.26626</t>
  </si>
  <si>
    <t>P6XX9</t>
  </si>
  <si>
    <t>WOS:001052095900001</t>
  </si>
  <si>
    <t>Namiki, W; Nishioka, D; Yamaguchi, Y; Tsuchiya, T; Higuchi, T; Terabe, K</t>
  </si>
  <si>
    <t>Namiki, Wataru; Nishioka, Daiki; Yamaguchi, Yu; Tsuchiya, Takashi; Higuchi, Tohru; Terabe, Kazuya</t>
  </si>
  <si>
    <t>Experimental Demonstration of High-Performance Physical Reservoir Computing with Nonlinear Interfered Spin Wave Multidetection</t>
  </si>
  <si>
    <t>in-materio computing; physical reservoir computing; spin wave interference</t>
  </si>
  <si>
    <t>SYSTEM; CHAOS</t>
  </si>
  <si>
    <t>Physical reservoir computing, which is a promising method for the implementation of highly efficient artificial intelligence devices, requires a physical system with nonlinearity, fading memory, and the ability to map in high dimensions. Although it is expected that spin wave interference can perform as highly efficient reservoir computing in some micromagnetic simulations, there has been no experimental verification to date. Herein, reservoir computing is demonstrated that utilizes multidetected nonlinear spin wave interference in an yttrium-iron-garnet single crystal. The subject computing system achieves excellent performance when used for hand-written digit recognition, second-order nonlinear dynamical tasks, and nonlinear autoregressive moving average (NARMA). It is of particular note that normalized mean square errors for NARMA2 and second-order nonlinear dynamical tasks are 1.81 x 10(-2) and 8.37 x 10(-5), respectively, which are the lowest figures for any experimental physical reservoir so far reported. Said high performance is achieved with higher nonlinearity and the large memory capacity of interfered spin wave multidetection.</t>
  </si>
  <si>
    <t>[Namiki, Wataru; Nishioka, Daiki; Yamaguchi, Yu; Tsuchiya, Takashi; Terabe, Kazuya] Natl Inst Mat Sci, Int Ctr Mat Nanoarchitecton WPI MANA, Ibaraki 3050044, Japan; [Nishioka, Daiki; Yamaguchi, Yu; Higuchi, Tohru] Tokyo Univ Sci, Fac Sci, Tokyo 1258585, Japan</t>
  </si>
  <si>
    <t>National Institute for Materials Science; Tokyo University of Science</t>
  </si>
  <si>
    <t>Tsuchiya, T (corresponding author), Natl Inst Mat Sci, Int Ctr Mat Nanoarchitecton WPI MANA, Ibaraki 3050044, Japan.</t>
  </si>
  <si>
    <t>tsuchiya.takashi@nims.go.jp</t>
  </si>
  <si>
    <t>Tsuchiya, Takashi/K-5298-2012</t>
  </si>
  <si>
    <t>Tsuchiya, Takashi/0000-0002-6950-6160; NAMIKI, Wataru/0000-0003-4053-7366; Nishioka, Daiki/0000-0002-3369-7700</t>
  </si>
  <si>
    <t>Japan Society for the Promotion of Science (JSPS) KAKENHI [JP22H04625, JP21J21982]; Yazaki Memorial Foundation for Science and Technology; Hitachi Global Foundation</t>
  </si>
  <si>
    <t>Japan Society for the Promotion of Science (JSPS) KAKENHI(Ministry of Education, Culture, Sports, Science and Technology, Japan (MEXT)Japan Society for the Promotion of ScienceGrants-in-Aid for Scientific Research (KAKENHI)); Yazaki Memorial Foundation for Science and Technology; Hitachi Global Foundation</t>
  </si>
  <si>
    <t>This work was in part supported by Japan Society for the Promotion of Science (JSPS) KAKENHI grant no. JP22H04625 (Grant-in-Aid for Scientific Research on Innovative Areas Interface Ionics), and JP21J21982 (Grant-in-Aid for JSPS Fellows). A part of this work was supported by the Yazaki Memorial Foundation for Science and Technology and Kurata grants from The Hitachi Global Foundation.</t>
  </si>
  <si>
    <t>10.1002/aisy.202300228</t>
  </si>
  <si>
    <t>P7FE7</t>
  </si>
  <si>
    <t>WOS:001052287400001</t>
  </si>
  <si>
    <t>Nikaido, M; Takimoto, T; Sakurai, T; Hoki, M; Minamiguchi, S; Nakajima, T; Torishima, M; Nishigori, T; Obama, K; Koyama, Y; Chiba, T; Ushiama, M; Gotoh, M; Teramura, M; Takeda, H; Shimizu, T; Seno, H</t>
  </si>
  <si>
    <t>Nikaido, Mitsuhiro; Takimoto, Takafumi; Sakurai, Takaki; Hoki, Masahito; Minamiguchi, Sachiko; Nakajima, Takeshi; Torishima, Masako; Nishigori, Tatsuto; Obama, Kazutaka; Koyama, Yukari; Chiba, Tsutomu; Ushiama, Mineko; Gotoh, Masahiro; Teramura, Mari; Takeda, Haruhiko; Shimizu, Takahiro; Seno, Hiroshi</t>
  </si>
  <si>
    <t>Gastric juvenile polyposis syndrome with inflammatory changes in the intervening mucosa</t>
  </si>
  <si>
    <t>PATHOLOGY INTERNATIONAL</t>
  </si>
  <si>
    <t>[Nikaido, Mitsuhiro; Takimoto, Takafumi; Teramura, Mari; Takeda, Haruhiko; Shimizu, Takahiro; Seno, Hiroshi] Kyoto Univ, Dept Gastroenterol &amp; Hepatol, Grad Sch Med, Sakyo ku, Kyoto, Japan; [Sakurai, Takaki] Kansai Elect Power Hosp, Dept Pathol, Fukushima Ku, Osaka, Japan; [Sakurai, Takaki] Osaka Red Cross Hosp, Dept Diagnost Pathol, Tennoji ku, Osaka, Japan; [Hoki, Masahito; Minamiguchi, Sachiko] Kyoto Univ, Dept Diagnost Pathol, Grad Sch Med, Sakyo ku, Kyoto, Japan; [Nakajima, Takeshi; Torishima, Masako] Kyoto Univ, Dept Med Eth &amp; Med Genet, Sch Publ Hlth, Kyoto, Japan; [Nakajima, Takeshi; Torishima, Masako] Kyoto Univ Hosp, Dept Clin Genet Unit, Sakyo ku, Kyoto, Japan; [Nishigori, Tatsuto; Obama, Kazutaka] Kyoto Univ, Dept Surg, Grad Sch Med, Sakyo ku, Kyoto, Japan; [Koyama, Yukari; Chiba, Tsutomu] Kansai Elect Power Hosp, Dept Gastroenterol &amp; Hepatol, Fukushima Ku, Osaka, Japan; [Ushiama, Mineko; Gotoh, Masahiro] Natl Canc Ctr, Dept Genet Med &amp; Serv, Chuo ku, Tokyo, Japan; [Ushiama, Mineko; Gotoh, Masahiro] Natl Canc Ctr, Dept Clin Genom, Chuo ku, Tokyo, Japan</t>
  </si>
  <si>
    <t>Kyoto University; Osaka Red Cross Hospital; Kyoto University; Kyoto University; Kyoto University; Kyoto University; National Cancer Center - Japan; National Cancer Center - Japan</t>
  </si>
  <si>
    <t>Nikaido, M (corresponding author), Kyoto Univ, Dept Gastroenterol &amp; Hepatol, Grad Sch Med, Sakyo ku, Kyoto, Japan.</t>
  </si>
  <si>
    <t>AMED [JP22ck0106554]; JSPS KAKENHI [JP22K15994]</t>
  </si>
  <si>
    <t>AMED; JSPS KAKENHI(Ministry of Education, Culture, Sports, Science and Technology, Japan (MEXT)Japan Society for the Promotion of ScienceGrants-in-Aid for Scientific Research (KAKENHI))</t>
  </si>
  <si>
    <t>ACKNOWLEDGMENTS This research was supported by AMED under Grant No. JP22ck0106554 and JSPS KAKENHI under Grant No. JP22K15994. We would like to thank Editage for English language editing.</t>
  </si>
  <si>
    <t>1320-5463</t>
  </si>
  <si>
    <t>1440-1827</t>
  </si>
  <si>
    <t>PATHOL INT</t>
  </si>
  <si>
    <t>Pathol. Int.</t>
  </si>
  <si>
    <t>10.1111/pin.13374</t>
  </si>
  <si>
    <t>Pathology</t>
  </si>
  <si>
    <t>P6PK0</t>
  </si>
  <si>
    <t>WOS:001051873400001</t>
  </si>
  <si>
    <t>Qiao, Z; Li, DW; Gao, JR; Hou, ZJ; Yan, NJ; Song, N; Wang, P; Li, M</t>
  </si>
  <si>
    <t>Qiao, Zhi; Li, Dongwei; Gao, Jingru; Hou, Zijiao; Yan, Ningjie; Song, Ni; Wang, Peng; Li, Ming</t>
  </si>
  <si>
    <t>Synthesis of L-Hexopyranosyl Fluorides Enabled by Radical Decarboxylative Fluorination: Assembly of a Pentasaccharide Repeating Unit Corresponding to Extracellular Polysaccharide S-88</t>
  </si>
  <si>
    <t>CHINESE JOURNAL OF CHEMISTRY</t>
  </si>
  <si>
    <t>Carbohydrates; Glycosylation; Oligosaccharides; L-Glycosyl fluorides; Extracellular polysaccharide S-88; Radical decarboxylation</t>
  </si>
  <si>
    <t>C-H BONDS; L-GALACTOSE; L-GLUCOSE; DONORS; FUNCTIONALIZATION; MONOSACCHARIDES; COMBINATION</t>
  </si>
  <si>
    <t>L-Hexoses are key components of many biologically relevant natural products and pharmaceuticals. As rare sugars, L-hexoses are not readily obtained from natural sources. Access to L-hexose building blocks from commercially available and inexpensive D-sugars is highly desirable from the viewpoints of organic synthesis and drug discovery. As demonstrated by the convenient preparation of L-glucosyl, L-galactosyl, and L-mannosyl fluorides from readily available ss-D-C-glucosyl, ss-D-C-mannosyl, and ss- D-C-galactosyl derivatives, we describe a novel and efficient approach to the demanding L-glycosyl fluorides. The transformation features the installation of anomeric hydroxymethyl group under mild conditions and C1-to-C5 switch of sugar rings through radical decarboxylative fluorination of uronic acids. The power of this protocol is highlighted by the first assembly of a pentasaccharide repeating unit of Pseudomonas ATCC 31554 extracellular polysaccharide (S-88). This synthesis relies on the efficient extension of sugar chain at the sterically hindered hydroxy group and the facile introduction of L-mannosyl unit using L-mannosyl fluoride as glycosylating agent. The methods developed in this work would provide new tools to the arsenal of synthesis of L-sugar building blocks and of assembly of glycans containing L-sugar moieties.</t>
  </si>
  <si>
    <t>[Qiao, Zhi; Li, Dongwei; Gao, Jingru; Hou, Zijiao; Yan, Ningjie; Song, Ni; Wang, Peng; Li, Ming] Ocean Univ China, Mol Synth Ctr, Sch Med &amp; Pharm, Key Lab Marine Med,Chinese Minist Educ,Shandong Pr, Qingdao 266003, Shandong, Peoples R China; [Li, Ming] Pilot Natl Lab Marine Sci &amp; Technol, Lab Marine Drugs &amp; Bioprod, Qingdao 266237, Shandong, Peoples R China</t>
  </si>
  <si>
    <t>Ocean University of China; Laoshan Laboratory</t>
  </si>
  <si>
    <t>Wang, P; Li, M (corresponding author), Ocean Univ China, Mol Synth Ctr, Sch Med &amp; Pharm, Key Lab Marine Med,Chinese Minist Educ,Shandong Pr, Qingdao 266003, Shandong, Peoples R China.;Li, M (corresponding author), Pilot Natl Lab Marine Sci &amp; Technol, Lab Marine Drugs &amp; Bioprod, Qingdao 266237, Shandong, Peoples R China.</t>
  </si>
  <si>
    <t>pengw@ouc.edu.cn; lmsnouc@ouc.edu.cn</t>
  </si>
  <si>
    <t>Li, Ming/AAV-5570-2021</t>
  </si>
  <si>
    <t>Li, Ming/0000-0003-2719-5429; Li, Dongwei/0009-0005-0994-4387</t>
  </si>
  <si>
    <t>Marine Samp;T Fund of Shandong Province for Pilot National Laboratory for Marine Science and Technology (Qingdao) [2022QNLM030003-2]; National Natural Science Foundation of China [21977088, 21672194]; National Natural Science Foundation of China-Shandong Joint Fund [U1906213]</t>
  </si>
  <si>
    <t>Marine Samp;T Fund of Shandong Province for Pilot National Laboratory for Marine Science and Technology (Qingdao); National Natural Science Foundation of China(National Natural Science Foundation of China (NSFC)); National Natural Science Foundation of China-Shandong Joint Fund</t>
  </si>
  <si>
    <t>Acknowledgement We are grateful for financial support from the Marine S &amp; T Fund of Shandong Province for Pilot National Laboratory for Marine Science and Technology (Qingdao) (No. 2022QNLM030003-2), the National Natural Science Foundation of China (Nos. 21977088 and 21672194), and the National Natural Science Foundation of China-Shandong Joint Fund (No. U1906213).</t>
  </si>
  <si>
    <t>1001-604X</t>
  </si>
  <si>
    <t>1614-7065</t>
  </si>
  <si>
    <t>CHINESE J CHEM</t>
  </si>
  <si>
    <t>Chin. J. Chem.</t>
  </si>
  <si>
    <t>10.1002/cjoc.202300392</t>
  </si>
  <si>
    <t>P6MZ6</t>
  </si>
  <si>
    <t>WOS:001051811000001</t>
  </si>
  <si>
    <t>Rabaiotti, D; Coulson, T; Woodroffe, R</t>
  </si>
  <si>
    <t>Rabaiotti, Daniella; Coulson, Tim; Woodroffe, Rosie</t>
  </si>
  <si>
    <t>Climate change is predicted to cause population collapse in a cooperative breeder</t>
  </si>
  <si>
    <t>climate change; demography; individual-based model; Lycaon pictus; mammal; populations; social species; temperature</t>
  </si>
  <si>
    <t>AFRICAN WILD DOGS; GROUP-SIZE; REPRODUCTIVE SUCCESS; LYCAON-PICTUS; SURVIVAL; DYNAMICS; BEHAVIOR; EVOLUTION; MAMMALS; DEMOGRAPHY</t>
  </si>
  <si>
    <t>It has been suggested that animals may have evolved cooperative breeding strategies in response to extreme climatic conditions. Climate change, however, may push species beyond their ability to cope with extreme climates, and reduce the group sizes in cooperatively breeding species to a point where populations are no longer viable. Predicting the impact of future climates on these species is challenging as modelling the impact of climate change on their population dynamics requires information on both group- and individual-level responses to climatic conditions. Using a single-sex individual-based model incorporating demographic responses to ambient temperature in an endangered species, the African wild dog Lycaon pictus, we show that there is a threshold temperature above which populations of the species are predicted to collapse. For simulated populations with carrying capacities equivalent to the median size of real-world populations (nine packs), extinction risk increases once temperatures exceed those predicted in the best-case climate warming scenario (Representative Concentration Pathway [RCP] 2.6). The threshold is higher (between RCP 4.5 and RCP 6.0) for larger simulated populations (30 packs), but 84% of real-world populations number &lt;30 packs. Simulated populations collapsed because, at high ambient temperatures, juvenile survival was so low that packs were no longer recruiting enough individuals to persist, leading them to die out. This work highlights the importance of social dynamics in determining impacts of climatic variables on social species, and the critical role that recruitment can play in driving population-level impacts of climate change. Population models parameterised on long-term data are essential for predicting future population viability under climate change.</t>
  </si>
  <si>
    <t>[Rabaiotti, Daniella; Woodroffe, Rosie] Zool Soc London, Inst Zool, London, England; [Rabaiotti, Daniella; Woodroffe, Rosie] UCL, Ctr Biodivers &amp; Environm Res, Dept Genet Evolut &amp; Environm, Div Biosci, London, England; [Coulson, Tim] Univ Oxford, Dept Biol, Oxford, England</t>
  </si>
  <si>
    <t>Zoological Society of London; University of London; University College London; University of Oxford</t>
  </si>
  <si>
    <t>Rabaiotti, D (corresponding author), Zool Soc London, Inst Zool, London, England.</t>
  </si>
  <si>
    <t>Daniella.Rabaiotti@ioz.ac.uk</t>
  </si>
  <si>
    <t>Coulson, Tim/0000-0001-9371-9003</t>
  </si>
  <si>
    <t>Natural Environment Research Council [NE/L002485/1, NE/T001348/1]</t>
  </si>
  <si>
    <t>Natural Environment Research Council(UK Research &amp; Innovation (UKRI)Natural Environment Research Council (NERC))</t>
  </si>
  <si>
    <t>Natural Environment Research Council, Grant/Award Number: NE/L002485/1 and NE/T001348/1</t>
  </si>
  <si>
    <t>10.1111/gcb.16890</t>
  </si>
  <si>
    <t>P6SG3</t>
  </si>
  <si>
    <t>WOS:001051948300001</t>
  </si>
  <si>
    <t>Rountree, AS</t>
  </si>
  <si>
    <t>Rountree, Ajanet S. S.</t>
  </si>
  <si>
    <t>Gods of the Upper Air: How a Circle of Renegade Anthropologists Reinvented Race, Sex, and Gender in the Twentieth Century</t>
  </si>
  <si>
    <t>TRANSFORMING ANTHROPOLOGY</t>
  </si>
  <si>
    <t>[Rountree, Ajanet S. S.] George Mason Univ, Jimmy &amp; Rosalynn Carter Sch Peace &amp; Conflict Reso, Arlington, VA 22201 USA</t>
  </si>
  <si>
    <t>George Mason University</t>
  </si>
  <si>
    <t>Rountree, AS (corresponding author), George Mason Univ, Jimmy &amp; Rosalynn Carter Sch Peace &amp; Conflict Reso, Arlington, VA 22201 USA.</t>
  </si>
  <si>
    <t>arountr@gmu.edu</t>
  </si>
  <si>
    <t>1051-0559</t>
  </si>
  <si>
    <t>1548-7466</t>
  </si>
  <si>
    <t>TRANSFORM ANTHROPOL</t>
  </si>
  <si>
    <t>Transform. Anthropol.</t>
  </si>
  <si>
    <t>10.1111/traa.12265</t>
  </si>
  <si>
    <t>P7KX9</t>
  </si>
  <si>
    <t>WOS:001052437800001</t>
  </si>
  <si>
    <t>Spoelhof, JP; Soltis, PS; Soltis, DE</t>
  </si>
  <si>
    <t>Spoelhof, Jonathan P. P.; Soltis, Pamela S. S.; Soltis, Douglas E. E.</t>
  </si>
  <si>
    <t>Doubling down on polyploidy</t>
  </si>
  <si>
    <t>chromEvol; chromosome number; database; genome duplication; model; phylogeny; polyploidy; The Chromosome Counts Database (CCDB)</t>
  </si>
  <si>
    <t>CHROMOSOME-NUMBER EVOLUTION; INFERENCE; MODELS</t>
  </si>
  <si>
    <t>[Spoelhof, Jonathan P. P.; Soltis, Pamela S. S.; Soltis, Douglas E. E.] Univ Florida, Florida Museum Nat Hist, Gainesville, FL 32611 USA; [Soltis, Douglas E. E.] Univ Florida, Dept Biol, Gainesville, FL 32611 USA</t>
  </si>
  <si>
    <t>State University System of Florida; University of Florida; State University System of Florida; University of Florida</t>
  </si>
  <si>
    <t>Spoelhof, JP (corresponding author), Univ Florida, Florida Museum Nat Hist, Gainesville, FL 32611 USA.</t>
  </si>
  <si>
    <t>spoelhof.jon@ufl.edu</t>
  </si>
  <si>
    <t>Douglas, Soltis/0000-0001-8638-4137</t>
  </si>
  <si>
    <t>US National Science Foundation [DEB-2043478]</t>
  </si>
  <si>
    <t>US National Science Foundation(National Science Foundation (NSF))</t>
  </si>
  <si>
    <t>Acknowledgements This publication was supported by a US National Science Foundation grant (DEB-2043478) awarded to DES and PSS.</t>
  </si>
  <si>
    <t>10.1111/nph.19223</t>
  </si>
  <si>
    <t>P6NS0</t>
  </si>
  <si>
    <t>WOS:001051829400001</t>
  </si>
  <si>
    <t>Tokito, S; Hanaka, T; Nagashima, F</t>
  </si>
  <si>
    <t>Tokito, Shohei; Hanaka, Tesshu; Nagashima, Fumiya</t>
  </si>
  <si>
    <t>Structural attribution of emissions along the global supply chain and implications for climate policy</t>
  </si>
  <si>
    <t>JOURNAL OF INDUSTRIAL ECOLOGY</t>
  </si>
  <si>
    <t>environmental accounting; greening the supply chain; industrial ecology; input-output analysis; international trade; supply chain management</t>
  </si>
  <si>
    <t>SECTORS; LINKAGES; TRADE</t>
  </si>
  <si>
    <t>To develop and implement effective policies to mitigate climate change, it is important to understand the emission profile of sectors that comprise the network of global supply chains. Focusing on the relationship between sectors' positions in the global supply chain, this study develops a structural position analysis framework based on input-output analysis. Our framework reveals the highest-priority sectors and transactions, and the best strategies for CO2 emission reduction in the global supply chain. The strategies identified focus on cross-border transactions and highlight the need for inter-sectoral and international collaboration. The results indicate that the United States and China have different priorities and characteristics (even vis-a-vis the same industry), and that joint emission reduction policies should be coordinated to take advantage of each country's emission reduction potential. Our findings suggest that, in the United States and Europe, policies to promote the reduction of direct emissions from production of goods for exports through carbon taxes are important. Contrarily, in Asian countries, carbon emissions originate mainly from intermediate goods trades, suggesting the need for mandatory life cycle assessment reporting and emissions disclosure. Our analytical framework thus proposes specific policies that could effectively reduce specific sectors' and transactions' carbon footprints.</t>
  </si>
  <si>
    <t>[Tokito, Shohei] Yamagata Univ, Fac Humanities &amp; Social Sci, Yamagata, Japan; [Hanaka, Tesshu] Kyushu Univ, Fac Informat Sci &amp; Elect Engn, Fukuoka, Japan; [Nagashima, Fumiya] Kindai Univ, Fac Econ, Osaka, Japan; [Tokito, Shohei] 1-4-12, Kojirakawa-cho, Yamagata, Yamagata, Japan</t>
  </si>
  <si>
    <t>Yamagata University; Kyushu University; Kindai University (Kinki University)</t>
  </si>
  <si>
    <t>Tokito, S (corresponding author), 1-4-12, Kojirakawa-cho, Yamagata, Yamagata, Japan.</t>
  </si>
  <si>
    <t>s.tokito@human.kj.yamagata-u.ac.jp</t>
  </si>
  <si>
    <t>ESPEC Foundation for Global Environment Research and Technology (Charitable Trust); Hitachi Global Foundation; [20H00651]; [20K20025]; [21K13277]</t>
  </si>
  <si>
    <t>ESPEC Foundation for Global Environment Research and Technology (Charitable Trust); Hitachi Global Foundation; ; ;</t>
  </si>
  <si>
    <t>ESPEC Foundation for Global Environment Research and Technology (Charitable Trust); Kurata Grants from The Hitachi Global Foundation; Grant-in-Aid for Scientific Research, Grant/Award Numbers: 20H00651, 20K20025, 21K13277</t>
  </si>
  <si>
    <t>1088-1980</t>
  </si>
  <si>
    <t>1530-9290</t>
  </si>
  <si>
    <t>J IND ECOL</t>
  </si>
  <si>
    <t>J. Ind. Ecol.</t>
  </si>
  <si>
    <t>10.1111/jiec.13428</t>
  </si>
  <si>
    <t>Green &amp; Sustainable Science &amp; Technology; Engineering, Environmental; Environmental Sciences</t>
  </si>
  <si>
    <t>Science &amp; Technology - Other Topics; Engineering; Environmental Sciences &amp; Ecology</t>
  </si>
  <si>
    <t>P7KK4</t>
  </si>
  <si>
    <t>WOS:001052424300001</t>
  </si>
  <si>
    <t>Tran, ML; Borie-Guichot, M; Garcia, V; Oukhrib, A; Genisson, Y; Levade, T; Ballereau, S; Turrin, CO; Dehoux, C</t>
  </si>
  <si>
    <t>Tran, My Lan; Borie-Guichot, Marc; Garcia, Virginie; Oukhrib, Abdelouahd; Genisson, Yves; Levade, Thierry; Ballereau, Stephanie; Turrin, Cedric-Olivier; Dehoux, Cecile</t>
  </si>
  <si>
    <t>Phosphorus Dendrimers for Metal-Free Ligation: Design of Multivalent Pharmacological Chaperones against Gaucher Disease</t>
  </si>
  <si>
    <t>copper-free click reaction; dendrimers; inhibitors; lysosomal storage diseases; pharmacological chaperones</t>
  </si>
  <si>
    <t>IMINOSUGAR CLICK CLUSTERS; GLYCOSIDASE INHIBITION; 1ST; CHEMISTRY</t>
  </si>
  <si>
    <t>The first phosphorus dendrimers built on a cyclotriphosphazene core and decorated with six or twelve monofluorocyclooctyne units were prepared. A simple stirring allowed the grafting of N-hexyl deoxynojirimycin inhitopes onto their surface by copper-free strain promoted alkyne-azide cycloaddition click reaction. The synthesized iminosugars clusters were tested as multivalent inhibitors of the biologically relevant enzymes &amp; beta;-glucocerebrosidase and acid &amp; alpha;-glucosidase, involved in Gaucher and Pompe lysosomal storage diseases, respectively. For both enzymes, all the multivalent compounds were more potent than the reference N-hexyl deoxynojirimycin. Remarkably, the final dodecavalent compound proved to be one of the best &amp; beta;-glucocerebrosidase inhibitors described to date. These cyclotriphosphazene-based deoxynojirimycin dendrimers were then evaluated as pharmacological chaperones against Gaucher disease. Not only did these multivalent constructs cross the cell membranes but they were also able to increase &amp; beta;-glucocerebrosidase activity in Gaucher cells. Notably, dodecavalent compound allowed a 1.4-fold enzyme activity enhancement at a concentration as low as 100 nM. These new monofluorocyclooctyne-presenting dendrimers may further find numerous applications in the synthesis of multivalent objects for biological and pharmacological purposes.</t>
  </si>
  <si>
    <t>[Tran, My Lan; Borie-Guichot, Marc; Genisson, Yves; Ballereau, Stephanie; Dehoux, Cecile] Univ Paul Sabatier Toulouse III, CNRS SPCMIB, UMR5068, 118 Route Narbonne, F-31062 Toulouse, France; [Turrin, Cedric-Olivier] CNRS, Lab Chim Coordinat, 205 Route Narbonne,BP 31077, F-44099 Toulouse 4, France; [Turrin, Cedric-Olivier] Univ Toulouse, LCC, CNRS, F-31013 Toulouse 6, France; [Oukhrib, Abdelouahd; Turrin, Cedric-Olivier] IMD Pharm, 205 Route Narbonne, F-31077 Toulouse 4, France; [Garcia, Virginie; Levade, Thierry] Univ Paul Sabatier, INSERM, Inst Federat Biol, Ctr Rech Cancerol Toulouse CRCT,UMR1037,Lab Biochi, F-31059 Toulouse, France</t>
  </si>
  <si>
    <t>Universite de Toulouse; Universite Toulouse III - Paul Sabatier; Centre National de la Recherche Scientifique (CNRS); CNRS - Institute of Chemistry (INC); Centre National de la Recherche Scientifique (CNRS); Centre National de la Recherche Scientifique (CNRS); Universite de Toulouse; Universite Toulouse III - Paul Sabatier; Institut National de la Sante et de la Recherche Medicale (Inserm)</t>
  </si>
  <si>
    <t>Dehoux, C (corresponding author), Univ Paul Sabatier Toulouse III, CNRS SPCMIB, UMR5068, 118 Route Narbonne, F-31062 Toulouse, France.</t>
  </si>
  <si>
    <t>cecile.dehoux@univ-tlse3.fr</t>
  </si>
  <si>
    <t>; Ballereau, Stephanie/J-3630-2016</t>
  </si>
  <si>
    <t>turrin, cedric-olivier/0000-0001-7187-8070; Ballereau, Stephanie/0000-0002-7250-6188; Dehoux, Cecile/0000-0002-6313-7392</t>
  </si>
  <si>
    <t>Vaincre les Maladies Lysosomales; Universite Paul Sabatier</t>
  </si>
  <si>
    <t>This research was funded by the association 'Vaincre les Maladies Lysosomales'. We thank Universite Paul Sabatier for financial support and a PhD grant to Dr. M. L. Tran. We thank Dr. L. Gibot (IMRCP) for giving access to the plate reader.</t>
  </si>
  <si>
    <t>10.1002/chem.202301210</t>
  </si>
  <si>
    <t>P7BA5</t>
  </si>
  <si>
    <t>WOS:001052177300001</t>
  </si>
  <si>
    <t>Tsagakis, I; Sonnino, S</t>
  </si>
  <si>
    <t>Tsagakis, Ioannis; Sonnino, Sandro</t>
  </si>
  <si>
    <t>An open chat with horizontal ellipsis Sandro Sonnino</t>
  </si>
  <si>
    <t>FEBS OPEN BIO</t>
  </si>
  <si>
    <t>Sandro Sonnino is one of the founding members of the Editorial Board of FEBS Open Bio, having joined in 2011. He is also a member of the Editorial Board of FEBS Letters and is the Editor-in-Chief of Glycoconjugate Journal. He is full professor of biochemistry in the School of Medicine at the University of Milan, where he was also formerly coordinator of the Interdisciplinary Laboratory of Advanced Technology (LITA) and Director of the Department of Medical Chemistry, Biochemistry, and Biotechnology. His research is focused on the metabolism and biochemical properties of gangliosides and glycosphingolipids, and their role in cell signaling and the nervous system. He is a guest editor of this special In the Limelight issue on glycosphingolipids in disease, which features multiple Reviews and an original research article related to this field. In this interview, Sandro Sonnino discusses the ongoing importance of research on glycosphingolipids and his personal career journey.</t>
  </si>
  <si>
    <t>[Tsagakis, Ioannis] FEBS Open Bio Editorial Off, Cambridge, England; [Sonnino, Sandro] Univ Milan, Dept Med Biotechnol &amp; Translat Med, Milan, Italy; [Tsagakis, Ioannis] FEBS Open Bio Editorial Off, Suite B1,Third Floor,St Andrews House,59 St Andrew, Cambridge CB2 3BZ, England</t>
  </si>
  <si>
    <t>University of Milan</t>
  </si>
  <si>
    <t>Tsagakis, I (corresponding author), FEBS Open Bio Editorial Off, Suite B1,Third Floor,St Andrews House,59 St Andrew, Cambridge CB2 3BZ, England.</t>
  </si>
  <si>
    <t>openbio@febs.org</t>
  </si>
  <si>
    <t>Tsagakis, Ioannis/0000-0002-5136-9188</t>
  </si>
  <si>
    <t>2211-5463</t>
  </si>
  <si>
    <t>FEBS Open Bio</t>
  </si>
  <si>
    <t>SI</t>
  </si>
  <si>
    <t>10.1002/2211-5463.13689</t>
  </si>
  <si>
    <t>R0CU1</t>
  </si>
  <si>
    <t>WOS:001052667600001</t>
  </si>
  <si>
    <t>Wang, YL; Luo, Y; Zhao, JF</t>
  </si>
  <si>
    <t>Wang, Yulong; Luo, Yi; Zhao, Jingfei</t>
  </si>
  <si>
    <t>Life satisfaction trajectories among junior high school students in China: The role of parent-child communication</t>
  </si>
  <si>
    <t>INFANT AND CHILD DEVELOPMENT</t>
  </si>
  <si>
    <t>China; development trajectory; junior high school students; life satisfaction; parent-child communication</t>
  </si>
  <si>
    <t>QUALITY-OF-LIFE; SELF-ESTEEM; BEHAVIORS; PATTERNS; MEMORY; YOUTH</t>
  </si>
  <si>
    <t>A 3-year follow-up test (from grades 7 to 9) was administered to 807 junior high school students from two regions in Hunan Province, China, using multilevel analysis to examine trends in junior high school students' life satisfaction, differences by gender and location of life and the effects of father-child/mother-child communication on the development of life satisfaction. The results showed that (1) Chinese junior high school students' life satisfaction showed a decreasing trend from the seventh grade to the ninth grade, and there was a significant decreasing process in the eighth grade; (2) father-child communication and mother-child communication had a significant positive predictive effect on Chinese junior high school students' life satisfaction and (3) father-child communication and mother-child communication had a significant negative predictive effect on the decreasing trend of life satisfaction, in which the effect of mother-child communication was particularly significant.</t>
  </si>
  <si>
    <t>[Wang, Yulong; Zhao, Jingfei] Hunan Normal Univ, Sch Educ Sci, Cognit &amp; Human Behav Key Lab Hunan Provence, Changsha, Peoples R China; [Luo, Yi] Shanghai Fengxian Secondary Vocat Sch, Shanghai, Peoples R China</t>
  </si>
  <si>
    <t>Hunan Normal University</t>
  </si>
  <si>
    <t>Wang, YL (corresponding author), Hunan Normal Univ, Sch Educ Sci, Cognit &amp; Human Behav Key Lab Hunan Provence, Changsha, Peoples R China.</t>
  </si>
  <si>
    <t>yulongwang107@126.com</t>
  </si>
  <si>
    <t>Zhao, Jingfei/0000-0002-5693-8378</t>
  </si>
  <si>
    <t>Key Projects of Hunan Fourteenth Five Year Plan Educational Sciences Research Base [XJK22ZDJD24]</t>
  </si>
  <si>
    <t>Key Projects of Hunan Fourteenth Five Year Plan Educational Sciences Research Base</t>
  </si>
  <si>
    <t>Key Projects of Hunan Fourteenth Five Year Plan Educational Sciences Research Base, Grant/Award Number: XJK22ZDJD24</t>
  </si>
  <si>
    <t>1522-7227</t>
  </si>
  <si>
    <t>1522-7219</t>
  </si>
  <si>
    <t>INFANT CHILD DEV</t>
  </si>
  <si>
    <t>Infant Child Dev.</t>
  </si>
  <si>
    <t>e2456</t>
  </si>
  <si>
    <t>10.1002/icd.2456</t>
  </si>
  <si>
    <t>P7XC0</t>
  </si>
  <si>
    <t>WOS:001052754600001</t>
  </si>
  <si>
    <t>Zagorski, P; Dobrowolski, R; Pazdzior, A; Nasilowski, T; Kultys, K; Misztal, K; Piatek, P; Lis, D; Polakowski, C; Lukowski, M; Berus, W; Mergo, P; Bieganowski, A</t>
  </si>
  <si>
    <t>Zagorski, Piotr; Dobrowolski, Radoslaw; Pazdzior, Adam; Nasilowski, Tomasz; Kultys, Kamil; Misztal, Kamil; Piatek, Pawel; Lis, Daniel; Polakowski, Cezary; Lukowski, Mateusz; Berus, Wojciech; Mergo, Pawel; Bieganowski, Andrzej</t>
  </si>
  <si>
    <t>New concept of permafrost degradation monitoring based on photonics technologies: Case study from Calypsostranda (Bellsund, Svalbard)</t>
  </si>
  <si>
    <t>climate change; ground temperature; permafrost monitoring; photonics technologies; Svalbard</t>
  </si>
  <si>
    <t>Ground temperature measurements are crucial for a better understanding of changes in the natural environment, especially in the Arctic. Previous measurement systems provided accurate measurements; however, their most significant disadvantage was the relatively low spatial resolution, including in the vertical profile. The aim of this work was to develop and initially validate a new, original temperature measurement system based on the photonic sensing technique of optical frequency-domain reflectometry (OFDR). The system consists of a fibre-optic sensor, an interrogator, and an automatic data acquisition system. Such fibre-optic sensors allow a significant increase in spatial resolution. Data on precise temperature distribution in the ground profile will allow for a detailed determination of the changes in the thickness of the permafrost active layer (PAL) and, as a consequence, a better description of the current state of the permafrost and the layers above it in relation to their progressive degradation. In the longer term, it will make a better prediction of the pace of possible changes in the polar environment and will open up previously unavailable opportunities in the field of climate change monitoring and forecasting.</t>
  </si>
  <si>
    <t>[Zagorski, Piotr; Dobrowolski, Radoslaw] Mar Curie Sklodowska Univ Lublin, Inst Earth &amp; Environm Sci, Dept Geomorphol &amp; Palaeogeog, Lublin, Poland; [Pazdzior, Adam; Mergo, Pawel] Mar Curie Sklodowska Univ Lublin, Inst Chem Sci, Fac Chem, Lab Opt Fibre Technol, Lublin, Poland; [Nasilowski, Tomasz; Piatek, Pawel; Lis, Daniel] InPhoTech, Oltarzew, Poland; [Kultys, Kamil; Misztal, Kamil] Univ Marie Curie Sklodowska Lublin, Analyt &amp; Programme Ctr Adv Environmentally Friendl, Ecotech Complex, Lublin, Poland; [Polakowski, Cezary; Berus, Wojciech; Bieganowski, Andrzej] Polish Acad Sci, Inst Agrophys, Dept Nat Environm Biogeochem, Lublin, Poland; [Lukowski, Mateusz] Polish Acad Sci, Inst Agrophys, Dept Metrol &amp; Modelling Agrophys Proc, Lublin, Poland; [Zagorski, Piotr] Mar Curie Sklodowska Univ Lublin, Inst Earth &amp; Environm Sci, Dept Geomorphol &amp; Palaeogeog, 2CD Krasnicka Ave, PL-20718 Lublin, Poland</t>
  </si>
  <si>
    <t>Polish Academy of Sciences; Bohdan Dobrzanski Institute of Agrophysics of the Polish Academy of Sciences; Polish Academy of Sciences; Bohdan Dobrzanski Institute of Agrophysics of the Polish Academy of Sciences</t>
  </si>
  <si>
    <t>Zagorski, P (corresponding author), Mar Curie Sklodowska Univ Lublin, Inst Earth &amp; Environm Sci, Dept Geomorphol &amp; Palaeogeog, 2CD Krasnicka Ave, PL-20718 Lublin, Poland.</t>
  </si>
  <si>
    <t>piotr.zagorski@mail.umcs.pl</t>
  </si>
  <si>
    <t>Paździor, Adam/ABA-7506-2020; Polakowski, Cezary/H-7294-2013; Dobrowolski, Radoslaw/V-5086-2018</t>
  </si>
  <si>
    <t>Paździor, Adam/0000-0002-5358-1166; Polakowski, Cezary/0000-0002-1658-8334; Dobrowolski, Radoslaw/0000-0002-6504-5643; Zagorski, Piotr/0000-0002-6086-0470</t>
  </si>
  <si>
    <t>European funds under the European Regional Development Fund and The National Centre for Research and Development: 'Autonomous system of fibre optic quasi-distributed temperature sensor for ground temperature measurement' (SPILOD) [POIR.04.01.01-00-0031/19-00]</t>
  </si>
  <si>
    <t>European funds under the European Regional Development Fund and The National Centre for Research and Development: 'Autonomous system of fibre optic quasi-distributed temperature sensor for ground temperature measurement' (SPILOD)</t>
  </si>
  <si>
    <t>European funds under the European Regional Development Fund and The National Centre for Research and Development: 'Autonomous system of fibre optic quasi-distributed temperature sensor for ground temperature measurement' (SPILOD), Grant/Award Number: POIR.04.01.01-00-0031/19-00</t>
  </si>
  <si>
    <t>10.1002/ldr.4874</t>
  </si>
  <si>
    <t>P6TD3</t>
  </si>
  <si>
    <t>WOS:001051971300001</t>
  </si>
  <si>
    <t>Ayed, W</t>
  </si>
  <si>
    <t>Ayed, Wajih</t>
  </si>
  <si>
    <t>Teaching Chaucer in Tunisia: An interdisciplinary approach</t>
  </si>
  <si>
    <t>LITERATURE COMPASS</t>
  </si>
  <si>
    <t>cognitive studies; comparative literature; digital codicology; interdisciplinary; pedagogies of the premodern; teaching Chaucer</t>
  </si>
  <si>
    <t>Pedagogies of the premodern in anglophone contexts face many obstacles, like cultural differences, linguistic remoteness, and stereotypical representations. In EFL learning and teaching settings, student motivation, cultural adequation, and historical imagination are also needed. In Tunisia, this was further complicated after the Jasmine Revolution when newly radicalised students of English resented aspects of premodern literature which they considered inaccurate, uninteresting, or inappropriate. In this paper, the author presents a learning and teaching model developed to help post-revolutionary Tunisian learners with diverse backgrounds and orientations better understand and appreciate the works of Geoffrey Chaucer. Combining elements of cognitive studies, comparative literature, and digital codicology, this bricolage was used in graduate seminars at the University of Sousse to study digitised manuscripts and texts in Arabic, Latin, and (Middle) English. Informed by active pedagogy and enhanced by audio-visual aids, activities based on this model effectively addressed challenges, helped achieve learning outcomes, and made Tunisians more at home with Chaucer.</t>
  </si>
  <si>
    <t>[Ayed, Wajih] Univ Sousse, Sousse, Tunisia; [Ayed, Wajih] Fac Lettres &amp; Sci Humaines Sousse, B-P 547, Sousse 4023, Tunisia</t>
  </si>
  <si>
    <t>Universite de Sousse; Universite de Sousse</t>
  </si>
  <si>
    <t>Ayed, W (corresponding author), Fac Lettres &amp; Sci Humaines Sousse, B-P 547, Sousse 4023, Tunisia.</t>
  </si>
  <si>
    <t>Wajih.Ayed@flsh.u-sousse.tn</t>
  </si>
  <si>
    <t>Ayed, Wajih/N-2342-2017</t>
  </si>
  <si>
    <t>Ayed, Wajih/0000-0002-5153-1376</t>
  </si>
  <si>
    <t>1741-4113</t>
  </si>
  <si>
    <t>LIT COMPASS</t>
  </si>
  <si>
    <t>Lit. Compass</t>
  </si>
  <si>
    <t>2023 AUG 21</t>
  </si>
  <si>
    <t>10.1111/lic3.12738</t>
  </si>
  <si>
    <t>P6AE7</t>
  </si>
  <si>
    <t>WOS:001051474200001</t>
  </si>
  <si>
    <t>Bawa, A; Seth-Johansen, C; Jensen, SS; Gotfredsen, K</t>
  </si>
  <si>
    <t>Bawa, Annika; Seth-Johansen, Chahak; Jensen, Simon Storgard; Gotfredsen, Klaus</t>
  </si>
  <si>
    <t>Resin-bonded fixed dental prosthesis versus implant-supported single crowns in the anterior region</t>
  </si>
  <si>
    <t>CLINICAL IMPLANT DENTISTRY AND RELATED RESEARCH</t>
  </si>
  <si>
    <t>agenesis; complication; implant-supported single crowns (ISSC); oral health related quality of life (OHRQoL); resin-bonded fixed dental prosthesis (RBFDP); success; survival</t>
  </si>
  <si>
    <t>TOOTH RESTORATIONS; COMPLICATION RATES; SURVIVAL; BRIDGES</t>
  </si>
  <si>
    <t>BackgroundDifferent treatment options exist for replacement of an anterior tooth, and as implant-supported single crowns (ISSC) and resin-bonded fixed dental prosthesis (RBFDPs) both are widespread treatment options, it is of clinical relevance to know which treatment modality can be considered superior. PurposeThe purpose of this comparative study was to evaluate the 3- and 5-year survival and failure rate of tooth-supported resin-bonded fixed dental prosthesis compared to implant-supported single crowns. The null hypothesis was that there was no significant difference in survival rate, occurrence of complications or patient-reported outcome between RBFDPs and ISSCs. Materials and MethodsA total of 45 resin-bonded FDPs were inserted in 27 young patients (test group) with tooth agenesis in the anterior part of the maxilla or mandible and a control group of 28 patients also with tooth agenesis in the anterior region but treated with 40 implant-supported single crowns were included in this study. All patients and treatments were followed with a baseline and a 3- or 5-year examination. All patients had to fill out an Oral Health Impact Profile (OHIP-49) questionnaire at baseline and at the 3- or 5-year examination. The restorations were evaluated according to the Copenhagen Index Score (CIS). ResultsFor the RBFDP (test) group there was an 82% survival rate and 18% failure rate, that is, four RBFDPs were not in situ after 3 years and four RBFDPs were not in situ after 5 years. Correspondingly, the ISSC showed a survival rate of 98% and a failure rate of 2%, that is, only one failure (ceramic fracture) after 3 and none after 5 years. Of the 82% RBFDPs in situ, there were no complications in 78% of the cases, whereas 22% had complications after 3 (4 complications) and 5 years (4 complications). There were 92% of the ISSCs without any complications and 8% (ie, 3 ISSCs) with complications after 3 or 5 years. In general, there was a significant reduction in the OHIP-49 scores, for example, an improved oral health quality of life for both treatment options. ConclusionThe results of this study indicate that ISSCs have lower complication and failure rates than RBFDPs. In general, the OHIP-scores were significantly reduced regardless of whether RBFDPs or ISSC were used.</t>
  </si>
  <si>
    <t>[Bawa, Annika; Seth-Johansen, Chahak] Univ Copenhagen, Fac Hlth Sci, Dept Odontol, Copenhagen, Denmark; [Jensen, Simon Storgard] Univ Copenhagen, Fac Hlth Sci, Sect Oral Biol &amp; Immunopathol, Oral Surg,Dept Odontol, Copenhagen, Denmark; [Jensen, Simon Storgard] Copenhagen Univ Hosp, Ctr Head &amp; Orthoped, Dept Oral &amp; Maxillofacial Surg, Copenhagen, Denmark; [Gotfredsen, Klaus] Univ Copenhagen, Fac Hlth Sci, Dept Odontol, Sect Oral Rehabil, Copenhagen, Denmark; [Gotfredsen, Klaus] Univ Copenhagen, Fac Hlth &amp; Med Sci, Dept Odontol, Oral Rehabil,Sect Oral Hlth Soc &amp; Technol, Norre Alle 20, DK-2200 Copenhagen, Denmark</t>
  </si>
  <si>
    <t>University of Copenhagen; University of Copenhagen; University of Copenhagen; University of Copenhagen; University of Copenhagen</t>
  </si>
  <si>
    <t>Gotfredsen, K (corresponding author), Univ Copenhagen, Fac Hlth &amp; Med Sci, Dept Odontol, Oral Rehabil,Sect Oral Hlth Soc &amp; Technol, Norre Alle 20, DK-2200 Copenhagen, Denmark.</t>
  </si>
  <si>
    <t>klg@sund.ku.dk</t>
  </si>
  <si>
    <t>Jensen, Simon Storgård/AGN-6539-2022</t>
  </si>
  <si>
    <t>Jensen, Simon Storgård/0000-0002-3519-4103; Gotfredsen, Klaus/0000-0003-1444-9362; Bawa, Annika/0000-0002-7512-1478; Seth, Chahak/0000-0002-6450-2611</t>
  </si>
  <si>
    <t>1523-0899</t>
  </si>
  <si>
    <t>1708-8208</t>
  </si>
  <si>
    <t>CLIN IMPLANT DENT R</t>
  </si>
  <si>
    <t>Clin. Implant Dent. Relat. Res.</t>
  </si>
  <si>
    <t>10.1111/cid.13266</t>
  </si>
  <si>
    <t>P5KX7</t>
  </si>
  <si>
    <t>WOS:001051075300001</t>
  </si>
  <si>
    <t>Carlsen, H; Vik, T; Andersen, GL; Stangenes, K; Bjellmo, S; Westvik-Johari, K; Hollung, SJ</t>
  </si>
  <si>
    <t>Carlsen, Henriette; Vik, Torstein; Andersen, Guro L.; Stangenes, Kristine; Bjellmo, Solveig; Westvik-Johari, Kjersti; Hollung, Sandra Julsen</t>
  </si>
  <si>
    <t>Cerebral palsy in children born after assisted reproductive technology in Norway: Risk, prevalence, and clinical characteristics</t>
  </si>
  <si>
    <t>ACTA OBSTETRICIA ET GYNECOLOGICA SCANDINAVICA</t>
  </si>
  <si>
    <t>assisted reproductive technology; cerebral palsy; clinical characteristics; multiple pregnancy; preterm births</t>
  </si>
  <si>
    <t>GESTATIONAL-AGE; CLASSIFICATION; HEALTH; SURVEILLANCE; PREGNANCIES; DELIVERY; SCALE; ART</t>
  </si>
  <si>
    <t>IntroductionThe aim was to investigate the risk, prevalence, and clinical characteristics of cerebral palsy among children born after assisted reproductive technology (ART) in Norway. Material and methodsAll liveborn children from 2002 to 2015 were included. Information was collected from the Medical Birth Registry of Norway, linked to the Norwegian Quality and Surveillance Registry for Cerebral Palsy as of December 31, 2022. Logistic regression analyses were used to calculate the prevalence of cerebral palsy per 1000 live births after ART and natural conception with birth year as covariate, crude odds ratios (OR) for cerebral palsy among children born after ART using children born after natural conception as reference, and OR adjusted for potential confounders, with 95% confidence intervals (CI). Potential mediators of the association were studied in stratified analyses. Descriptive statistics were used to compare proportions in clinical characteristics among children with cerebral palsy born after ART and natural conception. ResultsAmong 833 645 livebirths, 23 645 children were born after ART and of the latter 97 were diagnosed with cerebral palsy. The overall prevalence of cerebral palsy after ART was 4.10 per 1000 live births (95% CI 3.36-5.00), decreasing from 7.79 per 1000 in 2002 to 3.55 in 2015. Compared with children born after natural conception, the OR for cerebral palsy was 2.01 (95% CI 1.63-2.47) adjusted for mother's age at birth, parity, and pre-pregnancy health. When restricted to singletons born at term, the adjusted OR for cerebral palsy was 1.13 (95% CI 0.76-1.69). The distribution of cerebral palsy subtypes and the severity of gross and fine motor function and associated impairments did not differ significantly between children with cerebral palsy born after ART and natural conception. ConclusionsChildren born after ART had a risk of cerebral palsy that was twice that of children born after natural conception. The increased risk of cerebral palsy after ART is likely attributed to multiple pregnancies and preterm births. The prevalence of cerebral palsy after ART decreased significantly during the study period, despite an increased use of ART in the population. The distribution of clinical characteristics did not differ between children with cerebral palsy born after ART and those born after a natural conception, suggesting that the risk factors for, and causes of cerebral palsy were similar.</t>
  </si>
  <si>
    <t>[Carlsen, Henriette; Vik, Torstein; Andersen, Guro L.; Hollung, Sandra Julsen] Norwegian Univ Sci &amp; Technol, Dept Clin &amp; Mol Med, Trondheim, Norway; [Andersen, Guro L.; Hollung, Sandra Julsen] Vestfold Hosp Trust, Norwegian Qual &amp; Surveillance Registry Cerebral Pa, PB 2168, N-3103 Tonsberg, Norway; [Stangenes, Kristine] Norwegian Inst Publ Hlth, Dept Hlth Registry Res &amp; Dev, Bergen, Norway; [Bjellmo, Solveig] Helse More &amp; Romsdal HF, Dept Obstet &amp; Gynecol, Alesund, Norway; [Bjellmo, Solveig] Norwegian Univ Sci &amp; Technol, Fac Med &amp; Hlth Sci Adm, Trondheim, Norway; [Westvik-Johari, Kjersti] Norwegian Univ Sci &amp; Technol, Dept Publ Hlth &amp; Nursing, Trondheim, Norway</t>
  </si>
  <si>
    <t>Norwegian University of Science &amp; Technology (NTNU); Norwegian Institute of Public Health (NIPH); Norwegian University of Science &amp; Technology (NTNU); Norwegian University of Science &amp; Technology (NTNU)</t>
  </si>
  <si>
    <t>Hollung, SJ (corresponding author), Vestfold Hosp Trust, Norwegian Qual &amp; Surveillance Registry Cerebral Pa, PB 2168, N-3103 Tonsberg, Norway.</t>
  </si>
  <si>
    <t>sandra.julsen.hollung@siv.no</t>
  </si>
  <si>
    <t>Hollung, Sandra Julsen/U-5257-2019</t>
  </si>
  <si>
    <t>Hollung, Sandra Julsen/0000-0002-7486-7454</t>
  </si>
  <si>
    <t>0001-6349</t>
  </si>
  <si>
    <t>1600-0412</t>
  </si>
  <si>
    <t>ACTA OBSTET GYN SCAN</t>
  </si>
  <si>
    <t>Acta Obstet. Gynecol. Scand.</t>
  </si>
  <si>
    <t>10.1111/aogs.14663</t>
  </si>
  <si>
    <t>P5CU5</t>
  </si>
  <si>
    <t>WOS:001050856700001</t>
  </si>
  <si>
    <t>Chatturong, U; Palang, I; To-on, K; Deetud, W; Chaiwong, S; Sakulsak, N; Sonthi, P; Chanasong, R; Chulikorn, E; Kanprakobkit, W; Wittaya-areekul, S; Kielar, F; Chootip, K</t>
  </si>
  <si>
    <t>Chatturong, Usana; Palang, Iyapa; To-on, Kittiwoot; Deetud, Watcharakorn; Chaiwong, Suriya; Sakulsak, Natthiya; Sonthi, Phattarapon; Chanasong, Rachanee; Chulikorn, Ekarin; Kanprakobkit, Winranath; Wittaya-areekul, Sakchai; Kielar, Filip; Chootip, Krongkarn</t>
  </si>
  <si>
    <t>Reduction of lauric acid content in virgin coconut oil improved plasma lipid profile in high-fat diet-induced hypercholesterolemic mice</t>
  </si>
  <si>
    <t>hepatic fat accumulation; high-fat diet; lauric acid; lipid profiles; virgin coconut oil</t>
  </si>
  <si>
    <t>MEDIUM-CHAIN TRIGLYCERIDES; CARDIOVASCULAR-DISEASE; INTESTINAL-ABSORPTION; HDL CHOLESTEROL; CAPRYLIC-ACID; PALMITIC ACID; SERUM-LIPIDS; PORTAL-VEIN; BODY-MASS; OBESITY</t>
  </si>
  <si>
    <t>Virgin coconut oil (VCO) is claimed to have various health benefits, but favorable effects of its major component (&amp; SIM;50%), lauric acid, are controversial. Therefore, we aimed to reduce lauric acid content (&amp; SIM;30%) in VCO and evaluate its effect compared to VCO and medium-chain triglycerides (MCT), on food intake, bodyweight (BW), lipid profiles, and hepatic histology. Female C57BL/6 mice were treated with different diets for 3 months: control (normal diet), high-fat diet (HF), HF + VCO, HF + MCT, HF + low lauric acid VCO (LLA), and normal diet + LLA (C + LLA). LLA was prepared by enzymatic interesterification of VCO with methyl octanoate (methyl caprylate) and methyl decanoate (methyl caprate). Plasma and liver lipids, including total cholesterol (TC), high-density lipoprotein (HDL), and triglyceride, were measured by colorimetric assay, and hepatic fat accumulation was examined by oil-red-O staining. HF mice exhibited high plasma and liver TC and low-density lipoprotein (LDL). VCO or MCT treatment lowered liver TC and LDL, whereas LLA increased plasma HDL and markedly improved TC:HDL ratio. The HF-induced hepatic fat accumulation was attenuated by all treatments, of which VCO was the most effective. Control mice administered with LLA demonstrated lower liver TC and LDL, but higher plasma TC and HDL compared to controls. Lowest BW gain and food intake were found in mice treated with LLA. In conclusion, VCO, MCT, and LLA ameliorated hepatic histopathology caused by HF. VCO and MCT improved liver lipid profiles, whereas LLA has more beneficial effect on plasma lipids via a better TC:HDL ratio and showed promise for BW control.</t>
  </si>
  <si>
    <t>[Chatturong, Usana; Palang, Iyapa; To-on, Kittiwoot; Deetud, Watcharakorn; Chootip, Krongkarn] Naresuan Univ, Fac Med Sci, Dept Physiol, Phitsanulok, Thailand; [Chatturong, Usana; Palang, Iyapa; To-on, Kittiwoot; Deetud, Watcharakorn; Chootip, Krongkarn] Naresuan Univ, Ctr Excellence Innovat Chem, Phitsanulok, Thailand; [Chaiwong, Suriya] Rajamangala Univ Technol, Fac Integrat Med, Thanyaburi Rangsit Ctr, Pathum Thani, Thailand; [Sakulsak, Natthiya; Sonthi, Phattarapon; Chanasong, Rachanee] Naresuan Univ, Fac Med Sci, Dept Anat, Phitsanulok, Thailand; [Chulikorn, Ekarin] Naresuan Univ, Fac Med Sci, Dept Biochem, Phitsanulok, Thailand; [Chulikorn, Ekarin; Kanprakobkit, Winranath; Kielar, Filip] Naresuan Univ, Ctr Excellence Biomat, Phitsanulok, Thailand; [Kanprakobkit, Winranath; Kielar, Filip] Naresuan Univ, Fac Sci, Dept Chem, Phitsanulok, Thailand; [Wittaya-areekul, Sakchai] Naresuan Univ, Fac Pharmaceut Sci, Dept Pharmaceut Technol, Phitsanulok, Thailand</t>
  </si>
  <si>
    <t>Naresuan University; Naresuan University; Rajamangala University of Technology Thanyaburi; Naresuan University; Naresuan University; Naresuan University; Naresuan University; Naresuan University</t>
  </si>
  <si>
    <t>Chootip, K (corresponding author), Naresuan Univ, Fac Med Sci, Dept Physiol, Phitsanulok, Thailand.;Chootip, K (corresponding author), Naresuan Univ, Ctr Excellence Innovat Chem, Phitsanulok, Thailand.</t>
  </si>
  <si>
    <t>krongkarnc@nu.ac.th</t>
  </si>
  <si>
    <t>Chatturong, Usana/0000-0002-0858-5694</t>
  </si>
  <si>
    <t>Global and Frontier Research University Fund, Naresuan University, Thailand [R2566C053]; National research council of Thailand [R2565B042]; Thailand Research Fund [RDG6120037]; Center of Excellence for Innovation in Chemistry (PERCH-CIC); Ministry of Higher Education, Science, Research and Innovation</t>
  </si>
  <si>
    <t>Global and Frontier Research University Fund, Naresuan University, Thailand; National research council of Thailand(National Research Council of Thailand (NRCT)); Thailand Research Fund(Thailand Research Fund (TRF)); Center of Excellence for Innovation in Chemistry (PERCH-CIC); Ministry of Higher Education, Science, Research and Innovation</t>
  </si>
  <si>
    <t>Global and Frontier Research University Fund, Naresuan University, Thailand, Grant/Award Number: R2566C053; National research council of Thailand, Grant/Award Number: R2565B042; Thailand Research Fund, Grant/Award Number: RDG6120037; Center of Excellence for Innovation in Chemistry (PERCH-CIC), Ministry of Higher Education, Science, Research and Innovation &amp; nbsp;</t>
  </si>
  <si>
    <t>10.1111/1750-3841.16741</t>
  </si>
  <si>
    <t>P5XD2</t>
  </si>
  <si>
    <t>WOS:001051394700001</t>
  </si>
  <si>
    <t>Feng, DY; Xiao, YC; Wang, G; Mei, GK; Guo, WJ; Yu, KQ; Liu, SY; Zhao, WQ; Zhou, X; Liu, ZF</t>
  </si>
  <si>
    <t>Feng, Danyang; Xiao, Yicheng; Wang, Ge; Mei, Guangkai; Guo, Wenjin; Yu, Kaiqing; Liu, Shiyong; Zhao, Weiqiang; Zhou, Xiang; Liu, Zunfeng</t>
  </si>
  <si>
    <t>High Cycle-Life Twistocaloric Cooling of Poly-p-Phenylene Benzodioxole Fibers</t>
  </si>
  <si>
    <t>MACROMOLECULAR RAPID COMMUNICATIONS</t>
  </si>
  <si>
    <t>elasticocaloric cooling; functional fibers; poly-p-phenylene benzodioxole (PBO); twistocaloric cooling</t>
  </si>
  <si>
    <t>REFRIGERATION</t>
  </si>
  <si>
    <t>It is an urgent need to develop efficient solid state cooling technologies and materials with high cycle life. Poly-p-phenylene benzodioxole (PBO) is a high performance fiber with excellent mechanical properties. In this work, for the first time, elasto- and twistocaloric cooling of PBO fibers by stretching and twisting of the PBO fiber bundles is reported. The cooling temperature reaches -0.4 and -1.3 K, for fiber stretching and twisting, respectively. A self-coiled PBO fiber achieves maximum cooling of -3.7 K upon stretching by 35% strain, with an exceptionally high cycle life of 200 000 times. During the twisting of the PBO fibers, reversible changes in the intensity of the diffraction peaks in X-ray diffraction patterns are observed. A strain-sensitive color change application is realized by coating a self-coiled PBO fiber with liquid crystallite dyes. This work provides new perspectives for PBO fibers as a high cycle-life solid-state refrigeration material.</t>
  </si>
  <si>
    <t>[Feng, Danyang; Xiao, Yicheng; Wang, Ge; Mei, Guangkai; Guo, Wenjin; Yu, Kaiqing; Zhao, Weiqiang; Liu, Zunfeng] Nankai Univ, Coll Chem, State Key Lab Med Chem Biol, Key Lab Funct Polymer Mat, Tianjin 300071, Peoples R China; [Liu, Shiyong; Zhou, Xiang] China Pharmaceut Univ, Dept Sci, Nanjing 211198, Peoples R China</t>
  </si>
  <si>
    <t>Nankai University; China Pharmaceutical University</t>
  </si>
  <si>
    <t>Zhao, WQ; Liu, ZF (corresponding author), Nankai Univ, Coll Chem, State Key Lab Med Chem Biol, Key Lab Funct Polymer Mat, Tianjin 300071, Peoples R China.;Zhou, X (corresponding author), China Pharmaceut Univ, Dept Sci, Nanjing 211198, Peoples R China.</t>
  </si>
  <si>
    <t>zhaoweiqiang@nankai.edu.cn; zhouxiang@cpu.edu.cn; liuzunfeng@nankai.edu.cn</t>
  </si>
  <si>
    <t>National Key Research and Development Program of China [2019YFE0119600, 2022YFB3807103, 2022YFA1203304]; National Natural Science Foundation of China [52090034, 52225306, 51973093, 51773094]; Frontiers Science Center for New Organic Matter, Nankai University [63181206]; National Special Support Plan for High-Level Talents People [C041800902]; Science Foundation for Distinguished Young Scholars of Tianjin [18JCJQJC46600]; Fundamental Research Funds for the Central Universities [63171219]; Operation Huiyan [62502510601]</t>
  </si>
  <si>
    <t>National Key Research and Development Program of China; National Natural Science Foundation of China(National Natural Science Foundation of China (NSFC)); Frontiers Science Center for New Organic Matter, Nankai University; National Special Support Plan for High-Level Talents People; Science Foundation for Distinguished Young Scholars of Tianjin; Fundamental Research Funds for the Central Universities(Fundamental Research Funds for the Central Universities); Operation Huiyan</t>
  </si>
  <si>
    <t>This work was supported by the National Key Research and Development Program of China (Grant Nos. 2019YFE0119600, 2022YFB3807103, 2022YFA1203304), the National Natural Science Foundation of China (Grant Nos. 52090034, 52225306, 51973093, and 51773094), Frontiers Science Center for New Organic Matter, Nankai University (Grant No. 63181206), the National Special Support Plan for High-Level Talents People (Grant No. C041800902), the Science Foundation for Distinguished Young Scholars of Tianjin (Grant No. 18JCJQJC46600), the Fundamental Research Funds for the Central Universities (Grant No. 63171219), and the Operation Huiyan (Grant No. 62502510601). The authors thank all the team members at BL16B1 of Shanghai Synchrotron Radiation Facility (SSRF) and all the team members at 1W2A of High Energy Photon Source (HEPS).</t>
  </si>
  <si>
    <t>1022-1336</t>
  </si>
  <si>
    <t>1521-3927</t>
  </si>
  <si>
    <t>MACROMOL RAPID COMM</t>
  </si>
  <si>
    <t>Macromol. Rapid Commun.</t>
  </si>
  <si>
    <t>10.1002/marc.202300318</t>
  </si>
  <si>
    <t>P6GX3</t>
  </si>
  <si>
    <t>WOS:001051650400001</t>
  </si>
  <si>
    <t>Friel, DC; Li, YZ; Ellis, B; Jeske, DR; Lee, HKH; Kass, PH</t>
  </si>
  <si>
    <t>Friel, Dylan C.; Li, Yunzhe; Ellis, Benjamin; Jeske, Daniel R.; Lee, Herbert K. H.; Kass, Philip H.</t>
  </si>
  <si>
    <t>A neutral zone classifier for three classes with an application to text mining</t>
  </si>
  <si>
    <t>STATISTICAL ANALYSIS AND DATA MINING</t>
  </si>
  <si>
    <t>classification; neutral zone; sentiment analysis; text mining; Word2Vec</t>
  </si>
  <si>
    <t>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t>
  </si>
  <si>
    <t>[Friel, Dylan C.; Ellis, Benjamin; Jeske, Daniel R.] Univ Calif Riverside, Dept Stat, Riverside, CA USA; [Li, Yunzhe; Lee, Herbert K. H.] Univ Calif Santa Cruz, Dept Stat, Santa Cruz, CA USA; [Kass, Philip H.] Univ Calif Davis, Dept Populat Hlth &amp; Reprod, Davis, CA USA; [Jeske, Daniel R.] Univ Calif Riverside, Riverside, CA 92521 USA</t>
  </si>
  <si>
    <t>University of California System; University of California Riverside; University of California System; University of California Santa Cruz; University of California System; University of California Davis; University of California System; University of California Riverside</t>
  </si>
  <si>
    <t>Jeske, DR (corresponding author), Univ Calif Riverside, Riverside, CA 92521 USA.</t>
  </si>
  <si>
    <t>daniel.jeske@ucr.edu</t>
  </si>
  <si>
    <t>1932-1864</t>
  </si>
  <si>
    <t>1932-1872</t>
  </si>
  <si>
    <t>STAT ANAL DATA MIN</t>
  </si>
  <si>
    <t>Stat. Anal. Data Min.</t>
  </si>
  <si>
    <t>10.1002/sam.11639</t>
  </si>
  <si>
    <t>Computer Science, Artificial Intelligence; Computer Science, Interdisciplinary Applications; Statistics &amp; Probability</t>
  </si>
  <si>
    <t>Computer Science; Mathematics</t>
  </si>
  <si>
    <t>P7DQ0</t>
  </si>
  <si>
    <t>WOS:001052245700001</t>
  </si>
  <si>
    <t>Gao, Y; Lin, JJ; Chen, X; Tang, ZD; Qin, G; Wang, G</t>
  </si>
  <si>
    <t>Gao, Yan; Lin, Jinjie; Chen, Xiao; Tang, Zhaodi; Qin, Geng; Wang, Ge</t>
  </si>
  <si>
    <t>Engineering 2D MXene and LDH into 3D Hollow Framework for Boosting Photothermal Energy Storage and Microwave Absorption</t>
  </si>
  <si>
    <t>2D MXene; metal-organic frameworks; microwave absorption; phase change materials; photothermal conversion and storage</t>
  </si>
  <si>
    <t>PHASE-CHANGE MATERIALS; NANOSHEETS</t>
  </si>
  <si>
    <t>2D MXene is highly preferred for photothermal energy conversion and microwave absorption. However, the aggregation issue, insufficient dielectric loss capacity, and lack of magnetic loss capacity for MXene severely hinder its practical applications. Herein, the authors propose multi-dimensional nanostructure engineering to electrostatically assemble 2D MXene and layered double hydroxides (LDH) derived from ZIF-67 polyhedron into a 3D hollow framework (LDH@MXene), and subsequently calcined to construct a Co nanoparticle-modified 3D hollow C-LDH@MXene framework to encapsulate a paraffin wax (PW) phase change material (PCM). The 3D hollow C-LDH@MXene framework not only prevents 2D MXene from aggregation but also contributes a high thermal energy storage density (131.04 J g(-1)). Benefiting from a 3D conductive network facilitating the rapid transport of photons and phonons from the interface to the interior and the synergistic localized surface plasmon resonance (LSPR) effect of MXene and Co magnetic nanoparticles, the C-LDH@MXene-PW composite PCM yielded a high photothermal storage efficiency of 96.52%. Besides, C-LDH@MXene-PW composite PCMs also exhibited efficient microwave absorption with a minimum reflection loss of -20.87 dB at 13.30 GHz with a matching thickness of only 2 mm. This distinctive design provides constructive references for the development of integrated composite materials for energy storage and microwave absorption.</t>
  </si>
  <si>
    <t>[Gao, Yan; Tang, Zhaodi; Wang, Ge] Univ Sci &amp; Technol Beijing, Beijing Adv Innovat Ctr Mat Genome Engn, Sch Mat Sci &amp; Engn, Beijing Key Lab Funct Mat Mol &amp; Struct Construct, Beijing 100083, Peoples R China; [Chen, Xiao] Beijing Normal Univ, Inst Adv Mat, Beijing 100875, Peoples R China; [Lin, Jinjie; Qin, Geng; Wang, Ge] Univ Sci &amp; Technol Beijing, Shunde Grad Sch, Shunde 528399, Peoples R China</t>
  </si>
  <si>
    <t>University of Science &amp; Technology Beijing; Beijing Normal University; University of Science &amp; Technology Beijing</t>
  </si>
  <si>
    <t>Wang, G (corresponding author), Univ Sci &amp; Technol Beijing, Beijing Adv Innovat Ctr Mat Genome Engn, Sch Mat Sci &amp; Engn, Beijing Key Lab Funct Mat Mol &amp; Struct Construct, Beijing 100083, Peoples R China.;Chen, X (corresponding author), Beijing Normal Univ, Inst Adv Mat, Beijing 100875, Peoples R China.</t>
  </si>
  <si>
    <t>xiaochen@bnu.edu.cn; gewang@ustb.edu.cn</t>
  </si>
  <si>
    <t>Chen, Xiao/0000-0001-6062-5596</t>
  </si>
  <si>
    <t>National Natural Science Foundation of China [51902025]</t>
  </si>
  <si>
    <t>Acknowledgements Y.G. and J.L. contributed equally to this work. This work was financially supported by the National Natural Science Foundation of China (No. 51902025).</t>
  </si>
  <si>
    <t>10.1002/smll.202303113</t>
  </si>
  <si>
    <t>P5KY2</t>
  </si>
  <si>
    <t>WOS:001051075800001</t>
  </si>
  <si>
    <t>Gurina, GA; Markin, AV; Cherkasov, AV; Godovikov, IA; Ob'edkov, AM; Trifonov, AA</t>
  </si>
  <si>
    <t>Gurina, Galina A.; Markin, Alexey V.; Cherkasov, Anton V.; Godovikov, Ivan A.; Ob'edkov, Anatoly M.; Trifonov, Alexander A.</t>
  </si>
  <si>
    <t>Sc3+ Chloro and Alkyl Complexes Coordinated by Pincer NHC-Tethered Bis(phenolate) Ligands</t>
  </si>
  <si>
    <t>N-heterocyclic carbenes; phenol; pincer ligands; rare-earth elements; scandium</t>
  </si>
  <si>
    <t>N-HETEROCYCLIC CARBENES; METAL-COMPLEXES; AMIDO COMPLEXES; X-RAY; SCANDIUM; POLYMERIZATION; BEARING; COPOLYMERIZATION; CATALYSTS; ISOPRENE</t>
  </si>
  <si>
    <t>Bis(phenolate) ligands with benzimidazole-2-ylidene (L-1) and tetrahydropyrimidine-2-ylidene (L-2) linkers proved to be suitable coordination environments for the synthesis of isolable Sc3+ chloro and alkyl complexes. The treatment of Sc(CH2SiMe3)(3)(THF)(2) with equimolar amounts of [(LH3)-H-1,2]Cl afforded chloro complexes (LScCl)-Sc-1,2(solv)(2) (solv=THF, Py) in 76-85 % yields. (LScCl)-Sc-1,2(THF)(2) were also prepared by the salt metathesis reactions of ScCl3 with [L-1,L-2]Na-2 generated from [(LH3)-H-1,2]Cl and 3 equiv. of NaN(SiMe3)(2) (-40 &amp; DEG;C, THF) and isolated in somewhat lower yields (68-73 %). (LScCl)-Sc-2(THF)(2) was subjected to the alkylation reaction with LiCH2SiMe3 affording alkyl derivative [(LSc)-Sc-2(CH2SiMe3)](2). This compound can be alternatively prepared by the subsequent reactions of [(LH3)-H-2]Cl with equimolar amount of NaN(SiMe3)(2) and Sc(CH2SiMe3)(3)(THF)(2). In the dimeric alkyl compound [(LSc)-Sc-2(CH2SiMe3)](2), one of the phenoxide groups of the dianionic ligand is coordinated to one scandium center, while the second one features &amp; mu;-bridging coordination with two metal centers.</t>
  </si>
  <si>
    <t>[Gurina, Galina A.; Markin, Alexey V.] NI Lobachevsky Nizhny Novgorod State Univ, 23 Prosp Gagarina, Nizhnii Novgorod 603022, Russia; [Gurina, Galina A.; Cherkasov, Anton V.; Ob'edkov, Anatoly M.; Trifonov, Alexander A.] Russian Acad Sci, Inst Organometall Chem, 49 Tropinina Str,GSP-445, Nizhnii Novgorod 630950, Russia; [Godovikov, Ivan A.; Trifonov, Alexander A.] Russian Acad Sci, Inst Organoelement Cpds, 28 Vavilova Str, Moscow 119334, Russia</t>
  </si>
  <si>
    <t>Lobachevsky State University of Nizhni Novgorod; Razuvaev Institute of Organometallic Chemistry; Russian Academy of Sciences; Russian Academy of Sciences; Nesmeyanov Institute of Organoelement Compounds</t>
  </si>
  <si>
    <t>Trifonov, AA (corresponding author), Russian Acad Sci, Inst Organometall Chem, 49 Tropinina Str,GSP-445, Nizhnii Novgorod 630950, Russia.;Trifonov, AA (corresponding author), Russian Acad Sci, Inst Organoelement Cpds, 28 Vavilova Str, Moscow 119334, Russia.</t>
  </si>
  <si>
    <t>trif@iomc.ras.ru</t>
  </si>
  <si>
    <t>Gurina, Galina/0000-0002-2969-0856; Cherkasov, Anton/0000-0001-8095-3562</t>
  </si>
  <si>
    <t>RFBR [20-33-90191, RF-2296.61321X0017, 075-15-2021-670]; Ministry of Science and Higher Education of the Russian Federation [075-00697-22-00]</t>
  </si>
  <si>
    <t>RFBR(Russian Foundation for Basic Research (RFBR)); Ministry of Science and Higher Education of the Russian Federation</t>
  </si>
  <si>
    <t>Acknowledgments This work was financially supported by RFBR (grant 20-33-90191). The work was carried out using the equipment of the center for collective use Analytical Center of the IOMC RAS with the financial support of the grant Ensuring the development of the material and technical infrastructure of the centers for collective use of scientific equipment (Unique identifier RF-2296.61321X0017, Agreement Number 075-15-2021-670). A.T. acknowledges Ministry of Science and Higher Education of the Russian Federation for financial support (Contract/agreement No. 075-00697-22-00).</t>
  </si>
  <si>
    <t>10.1002/ejic.202300392</t>
  </si>
  <si>
    <t>P5FW2</t>
  </si>
  <si>
    <t>WOS:001050941800001</t>
  </si>
  <si>
    <t>Haimakainen, S; Harvima, IT</t>
  </si>
  <si>
    <t>Haimakainen, Salla; Harvima, Ilkka T.</t>
  </si>
  <si>
    <t>Corticotropin-releasing hormone receptor-1 is increased in mast cells in psoriasis and actinic keratosis, but not markedly in keratinocyte skin carcinomas</t>
  </si>
  <si>
    <t>CRH-R1; mast cell; skin cancer</t>
  </si>
  <si>
    <t>PITUITARY-ADRENAL AXIS; VITAMIN-D; CRH; EXPRESSION; STRESS; PROOPIOMELANOCORTIN; INFLAMMATION; LIGAND</t>
  </si>
  <si>
    <t>Corticotropin-releasing hormone receptor-1 (CRH-R1) is expressed in human mast cells, but its role in skin diseases is unknown. By using a sequential double-staining technique, the mast cell expression of CRH-R1 was investigated in biopsies from lesional and non-lesional skin samples of patients with actinic keratosis (AK), basal cell carcinoma (BCC), squamous cell carcinoma (SCC) and psoriasis. Dermal tryptase(+) mast cells expressed CRH-R1 immunoreactivity in the non-lesional skin in all patient groups. The CRH-R1 expression was significantly increased in the lesional skin of AK (p = 0.03) and psoriasis (p = 0.02), non-significantly in BCC (p = 0.129), but not increased in SCC. To investigate the regulation of CRH-R1, the LAD2 mast cell line was irradiated with UVB or stimulated with CRH or 1,25-dihydroxyvitamin D-3 [1,25-(OH)(2)D-3]. Consequently, UVB at 90 mJ/cm(2) (p = 0.041) and 120 mJ/cm(2) (p = 0.039) decreased CRH-R1 expression. Instead, CRH at 100 and 1000 nM increased CRH-R1 immunostaining, but did not affect the proliferative response. The treatment with 10 and 100 nM 1,25-(OH)(2)D-3 led to a noticeable increase in CRH-R1 staining. After irradiating with UVB, the concentration of CRH increased in the conditioned medium, but not in sonicated LAD2 mast cells. In conclusion, the lack of sufficient levels of CRH-R1 in mast cells may be related to diminished antitumoural response in SCC and possibly in BCC.</t>
  </si>
  <si>
    <t>[Haimakainen, Salla; Harvima, Ilkka T.] Kuopio Univ Hosp, Dept Dermatol, Kuopio, Finland; [Haimakainen, Salla; Harvima, Ilkka T.] Univ Eastern Finland, Kuopio, Finland</t>
  </si>
  <si>
    <t>University of Eastern Finland</t>
  </si>
  <si>
    <t>Haimakainen, S (corresponding author), Kuopio Univ Hosp, Dept Dermatol, POB 100, Kys Kuopio 70029, Finland.</t>
  </si>
  <si>
    <t>salla.haimakainen@gmail.com</t>
  </si>
  <si>
    <t>Cancer Center of Eastern Finland, University of Eastern Finland; Kuopio University Hospital; Finnish Cancer Research Foundation; Paavo Koistinen foundation; Kuopio University Hospital Research Foundation</t>
  </si>
  <si>
    <t>The authors wish to thank strategic funding of the Cancer Center of Eastern Finland, University of Eastern Finland, the VTR-funding of Kuopio University Hospital, Finnish Cancer Research Foundation, Paavo Koistinen foundation and Kuopio University Hospital Research Foundation.</t>
  </si>
  <si>
    <t>10.1111/exd.14903</t>
  </si>
  <si>
    <t>P7DK0</t>
  </si>
  <si>
    <t>WOS:001052239700001</t>
  </si>
  <si>
    <t>Harinck, F; Dooren, L</t>
  </si>
  <si>
    <t>Harinck, Fieke; Dooren, Loes</t>
  </si>
  <si>
    <t>Improvisation Exercises Increase Negotiators' Divergent Thinking, and Sometimes their Negotiation Outcomes</t>
  </si>
  <si>
    <t>JOURNAL OF CREATIVE BEHAVIOR</t>
  </si>
  <si>
    <t>negotiation; improvisation; divergent thinking</t>
  </si>
  <si>
    <t>Two studies investigated the effect of a short improvisation intervention (theatrical improvisation in Study 1, musical improvisation in Study 2) on negotiation processes and outcomes. The expectation was that an improvisation exercise, compared to a control condition in which participants engaged in jigsaw puzzling, would result in better negotiation agreements via higher levels of divergent thinking. Results showed that improvisation exercise increased participants' divergent thinking, compared to the control condition. The effects on negotiation processes and outcomes, however, only partly supported the predictions. In Study 2, improvisation exercise had an indirect influence on negotiation outcomes via divergent thinking, and in Study 1 improvisation exercise did influence divergent thinking but did not influence negotiation outcomes. So improvisation exercise increases divergent thinking, and sometimes this heightened divergent thinking results in higher negotiation outcomes.</t>
  </si>
  <si>
    <t>[Harinck, Fieke; Dooren, Loes] Leiden Univ, Leiden, Netherlands; [Harinck, Fieke] Leiden Univ, Dept Psychol, Wassenaarseweg 52,POB 9555, NL-2300 RB Leiden, Netherlands</t>
  </si>
  <si>
    <t>Leiden University - Excl LUMC; Leiden University; Leiden University - Excl LUMC; Leiden University</t>
  </si>
  <si>
    <t>Harinck, F (corresponding author), Leiden Univ, Dept Psychol, Wassenaarseweg 52,POB 9555, NL-2300 RB Leiden, Netherlands.</t>
  </si>
  <si>
    <t>sharinck@fsw.leidenuniv.nl</t>
  </si>
  <si>
    <t>0022-0175</t>
  </si>
  <si>
    <t>2162-6057</t>
  </si>
  <si>
    <t>J CREATIVE BEHAV</t>
  </si>
  <si>
    <t>J. Creat. Behav.</t>
  </si>
  <si>
    <t>10.1002/jocb.604</t>
  </si>
  <si>
    <t>Psychology, Educational</t>
  </si>
  <si>
    <t>P5BZ7</t>
  </si>
  <si>
    <t>WOS:001050835000001</t>
  </si>
  <si>
    <t>Johnson, JK; Young, DL; Guo, N; Tereshchenko, LG; Martinez, M; Hohman, JA; Rothberg, MB</t>
  </si>
  <si>
    <t>Johnson, Joshua K.; Young, Daniel L.; Guo, Ning; Tereshchenko, Larisa G.; Martinez, Maylyn; Hohman, Jessica A.; Rothberg, Michael B.</t>
  </si>
  <si>
    <t>Physical therapy provision for patients with pneumonia in US hospitals</t>
  </si>
  <si>
    <t>EARLY MOBILITY; OLDER-ADULTS; CARE; OUTCOMES; SURVIVORS</t>
  </si>
  <si>
    <t>BackgroundPhysical therapy (PT) appears beneficial for hospitalized patients. Little is known about PT practice patterns and costs across hospitals. ObjectiveTo examine whether receiving PT is associated with specific patient and hospital characteristics for patients with pneumonia. We also explored the variability in PT service provision and costs between hospitals. MethodsWe included administrative claims from 2010 to 2015 in the Premier Healthcare Database, inclusive of 644 US hospitals. We examined associations between receiving at least one PT visit and patient (age, race, insurance, intensive care utilization, comorbidity status, and length of stay) and hospital (academic status, rurality, size, and location) characteristics. Exploratory measures included timing and proportion of days with PT visits, and per-visit and per-admission costs. ResultsOf 768,010 patients, 49% had PT. After adjustment, older age most significantly increased the probability of receiving PT (+38.0% if &gt;80 vs. &amp; LE;50 years). Higher comorbidity burden, longer length of stay, and hospitalization in an urban setting were also associated with higher probability. Hospitalization in the South most significantly decreased the probability (-9.1% vs. Midwest). Patients without Medicare and Non-White patients also had lower probability. Median (interquartile range) days to first visit was 2 (1-4). Mean proportion of days with a visit was 35% &amp; PLUSMN; 20%. Median per-visit cost was $88.90 [$56.70-$130.90] and per-admission was $224.00 [$137.80-$369.20]. ConclusionBoth clinical (intensive care utilization and comorbidity status) and non-clinical (age, race, rurality, location) factors were associated with receiving PT. Within and between hospitals, there was high variability in the number and frequency of visits, and costs.</t>
  </si>
  <si>
    <t>[Johnson, Joshua K.] Cleveland Clin, Neurol Inst, Dept Phys Med &amp; Rehabil, Cleveland, OH 44195 USA; [Johnson, Joshua K.] Cleveland Clin, Neurol Inst, Rehabil &amp; Sports Therapy, Cleveland, OH USA; [Johnson, Joshua K.; Hohman, Jessica A.; Rothberg, Michael B.] Cleveland Clin, Ctr Value Based Care Res, Community Care, Cleveland, OH USA; [Young, Daniel L.] Univ Nevada, Dept Phys Therapy, Las Vegas, NV USA; [Guo, Ning; Tereshchenko, Larisa G.] Cleveland Clin, Dept Quantitat Hlth Sci, Cleveland, OH USA; [Martinez, Maylyn] Univ Chicago, Dept Med, Chicago, IL USA; [Hohman, Jessica A.; Rothberg, Michael B.] Cleveland Clin, Dept Internal Med &amp; Geriatr, Cleveland, OH USA</t>
  </si>
  <si>
    <t>Cleveland Clinic Foundation; Cleveland Clinic Foundation; Cleveland Clinic Foundation; Nevada System of Higher Education (NSHE); University of Nevada Las Vegas; Cleveland Clinic Foundation; University of Chicago; Cleveland Clinic Foundation</t>
  </si>
  <si>
    <t>Johnson, JK (corresponding author), Cleveland Clin, Neurol Inst, Dept Phys Med &amp; Rehabil, Cleveland, OH 44195 USA.</t>
  </si>
  <si>
    <t>johnsoj8@ccf.org</t>
  </si>
  <si>
    <t>; Young, Daniel/R-9920-2016</t>
  </si>
  <si>
    <t>Martinez, Maylyn/0000-0001-5218-5615; Tereshchenko, Larisa/0000-0002-6976-1313; Rothberg, Michael/0000-0002-2063-1876; Guo, Ning/0000-0002-7875-1491; Young, Daniel/0000-0002-3575-6049</t>
  </si>
  <si>
    <t>10.1002/jhm.13179</t>
  </si>
  <si>
    <t>R2CQ8</t>
  </si>
  <si>
    <t>WOS:001050812100001</t>
  </si>
  <si>
    <t>Lendo, SJ; Widodo, HP; Fadlilah, S; Qonnita, TR</t>
  </si>
  <si>
    <t>Lendo, Sjuul Juliana; Widodo, Handoyo P.; Fadlilah, Sayyidatul; Qonnita, Tsabita R.</t>
  </si>
  <si>
    <t>Cultural representation in German as a foreign language textbooks used in Indonesia: A critical social semiotic analysis</t>
  </si>
  <si>
    <t>critical social semiotic approach; cultural representation; foreign language textbooks; systemic functional linguistics</t>
  </si>
  <si>
    <t>EDUCATION; ENGLISH</t>
  </si>
  <si>
    <t>Informed by an integrated critical social semiotic approach, the present critical discourse study investigates the semiotic relations of image-text and the cultural meanings encapsulated in two German language textbooks: Studio d A1 and Netzwerk A1 widely used in Indonesia. Adopting Xiong and Peng's semiotic relation model, the findings demonstrate that Netzwerk A1 provides learners with opportunities to learn, think, and reflect critically on German culture through pedagogical questions regarding image-text-pedagogy discussion. However, the image-text in Studio d A1 emphasizes the acquisition of linguistic knowledge and does not engage learners in exploring and negotiating their cultural repertoire. This empirical evidence suggests that language textbook writers should consider designing culturally responsive language learning tasks to engage learners in the active construction of cultural knowledge in practice.</t>
  </si>
  <si>
    <t>[Lendo, Sjuul Juliana] Univ Negeri Manado, Fac Language &amp; Arts, Dept German Language Educ, Manado, Sulawesi Utara, Indonesia; [Widodo, Handoyo P.] PERIISAI Ctr Social Sci Res, Dept Res &amp; Publicat, PERIISAI, Banyuwangi, Jawa Timur, Indonesia; [Widodo, Handoyo P.] King Abdulaziz Univ, Prince Khalid Al Faisal Inst Moderat, Jeddah, Saudi Arabia; [Fadlilah, Sayyidatul] Univ Islam Negeri Walisongo Semarang, Dept English Language Educ, Semarang, Jawa Tengah, Indonesia; [Qonnita, Tsabita R.] Univ Sebelas Maret Surakarta, Dept English Language Educ, Surakarta, Jawa Tengah, Indonesia</t>
  </si>
  <si>
    <t>Universitas Negeri Manado; King Abdulaziz University; Sebelas Maret University</t>
  </si>
  <si>
    <t>Lendo, SJ (corresponding author), Univ Negeri Manado, Fac Language &amp; Arts, Dept German Language Educ, Manado, Sulawesi Utara, Indonesia.</t>
  </si>
  <si>
    <t>lendo.sjuul@gmail.com</t>
  </si>
  <si>
    <t>Widodo, Handoyo/0000-0002-2583-6635; Lendo, Sjuul Juliana/0000-0002-5164-7045</t>
  </si>
  <si>
    <t>10.1111/flan.12716</t>
  </si>
  <si>
    <t>R7ZK2</t>
  </si>
  <si>
    <t>WOS:001051396000001</t>
  </si>
  <si>
    <t>Lim, MS</t>
  </si>
  <si>
    <t>Lim, Megan S.</t>
  </si>
  <si>
    <t>Haematolymphoid malignancies: It is not important WHO we are but WHERE we go from here</t>
  </si>
  <si>
    <t>dentritic; histiocytic; T-cell lymphomas</t>
  </si>
  <si>
    <t>CLASSIFICATION</t>
  </si>
  <si>
    <t>The World Health Organization and the International Consensus Classification have both addressed and categorized T-cell lymphomas and histiocytic and dendritic tumours. Differences in the classification systems has generated considerable debate. Falini and colleagues now provide some clarity for the readership, with a framework for navigating the current classifications. They highlight the importance of finding a common path to formulate a single classification scheme in the near future.</t>
  </si>
  <si>
    <t>[Lim, Megan S.] Mem Sloan Kettering Canc Ctr, Dept Pathol &amp; Lab Med, New York, NY USA; [Lim, Megan S.] Mem Sloan Kettering Canc Ctr, Dept Pathol &amp; Lab Med, New York, NY 10065 USA</t>
  </si>
  <si>
    <t>Memorial Sloan Kettering Cancer Center; Memorial Sloan Kettering Cancer Center</t>
  </si>
  <si>
    <t>Lim, MS (corresponding author), Mem Sloan Kettering Canc Ctr, Dept Pathol &amp; Lab Med, New York, NY 10065 USA.</t>
  </si>
  <si>
    <t>limm4@mskcc.org</t>
  </si>
  <si>
    <t>10.1111/bjh.19044</t>
  </si>
  <si>
    <t>P7KF3</t>
  </si>
  <si>
    <t>WOS:001052419200001</t>
  </si>
  <si>
    <t>Ovchinnikov, A; Bobev, S</t>
  </si>
  <si>
    <t>Ovchinnikov, Alexander; Bobev, Svilen</t>
  </si>
  <si>
    <t>Crystal and electronic structure of the ternary Zintl bismuthide BaLiBi</t>
  </si>
  <si>
    <t>TOPOLOGICAL INSULATOR; PHASES; SEMIMETAL; DIRAC; CHEMISTRY; PNICTIDES; ELEMENTS; SR; BA; AE</t>
  </si>
  <si>
    <t>Reported is the accurate refinement of the structure of the ternary bismuthide BaLiBi, based on single-crystal X-ray diffraction data. This compound crystallizes with the ZrBeSi structure type with the space group P6(3)/mmc (no. 194), a=4.9917(6) &amp; ANGS;, c=9.079(2) &amp; ANGS;, V=195.92(7) &amp; ANGS;(3) with two formula units per unit cell. In addition to being a colored ternary variant of the AlB2 type, the crystal structure of BaLiBi can be also viewed as a stuffed variant of the NiAs structure, where the Bi atoms form a hexagonal close packing, the Ba atoms occupy the octahedral voids in this packing, and the Li atoms are located between adjacent tetrahedral voids on their common triangular faces. In the absence of direct Bi-Bi interactions, the BaLiBi crystal structure rationalized according to the notation (Ba2+)(Li+)(Bi3-), suggesting an electron-balanced composition, i. e., a Zintl phase. In line with this notation, scalar-relativistic first-principle calculations with the LMTO code reveal a semiconducting ground state, with a bandgap of about 0.6 eV. Fully relativistic electronic structure calculations predict a semimetallic ground state.</t>
  </si>
  <si>
    <t>[Ovchinnikov, Alexander; Bobev, Svilen] Univ Delaware, Dept Chem &amp; Biochem, Newark, DE 19716 USA; [Ovchinnikov, Alexander] Tech Univ Dresden, Fac Chem &amp; Food Chem, D-01062 Dresden, Germany</t>
  </si>
  <si>
    <t>University of Delaware; Technische Universitat Dresden</t>
  </si>
  <si>
    <t>Bobev, S (corresponding author), Univ Delaware, Dept Chem &amp; Biochem, Newark, DE 19716 USA.</t>
  </si>
  <si>
    <t>bobev@udel.edu</t>
  </si>
  <si>
    <t>Ovchinnikov, Alexander/0000-0002-0537-4234</t>
  </si>
  <si>
    <t>United States Department of Energy, Office of Science, Basic Energy Sciences [DE-SC0008885]</t>
  </si>
  <si>
    <t>United States Department of Energy, Office of Science, Basic Energy Sciences(United States Department of Energy (DOE))</t>
  </si>
  <si>
    <t>Acknowledgments The authors acknowledge financial support from the United States Department of Energy, Office of Science, Basic Energy Sciences, under Award #DE-SC0008885.</t>
  </si>
  <si>
    <t>10.1002/zaac.202300128</t>
  </si>
  <si>
    <t>P5FN2</t>
  </si>
  <si>
    <t>WOS:001050932200001</t>
  </si>
  <si>
    <t>Qin, TT; Liu, GJ; Zhang, JS; Zhao, L; Meng, FC</t>
  </si>
  <si>
    <t>Qin, Tiantian; Liu, Guojun; Zhang, Jisheng; Zhao, Lei; Meng, Fancheng</t>
  </si>
  <si>
    <t>Synthesis and properties study of alkali soluble resin fortified polyacrylate latex</t>
  </si>
  <si>
    <t>alkali soluble resin; emulsion polymerization; heat resistance; microphase-separated structure</t>
  </si>
  <si>
    <t>POLYMERIZATION; COPOLYMERS; ACID</t>
  </si>
  <si>
    <t>Latex films with high heat resistance tend to have higher T-g and the emulsion minimum film formation temperature (MFFT) is higher. Higher MFFT latexes do not produce continuous coherent films at low temperatures during application. Consequently, in order to solve the paradoxical problem of obtaining latex films with high T-g at low emulsion MFFT, a series of alkali soluble resin (ASR) stabilized latexes were synthesized in this study using a semi-continuous pre-emulsification polymerization process. The microstructure of latex particles, polymerization stability, composition and properties of latex films were characterized and tested by ATR-FTIR, TEM, ZETA potential analyzer, DSC, orthomorphic metallographic microscope, and gloss tester. The results show that the addition of ASR reduces the content of coagulum during polymerization and significantly increases the number of latex particles. The high T-g ASR also induces the formation of a microphase separation structure with a dual glass transition in the latex film, which improves heat resistance. Additionally, hydroplasticized ASR reduces emulsion MFFT, improves latex film flatness, and enhances its glossiness. The introduction of ASR acts as a dual role of synergy with conventional ionic surfactants during synthesis to increase the stability of composite latexes and with polyacrylate (PA) in application to enhance its properties.</t>
  </si>
  <si>
    <t>[Qin, Tiantian; Liu, Guojun; Zhang, Jisheng; Zhao, Lei; Meng, Fancheng] Dalian Polytech Univ, Sch Text &amp; Mat Engn, Dalian, Liaoning, Peoples R China; [Liu, Guojun] Dalian Polytech Univ, Sch Text &amp; Mat Engn, Dalian 116034, Liaoning, Peoples R China</t>
  </si>
  <si>
    <t>Dalian Polytechnic University; Dalian Polytechnic University</t>
  </si>
  <si>
    <t>Liu, GJ (corresponding author), Dalian Polytech Univ, Sch Text &amp; Mat Engn, Dalian 116034, Liaoning, Peoples R China.</t>
  </si>
  <si>
    <t>lgjzgx@163.com</t>
  </si>
  <si>
    <t>10.1002/pat.6170</t>
  </si>
  <si>
    <t>P7DF5</t>
  </si>
  <si>
    <t>WOS:001052235000001</t>
  </si>
  <si>
    <t>Rufino, AT; Freitas, M; Proenca, C; de Oliveira, JMPF; Fernandes, E; Ribeiro, D</t>
  </si>
  <si>
    <t>Rufino, Ana T.; Freitas, Marisa; Proenca, Carina; de Oliveira, Jose M. P. Ferreira; Fernandes, Eduarda; Ribeiro, Daniela</t>
  </si>
  <si>
    <t>Rheumatoid arthritis molecular targets and their importance to flavonoid-based therapy</t>
  </si>
  <si>
    <t>MEDICINAL RESEARCH REVIEWS</t>
  </si>
  <si>
    <t>drug discovery; flavonoids; rheumatoid arthritis pathophysiology; rheumatoid arthritis treatment</t>
  </si>
  <si>
    <t>COLLAGEN-INDUCED ARTHRITIS; NF-KAPPA-B; FIBROBLAST-LIKE SYNOVIOCYTES; NECROSIS-FACTOR-ALPHA; ADJUVANT-INDUCED ARTHRITIS; DENDRITIC CELL MATURATION; ACTIVATED PROTEIN-KINASE; TNF-ALPHA; OSTEOCLAST DIFFERENTIATION; INFLAMMATORY RESPONSES</t>
  </si>
  <si>
    <t>Rheumatoid arthritis (RA) is a progressive, chronic, autoimmune, inflammatory, and systemic condition that primarily affects the synovial joints and adjacent tissues, including bone, muscle, and tendons. The World Health Organization recognizes RA as one of the most prevalent chronic inflammatory diseases. In the last decade, there was an expansion on the available RA therapeutic options which aimed to improve patient's quality of life. Despite the extensive research and the emergence of new therapeutic approaches and drugs, there are still significant unwanted side effects associated to these drugs and still a vast number of patients that do not respond positively to the existing therapeutic strategies. Over the years, several references to the use of flavonoids in the quest for new treatments for RA have emerged. This review aimed to summarize the existing literature about the flavonoids' effects on the major pathogenic/molecular targets of RA and their potential use as lead compounds for the development of new effective molecules for RA treatment. It is demonstrated that flavonoids can modulate various players in synovial inflammation, regulate immune cell function, decrease synoviocytes proliferation and balance the apoptotic process, decrease angiogenesis, and stop/prevent bone and cartilage degradation, which are all dominant features of RA. Although further investigation is necessary to determine the effectiveness of flavonoids in humans, the available data from in vitro and in vivo models suggest their potential as new disease-modifying anti-rheumatic drugs. This review highlights the use of flavonoids as a promising avenue for future research in the treatment of RA.</t>
  </si>
  <si>
    <t>[Rufino, Ana T.; Freitas, Marisa; Proenca, Carina; de Oliveira, Jose M. P. Ferreira; Fernandes, Eduarda; Ribeiro, Daniela] Univ Porto, LAQV, REQUIMTE, Lab Appl Chem,Dept Chem Sci,Fac Pharm, Porto, Portugal; [Ribeiro, Daniela] Univ Azores, Fac Agr Sci &amp; Environm, Azores, Portugal; [Rufino, Ana T.; Fernandes, Eduarda] Univ Porto, LAQV, REQUIMTE, Lab Appl Chem,Dept Chem Sci,Fac Pharm, Rua Jorge Viterbo Ferreira 228, P-4050313 Porto, Portugal; [Ribeiro, Daniela] Univ Porto, LAQV, REQUIMTE, Fac Pharm,Fac Agr Sci &amp; Environm, Rua Capitao Joao Avila, P-9700042 Azores, Portugal</t>
  </si>
  <si>
    <t>Universidade do Porto; Universidade dos Acores; Universidade do Porto; Universidade do Porto</t>
  </si>
  <si>
    <t>Rufino, AT; Fernandes, E (corresponding author), Univ Porto, LAQV, REQUIMTE, Lab Appl Chem,Dept Chem Sci,Fac Pharm, Rua Jorge Viterbo Ferreira 228, P-4050313 Porto, Portugal.;Ribeiro, D (corresponding author), Univ Porto, LAQV, REQUIMTE, Fac Pharm,Fac Agr Sci &amp; Environm, Rua Capitao Joao Avila, P-9700042 Azores, Portugal.</t>
  </si>
  <si>
    <t>arufino@ff.up.pt; egracas@ff.up.pt; daniela.sa.ribeiro@uac.pt</t>
  </si>
  <si>
    <t>Ferreira de Oliveira, José Miguel P./AFM-8368-2022</t>
  </si>
  <si>
    <t>Ferreira de Oliveira, José Miguel P./0000-0002-3883-0806; Proenca, Carina/0000-0003-0859-6526; Ribeiro, Daniela/0000-0001-9733-7934; Freitas, Marisa/0000-0001-9114-9967</t>
  </si>
  <si>
    <t>FCT/MCTES; Fundacao para a Ciencia e Tecnologia and Ministerio da Ciencia, Tecnologia e Ensino Superior [UIDB/50006/2020, UIDP/50006/2020]; FEDER [POCI-01-0145-FEDER-029253, PTDC/MED-QUI/29253/2017, QUI/0815/2021; DL 57/2016, SFRH/BPD/74868/2010]</t>
  </si>
  <si>
    <t>FCT/MCTES(Fundacao para a Ciencia e a Tecnologia (FCT)); Fundacao para a Ciencia e Tecnologia and Ministerio da Ciencia, Tecnologia e Ensino Superior; FEDER(European Union (EU)Spanish Government)</t>
  </si>
  <si>
    <t>FCT/MCTES, Fundacao para a Ciencia e Tecnologia and Ministerio da Ciencia, Tecnologia e Ensino Superior, Grant/Award Numbers: UIDB/50006/2020, UIDP/50006/2020; FEDER funds through the Operational Competitiveness Program [COMPETE2020], Grant/Award Number: POCI-01-0145-FEDER-029253-Project PTDC/MED-QUI/29253/2017; EXPL/MED-QUI/0815/2021; DL 57/2016-Norma transitoria, Grant/Award Number: SFRH/BPD/74868/2010</t>
  </si>
  <si>
    <t>0198-6325</t>
  </si>
  <si>
    <t>1098-1128</t>
  </si>
  <si>
    <t>MED RES REV</t>
  </si>
  <si>
    <t>Med. Res. Rev.</t>
  </si>
  <si>
    <t>10.1002/med.21990</t>
  </si>
  <si>
    <t>Chemistry, Medicinal; Pharmacology &amp; Pharmacy</t>
  </si>
  <si>
    <t>P5UZ1</t>
  </si>
  <si>
    <t>WOS:001051338300001</t>
  </si>
  <si>
    <t>Sirvinskaite, G; Nardo, CS; Muller, P; Gasser, AC; Morandi, B</t>
  </si>
  <si>
    <t>Sirvinskaite, Giedre; Nardo, Celine S.; Mueller, Patrick; Gasser, Aurelio C.; Morandi, Bill</t>
  </si>
  <si>
    <t>Direct Synthesis of Unprotected Indolines Through Intramolecular sp(3) C-H Amination Using Nitroarenes as Aryl Nitrene Precursors</t>
  </si>
  <si>
    <t>Amination; nitrene source; nitroarenes; reductive cyclization; unprotected indolines</t>
  </si>
  <si>
    <t>NUCLEOPHILIC-SUBSTITUTION; TRANSFER HYDROGENATION; REDUCTIVE CYCLIZATION; BOND AMINATION; AZIDES; FACILE; ANILINES; INDOLES; ALKENES; ACCESS</t>
  </si>
  <si>
    <t>Given the prevalence of molecules containing nitro groups in organic synthesis, innovative methods to expand the reactivity of this functional group are of interest in both industrial and academic settings. In this report, a metal-free intramolecular benzylic sp(3) C-H amination is disclosed using aryl nitro compounds as aryl nitrene precursors. Organosilicon reagent N,N'-bis(trimethylsilyl)-4,4'-bipyridinylidene (Si-DHBP) served as an efficient reductant in the transformation, enabling the in situ generation of aryl nitrene species for the direct, metal-free synthesis of unprotected 2-arylindolines from the corresponding nitroarene compounds.</t>
  </si>
  <si>
    <t>[Sirvinskaite, Giedre; Nardo, Celine S.; Mueller, Patrick; Gasser, Aurelio C.; Morandi, Bill] Swiss Fed Inst Technol, Lab Organ Chem, Vladimir Prelog Weg 3, CH-8093 Zurich, Switzerland</t>
  </si>
  <si>
    <t>Swiss Federal Institutes of Technology Domain; ETH Zurich</t>
  </si>
  <si>
    <t>Morandi, B (corresponding author), Swiss Fed Inst Technol, Lab Organ Chem, Vladimir Prelog Weg 3, CH-8093 Zurich, Switzerland.</t>
  </si>
  <si>
    <t>bill.morandi@org.chem.ethz.ch</t>
  </si>
  <si>
    <t>Sirvinskaite, Giedre/0009-0001-4366-868X</t>
  </si>
  <si>
    <t>Swiss National Science Foundation [SNSF 184658]; Eidgenoessische Technische Hochschule Zurich</t>
  </si>
  <si>
    <t>Swiss National Science Foundation(Swiss National Science Foundation (SNSF)); Eidgenoessische Technische Hochschule Zurich</t>
  </si>
  <si>
    <t>The ETH Zurich is acknowledged for financial support. The Swiss National Science Foundation (SNSF 184658) is acknowledged for funding. The authors thank the NMR and the Molecular and Biomolecular Analysis Service (MoBiAS) of ETH Zurich for technical assistance, Dr. Ori Green for the help with HPLC separations and the Morandi group for helpful discussions and critical proofreading of the manuscript. Open Access funding provided by Eidgenoessische Technische Hochschule Zurich.</t>
  </si>
  <si>
    <t>10.1002/chem.202301978</t>
  </si>
  <si>
    <t>P5ZM4</t>
  </si>
  <si>
    <t>WOS:001051455900001</t>
  </si>
  <si>
    <t>Tan, XY; Jian, JY; Zheng, XQ; Zhao, JY; Huang, JH</t>
  </si>
  <si>
    <t>Tan, Xueyan; Jian, Junyang; Zheng, Xueqiong; Zhao, Jinying; Huang, Jianhua</t>
  </si>
  <si>
    <t>Improving Photovoltaic Performance of All-Polymer Solar Cells by Adding an Amorphous B?N Embedded Polymer as the Third Component</t>
  </si>
  <si>
    <t>all-polymer solar cells; B &amp; LARR;N embedded polymers; organic photovoltaics; ternary devices</t>
  </si>
  <si>
    <t>POWER CONVERSION EFFICIENCY; 10-PERCENT; ACCEPTOR; ABSORPTION; MORPHOLOGY; UNIT</t>
  </si>
  <si>
    <t>Currently, most of the disclosed ternary strategies to improve photovoltaic performance of all-polymer solar cells (all-PSCs) commonly focus on the guest polymers having similar structures with the host polymer donors or acceptors. Herein, this work develops a distinctive ternary method that adding an amorphous B &amp; LARR;N embedded polymer named BN-Cl-2fT to a crystallized host polymer blend of PM6 (a commercialized polymer donor) and PY-TT (a copolymer of Y6 and thieno[3,2-b]thiophene). Although the structures between BN-Cl-2fT and PM6 and PY-TT are completely different, excellent miscibility is found between BN-Cl-2fT and both of the host PM6 and PY-TT, which can be interpreted by the crowded phenyl groups anchoring along the backbone of BN-Cl-2fT, leading to weak self-aggregation. Glazing incidence wide-angle X-ray diffraction (GIWAXS) measurements explicitly confirm the crystallization of PM6 and PY-TT and amorphous feature of BN-Cl-2fT. Furthermore, adding 10 wt% BN-Cl-2fT to PM6:PY-TT can significantly enhance the crystallization of the host polymers. Thus the ternary devices based on PM6:PY-TT:BN-Cl-2fT afford promote short-circuit current density (J(SC), 23.29 vs. 21.80 mA cm(-2)), fill factor (FF, 62.4% vs. 60.0%), and power conversion efficiency (PCE, 13.70% vs. 12.23%) in contrast to these parameters of binary devices based on PM6:PY-TT. This work provides a unique and enlightening avenue to design high performance all-PSCs by adding amorphous B &amp; LARR;N embedded polymers as guest component to enhance host-crystallization.</t>
  </si>
  <si>
    <t>[Tan, Xueyan; Jian, Junyang; Zheng, Xueqiong; Zhao, Jinying; Huang, Jianhua] Huaqiao Univ, Coll Mat Sci &amp; Engn, Xiamen 361021, Peoples R China</t>
  </si>
  <si>
    <t>Huaqiao University</t>
  </si>
  <si>
    <t>Huang, JH (corresponding author), Huaqiao Univ, Coll Mat Sci &amp; Engn, Xiamen 361021, Peoples R China.</t>
  </si>
  <si>
    <t>huangjianhua@hqu.edu.cn</t>
  </si>
  <si>
    <t>Huang, Jianhua/0000-0003-4124-184X</t>
  </si>
  <si>
    <t>National Natural Science Foundation of China (NSFC) [22179043]; Project of Longyan Science and Technology Plan [2021LYF9009]</t>
  </si>
  <si>
    <t>National Natural Science Foundation of China (NSFC)(National Natural Science Foundation of China (NSFC)); Project of Longyan Science and Technology Plan</t>
  </si>
  <si>
    <t>&amp; nbsp;This research was supported by the National Natural Science Foundation of China (NSFC, Nos. 22179043) and the Project of Longyan Science and Technology Plan (2021LYF9009).</t>
  </si>
  <si>
    <t>10.1002/marc.202300375</t>
  </si>
  <si>
    <t>P7HX2</t>
  </si>
  <si>
    <t>WOS:001052358800001</t>
  </si>
  <si>
    <t>Wang, YH; Shen, X; Song, SH; Chen, Y; Wang, YP; Liao, JL; Chen, N; Zeng, L</t>
  </si>
  <si>
    <t>Wang, Yihao; Shen, Xu; Song, Shenghua; Chen, Yan; Wang, Yiping; Liao, Junlin; Chen, Nian; Zeng, Li</t>
  </si>
  <si>
    <t>Mesenchymal stem cell-derived exosomes and skin photoaging: From basic research to practical application</t>
  </si>
  <si>
    <t>PHOTODERMATOLOGY PHOTOIMMUNOLOGY &amp; PHOTOMEDICINE</t>
  </si>
  <si>
    <t>exosomes; mesenchymal stem cell; skin photoaging</t>
  </si>
  <si>
    <t>DERMAL FIBROBLASTS; MATRIX METALLOPROTEINASES; EXTRACELLULAR VESICLES; ENDOTHELIAL-CELLS; VISIBLE-LIGHT; PROLIFERATION; KERATINOCYTES; PIGMENTATION; ANGIOGENESIS; AMELIORATE</t>
  </si>
  <si>
    <t>BackgroundSkin photoaging is a condition caused by long-term exposure to ultraviolet irradiation, resulting in a variety of changes in the skin, such as capillary dilation, increased or absent pigmentation, dryness, sagging, and wrinkles. Stem cells possess a remarkable antioxidant capacity and the ability to proliferate, differentiate, and migrate, and their main mode of action is through paracrine secretion, with exosomes being the primary form of secretion. Stem cell-derived exosomes contain a variety of growth factors and cytokines and may have great potential to promote skin repair and delay skin ageing. MethodsThis review focuses on the mechanisms of UV-induced skin photoaging, the research progress of stem cell exosomes against skin photoaging, emerging application approaches and limitations in the application of exosome therapy. ResultExosomes derived from various stem cells have the potential to prevent skin photoaging. ConclusionThe combination with novel materials may be a key step for their practical application, which could be an important direction for future basic research and practical applications.</t>
  </si>
  <si>
    <t>[Wang, Yihao; Shen, Xu; Song, Shenghua; Chen, Yan; Wang, Yiping; Liao, Junlin; Chen, Nian; Zeng, Li] Univ South China, Affiliated Hosp 1, Ctr Burn &amp; Plast &amp; Wound Healing Surg, Hengyang Med Sch, Hengyang, Peoples R China; [Zeng, Li] Univ South China, Affiliated Hosp 1, Hengyang Med Sch, Dept Med Cosmetol, Hengyang 421001, Hunan, Peoples R China</t>
  </si>
  <si>
    <t>University of South China; University of South China</t>
  </si>
  <si>
    <t>Zeng, L (corresponding author), Univ South China, Affiliated Hosp 1, Hengyang Med Sch, Dept Med Cosmetol, Hengyang 421001, Hunan, Peoples R China.</t>
  </si>
  <si>
    <t>22509020@qq.com</t>
  </si>
  <si>
    <t>Hunan Social Science Project [XSP2023JYC259]</t>
  </si>
  <si>
    <t>Hunan Social Science Project</t>
  </si>
  <si>
    <t>Hunan Social Science Project, Grant/Award Number: XSP2023JYC259</t>
  </si>
  <si>
    <t>0905-4383</t>
  </si>
  <si>
    <t>1600-0781</t>
  </si>
  <si>
    <t>PHOTODERMATOL PHOTO</t>
  </si>
  <si>
    <t>Photodermatol. Photoimmunol. Photomed.</t>
  </si>
  <si>
    <t>10.1111/phpp.12910</t>
  </si>
  <si>
    <t>P6SF4</t>
  </si>
  <si>
    <t>WOS:001051947400001</t>
  </si>
  <si>
    <t>Wei, J; Wang, TT; Hui, JW; Li, XT; Zhang, H; Wang, Y; Guo, YP; Zhang, SQ</t>
  </si>
  <si>
    <t>Wei, Jian; Wang, Taotao; Hui, Jiawei; Li, Xueting; Zhang, Hao; Wang, Yuan; Guo, Yupeng; Zhang, Siqing</t>
  </si>
  <si>
    <t>Thermoelectric Power Factor of Boron-Doped Carbon Nanotubes Reinforced Cementitious Composites</t>
  </si>
  <si>
    <t>boron substitutional doping; carbon nanotubes; cementitious composites; thermoelectric properties</t>
  </si>
  <si>
    <t>RAMAN-SPECTROSCOPY; ENERGY; GRAPHENE; PERFORMANCE; BEHAVIOR; STORAGE; DEFECT</t>
  </si>
  <si>
    <t>In recent years, fossil fuel emissions and human activities have generated a lot of heat energy, causing environmental temperatures to rise. Thermoelectric cementitious composites that use temperature difference power generation to achieve the transformation of thermal and electrical energy can achieve a reduction in urban environmental temperature and alleviate resource depletion. However, the low thermoelectric conversion efficiency at this stage restricts its development. Herein, boron-doped carbon nanotubes (B-CNTs) are proposed to improve the thermoelectric properties of cement materials by doping boron into carbon nanotubes through the thermal diffusion method. At H3BO3: CNTs = 1:4, the synthesized B-CNTs improve the Seebeck coefficient, which is mainly due to the increase in defect content and the appearance of additional phases around the Fermi energy level, leading to enhanced thermoelectric properties due to the increase in carrier scattering intensity. The thermoelectric optimum of the cement matrix composite with 7.0 wt% B-CNTs content is 1.1 x 10(-4), which is three times higher than that of the undoped carbon nanotube. This article provides a research idea to modify the thermoelectric properties of the material by doping the carbon material.</t>
  </si>
  <si>
    <t>[Wei, Jian; Wang, Taotao; Hui, Jiawei; Li, Xueting; Zhang, Hao; Wang, Yuan; Guo, Yupeng; Zhang, Siqing] Xian Univ Architecture &amp; Technol, Coll Mat Sci &amp; Engn, Xian 710055, Peoples R China</t>
  </si>
  <si>
    <t>Xi'an University of Architecture &amp; Technology</t>
  </si>
  <si>
    <t>Wei, J (corresponding author), Xian Univ Architecture &amp; Technol, Coll Mat Sci &amp; Engn, Xian 710055, Peoples R China.</t>
  </si>
  <si>
    <t>weijian@xauat.edu.cn</t>
  </si>
  <si>
    <t>Wei, Jian/0000-0001-9847-3137</t>
  </si>
  <si>
    <t>National Natural Science Foundation of China [51578448, 51308447]; Natural Science Basic Research Plan in Shaanxi Province of China [2017ZDJC-18]; Shaanxi Provincial Education Department [20JY042]; Shaanxi Science Fund for Distinguished Young Scholars [2018JC-025]; Natural Science Basic Research Program of Shaanxi for Distinguished Young youths [2021JC-43]</t>
  </si>
  <si>
    <t>National Natural Science Foundation of China(National Natural Science Foundation of China (NSFC)); Natural Science Basic Research Plan in Shaanxi Province of China; Shaanxi Provincial Education Department; Shaanxi Science Fund for Distinguished Young Scholars; Natural Science Basic Research Program of Shaanxi for Distinguished Young youths</t>
  </si>
  <si>
    <t>This study was supported by the National Natural Science Foundation of China (grant nos. 51578448, 51308447), Natural Science Basic Research Plan in Shaanxi Province of China (Program No. 2017ZDJC-18), Scientific Research Program Funded by Shaanxi Provincial Education Department (grant/award number: 20JY042), Shaanxi Science Fund for Distinguished Young Scholars (2018JC-025), the Natural Science Basic Research Program of Shaanxi for Distinguished Young youths (2021JC-43).</t>
  </si>
  <si>
    <t>10.1002/ente.202300404</t>
  </si>
  <si>
    <t>P5XG4</t>
  </si>
  <si>
    <t>WOS:001051397900001</t>
  </si>
  <si>
    <t>Abbasi-Rad, S; Norris, DG</t>
  </si>
  <si>
    <t>Abbasi-Rad, Shahrokh; Norris, David G.</t>
  </si>
  <si>
    <t>Adiabatic null passage for on-resonance magnetization transfer preparation</t>
  </si>
  <si>
    <t>adiabatic null passage; direct saturation; magnetization transfer; T-2 effect</t>
  </si>
  <si>
    <t>TRANSFER CONTRAST MTC; CROSS-RELAXATION; IN-VIVO; SATURATION-TRANSFER; BINOMIAL PULSES; EXCHANGE; PROTON; TISSUE; INVERSION; WATER</t>
  </si>
  <si>
    <t>Purpose: We propose a novel RF pulse providing an adiabatic null passage (ANP) for magnetization transfer preparation with improved insensitivity to B-1(+) and B-0 inhomogeneities and mitigated direct saturation and T-2 effects. Method: The phase modulation function of a 6-ms time-resampled frequency offset-corrected pulse was modified to achieve zero flip angle at the end of the pulse. The spectral response was simulated, and its insensitivity to B-0 and B-1(+) was investigated and compared with a phase-inverted (121- 121) binomial pulse. The proposed pulse was implemented in a 2D-EPI pulse sequence to generate magnetization transfer (MT) contrast and MT ratio (MTR) maps. In vivo experiments were performed on 3 healthy participants with power-matched settings for ANP and the binomial pulse with the following parameters: 6-ms binomial pulse with a flip angle of 107 degrees (shortest element) and pulse repetition period (PRP) of TRslice = 59 ms, three experiments with 6-ms ANP and constant MT used overdrive factor (OF)/PRP values of 1/TRslice,root 2/2TR(slice), andv3/3TR(slice). Results: At gray matter (white matter) in vivo, the MTR decreased from 61% (64%) at OF= 1 to 38% (42%) applying ANP with an OF = root 3 and PRP= 3TR(slice), demonstrating the mitigation of T2/direct effect by 22% (22%). Bloch-McConnell simulations gave similar values. In vivo experiments showed significant improvement in the MTR values for areas with high B-0 inhomogeneity. Conclusion: ANP pulse was shown to be advantageous over its binomial counterpart in providingMT contrast by mitigating the T-2 effect and direct saturation of the liquid pool as well as reduced sensitivity to B-1(+) and B-0 inhomogeneity.</t>
  </si>
  <si>
    <t>[Abbasi-Rad, Shahrokh; Norris, David G.] Radboud Univ Nijmegen, Donders Inst Brain Cognit &amp; Behav, Donders Ctr Cognit Neuroimaging, Nijmegen, Netherlands; [Abbasi-Rad, Shahrokh; Norris, David G.] Univ Duisburg Essen, Erwin L Hahn Inst Magnet Resonance Imaging, Essen, Germany; [Abbasi-Rad, Shahrokh] Harvard Med Sch, Dept Radiol, Boston, MA USA; [Abbasi-Rad, Shahrokh] Massachusetts Gen Hosp, Athinoula A Martinos Ctr Biomed Imaging, Charlestown, MA USA; [Abbasi-Rad, Shahrokh] Massachusetts Gen Hosp, Athinoula A Martinos Ctr Biomed Imaging, Charlestown, MA 02129 USA</t>
  </si>
  <si>
    <t>Radboud University Nijmegen; University of Duisburg Essen; Harvard University; Harvard Medical School; Harvard University; Massachusetts General Hospital; Harvard University; Massachusetts General Hospital</t>
  </si>
  <si>
    <t>Abbasi-Rad, S (corresponding author), Massachusetts Gen Hosp, Athinoula A Martinos Ctr Biomed Imaging, Charlestown, MA 02129 USA.</t>
  </si>
  <si>
    <t>sabbasi-rad@mgh.harvard.edu</t>
  </si>
  <si>
    <t>Abbasi Rad, shahrokh/AEX-6108-2022</t>
  </si>
  <si>
    <t>Abbasi Rad, shahrokh/0000-0003-0964-485X</t>
  </si>
  <si>
    <t>2023 AUG 20</t>
  </si>
  <si>
    <t>10.1002/mrm.29835</t>
  </si>
  <si>
    <t>P6KP1</t>
  </si>
  <si>
    <t>WOS:001051748200001</t>
  </si>
  <si>
    <t>Brightman, M</t>
  </si>
  <si>
    <t>Brightman, Marc</t>
  </si>
  <si>
    <t>Civil becomings: performative politics in the Amazon and the Mediterranean</t>
  </si>
  <si>
    <t>JOURNAL OF THE ROYAL ANTHROPOLOGICAL INSTITUTE</t>
  </si>
  <si>
    <t>[Brightman, Marc] Univ Bologna, Bologna, Italy</t>
  </si>
  <si>
    <t>University of Bologna</t>
  </si>
  <si>
    <t>Brightman, M (corresponding author), Univ Bologna, Bologna, Italy.</t>
  </si>
  <si>
    <t>1359-0987</t>
  </si>
  <si>
    <t>1467-9655</t>
  </si>
  <si>
    <t>J ROY ANTHROPOL INST</t>
  </si>
  <si>
    <t>J. R. Anthropol. Inst.</t>
  </si>
  <si>
    <t>10.1111/1467-9655.14034</t>
  </si>
  <si>
    <t>P6GC2</t>
  </si>
  <si>
    <t>WOS:001051629200001</t>
  </si>
  <si>
    <t>Dwivedi, YK; Balakrishnan, J; Baabdullah, AM; Das, R</t>
  </si>
  <si>
    <t>Dwivedi, Yogesh K.; Balakrishnan, Janarthanan; Baabdullah, Abdullah M.; Das, Ronnie</t>
  </si>
  <si>
    <t>Do chatbots establish humanness in the customer purchase journey? An investigation through explanatory sequential design</t>
  </si>
  <si>
    <t>AI humanness; chatbots; customer journey; elaboration likelihood model (ELM); marketing automation; recommendation intention</t>
  </si>
  <si>
    <t>ELABORATION LIKELIHOOD MODEL; ARTIFICIAL-INTELLIGENCE; BEHAVIORAL-RESEARCH; EXPERIENCE; SATISFACTION; VARIABLES; STEREOTYPES; MECHANISMS; PERSUASION; COMPETENCE</t>
  </si>
  <si>
    <t>Chatbots incorporate various behavioral and psychological marketing elements to satisfy customers at various stages of their purchase journey. This research follows the foundations of the Elaboration Likelihood Model (ELM) and examines how cognitive and peripheral cues impact experiential dimensions, leading to chatbot user recommendation intentions. The study introduced warmth and competence as mediating variables in both the purchase and postpurchase stages, utilizing a robust explanatory sequential mixed-method research design. The researchers tested and validated the proposed conceptual model using a 3 x 3 factorial design, collecting 354 responses in the purchase stage and 286 responses in the postpurchase stage. In the second stage, they conducted in-depth qualitative interviews (Study 2) to gain further insights into the validity of the experimental research (Study 1). The results obtained from Study 1 revealed that cognitive cues and competence significantly influence recommendation intentions among chatbot users. On the other hand, peripheral cues and warmth significantly contribute to positive experiences encountered during the purchase stage. The researchers further identified 69 thematic codes through exploratory research, providing a deeper understanding of the variables. Theoretically, this study extends the ELM by introducing new dimensions to human-machine interactions at the heart of digital transformation. From a managerial standpoint, the study emphasizes the significance of adding a humanness element in chatbot development to create more engaging and positive customer experiences actively.</t>
  </si>
  <si>
    <t>[Dwivedi, Yogesh K.] Swansea Univ, Digital Futures Sustainable Business &amp; Soc Res Grp, Dept Business, Sch Management, Swansea, Wales; [Dwivedi, Yogesh K.] Pune &amp; Symbiosis Int Deemed Univ, Symbiosis Inst Business Management, Dept Management, Pune, Maharashtra, India; [Balakrishnan, Janarthanan] Natl Inst Technol Tiruchirappalli, Dept Management Studies, Tiruchirappalli, Tamil Nadu, India; [Baabdullah, Abdullah M.] King Abdulaziz Univ, Fac Econ &amp; Adm, Dept Management Informat Syst, Jeddah, Saudi Arabia; [Das, Ronnie] Audencia Business Sch, Dept Mkt, Nantes, France; [Dwivedi, Yogesh K.] Swansea Univ, Digital Futures Sustainable Business &amp; Soc Res Grp, Sch Management, Bay Campus, Swansea SA1 8EN, Wales</t>
  </si>
  <si>
    <t>Swansea University; Symbiosis International University; Symbiosis Institute of Business Management (SIBM) Pune; National Institute of Technology (NIT System); National Institute of Technology Tiruchirappalli; King Abdulaziz University; Audencia; Swansea University</t>
  </si>
  <si>
    <t>Dwivedi, YK (corresponding author), Swansea Univ, Digital Futures Sustainable Business &amp; Soc Res Grp, Sch Management, Bay Campus, Swansea SA1 8EN, Wales.</t>
  </si>
  <si>
    <t>y.k.dwivedi@swansea.ac.uk</t>
  </si>
  <si>
    <t>Dwivedi, Yogesh Kumar/A-5362-2008</t>
  </si>
  <si>
    <t>Dwivedi, Yogesh Kumar/0000-0002-5547-9990</t>
  </si>
  <si>
    <t>2023 AUG 19</t>
  </si>
  <si>
    <t>10.1002/mar.21888</t>
  </si>
  <si>
    <t>P4VN9</t>
  </si>
  <si>
    <t>WOS:001050655700001</t>
  </si>
  <si>
    <t>Glenn, OJ; Faux, I; Pratschke, KM; Blacklock, KLB</t>
  </si>
  <si>
    <t>Glenn, Owen J. J.; Faux, Ian; Pratschke, Kathryn M. M.; Blacklock, Kelly L. Bowlt L.</t>
  </si>
  <si>
    <t>Evaluation of a client questionnaire at diagnosing surgical site infections in an active surveillance system</t>
  </si>
  <si>
    <t>CARE-ASSOCIATED INFECTION; POSTOPERATIVE WOUND-INFECTION; CLEAN-CONTAMINATED WOUNDS; DOGS; COMPLICATIONS; PREVENTION; RATES; CATS; REDUCTION; EFFICACY</t>
  </si>
  <si>
    <t>ObjectiveTo report sensitivity, specificity, predictive values and accuracy of a client questionnaire at diagnosing surgical site infections (SSIs) and describe the impact of active surveillance on SSI detection. Study designProspective, cohort study. AnimalsDogs and cats undergoing soft tissue or orthopedic surgery over a 12-month period at a referral hospital. MethodsClients were emailed a questionnaire 30 days postoperatively, or 90 days where an implant was used. Three algorithms were developed to diagnose SSIs using one or both of two criteria: (1) presence of any wound healing problems; (2) wound dehiscence or antibiotic prescription, and either purulent discharge or two or more clinical signs (redness, pain, heat, swelling, discharge). Algorithmic diagnoses were compared to gold standard diagnoses made by veterinarians. ResultsOf 754 surgical procedures, 309 responses were completed with 173 corresponding gold standard diagnoses. The most accurate algorithm determined SSI or No SSI from 90.2% of responses with 95.5% (92.4-98.6) accuracy, 82.6% (77-88.3) sensitivity, 97.7% (95.5-100) specificity, 86.4% (81.2-91.5) positive predictive value, and 97% (94.5-99.6) negative predictive value. No SSI was diagnosed in responses not meeting criterion 1, and SSI in responses meeting criteria 1 and 2. Inconclusive responses, comprising 9.8% of responses, met criterion 1 but not 2. Overall SSI rate was 62/754 (8.2%) and 12/62 (19.4%) SSIs were detected by active surveillance only. ConclusionUse of this client questionnaire accurately diagnosed SSIs; active surveillance increased SSI detection. Clinical significanceSurveillance of SSIs should be active and can be simplified by using a client questionnaire and algorithmic diagnoses, allowing automated distribution, data collection and analysis.</t>
  </si>
  <si>
    <t>[Glenn, Owen J. J.; Faux, Ian; Pratschke, Kathryn M. M.; Blacklock, Kelly L. Bowlt L.] Univ Edinburgh, Royal Dick Sch Vet Studies, Edinburgh, Scotland; [Blacklock, Kelly L. Bowlt L.] Univ Edinburgh, Hosp Small Anim, Royal Dick Sch Vet Studies, Edinburgh, Scotland</t>
  </si>
  <si>
    <t>Blacklock, KLB (corresponding author), Univ Edinburgh, Hosp Small Anim, Royal Dick Sch Vet Studies, Edinburgh, Scotland.</t>
  </si>
  <si>
    <t>kelly.blacklock@ed.ac.uk</t>
  </si>
  <si>
    <t>Glenn, Owen/0000-0001-5930-5376; Bowlt Blacklock, Kelly/0000-0001-6482-7224</t>
  </si>
  <si>
    <t>10.1111/vsu.14011</t>
  </si>
  <si>
    <t>P4VA7</t>
  </si>
  <si>
    <t>WOS:001050641200001</t>
  </si>
  <si>
    <t>Gui, ZC; Wang, JW; Zhang, Y; Wan, BB; Ke, ZQ; Ren, ZH; Yang, XS; Lei, M; Guo, XY; Liu, XF; Ouyang, CH; Wu, NH; Chen, QJ</t>
  </si>
  <si>
    <t>Gui, Zichen; Wang, Jiawen; Zhang, Yue; Wan, Binbin; Ke, Zhiqiang; Ren, Zhanhong; Yang, Xiaosong; Lei, Min; Guo, Xiying; Liu, Xiufen; Ouyang, Changhan; Wu, Ninghua; Chen, Qingjie</t>
  </si>
  <si>
    <t>Dapagliflozin improves diabetic cognitive impairment via indirectly modulating the mitochondria homeostasis of hippocampus in diabetic mice</t>
  </si>
  <si>
    <t>BIOFACTORS</t>
  </si>
  <si>
    <t>cognitive impairment; dapagliflozin; diabetes; mitochondria homeostasis; SGLT2</t>
  </si>
  <si>
    <t>MITOPHAGY; DYSFUNCTION; MANAGEMENT; INHIBITOR; PERFUSION; DYNAMICS; CURCUMIN; MELLITUS</t>
  </si>
  <si>
    <t>Cognitive impairment is increasingly recognized as an important comorbidity of diabetes progression; however, the underlying molecular mechanism is unclear. Dapagliflozin, an inhibitor of sodium-glucose co-transporter 2 (SGLT2), has shown promising effects against diabetes in rodent experiments and human clinical assays. This study aimed to determine the underlying mechanism and examine the effect of dapagliflozin on diabetic cognitive impairment. To create an in vivo model of diabetic cognitive impairment, streptozotocin (STZ)-induced diabetic mice were used. Dapagliflozin was administered to mice for 8 weeks. The context fear condition and Morris water maze test was used to evaluate mice's behavioral change. Western blotting was used to evaluate protein expression. Hematoxylin and eosin (HE) and Nissl staining were applied to monitor morphological and structural changes. Congo red staining was performed to identify the formation of senile plaques. Mitochondria morphology was examined using a transmission electron microscope, and blood flow in the mouse cerebral cortex was measured using a laser Doppler imaging assay. Comparison to the diabetes mellitus (DM) group, the dapagliflozin group had lower glucose levels. Behavioral studies have shown that dapagliflozin can restore memory deficits in diabetic mice. The murky cell membrane edges and Nissl bodies more difficult to identify in the DM group were revealed by HE and Nissl staining, which were both improved by dapagliflozin treatment. Dapagliflozin inhibited the progression of A ss generation and the reduced cerebral blood flow in the DM group was rescued. After dapagliflozin treatment, damaged mitochondria and lack of SGLT2 in the hippocampus and cortex of diabetic mice were repaired. Diabetes-induced cognitive dysfunction was attenuated by dapagliflozin and the effect was indirect rather than direct.</t>
  </si>
  <si>
    <t>[Gui, Zichen; Ke, Zhiqiang; Ren, Zhanhong; Yang, Xiaosong; Lei, Min; Guo, Xiying; Liu, Xiufen; Ouyang, Changhan; Chen, Qingjie] Hubei Univ Sci &amp; Technol, Med Res Inst, Xianning Med Coll, Hubei Key Lab Diabet &amp; Angiopathy, Xianning, Hubei, Peoples R China; [Gui, Zichen] Huazhong Univ Sci &amp; Technol, Tongji Hosp, Tongji Med Coll, Hepat Surg Ctr, Wuhan, Hubei, Peoples R China; [Gui, Zichen] Huazhong Univ Sci &amp; Technol, Tongji Hosp, Tongji Med Coll, Hubei Key Lab Hepatopancreato Biliary Dis, Wuhan, Hubei, Peoples R China; [Gui, Zichen] Hubei Prov Clin Med Res Ctr Hepat Surg, Wuhan, Hubei, Peoples R China; [Wang, Jiawen] Hubei Univ Sci &amp; Technol, Xianning Cent Hosp, Affiliated Hosp 1, Xianning, Hubei, Peoples R China; [Zhang, Yue; Wan, Binbin] Hubei Univ Sci &amp; Technol, Xianning Med Coll, Sch Pharm, Xianning, Hubei, Peoples R China; [Wu, Ninghua; Chen, Qingjie] Hubei Univ Sci &amp; Technol, Xianning Med Coll, Sch Stomatol &amp; Ophthalmol, Xianning, Hubei, Peoples R China; [Wu, Ninghua] Hubei Univ Sci &amp; Technol, Xianning Med Coll, Sch Basic Med Sci, Xianning, Hubei, Peoples R China; [Wu, Ninghua; Chen, Qingjie] Hubei Univ Sci &amp; Technol, Med Res Inst, Xianning Med Coll, Hubei Key Lab Diabet &amp; Angiopathy, Xianning 437000, Hubei, Peoples R China</t>
  </si>
  <si>
    <t>Hubei University of Science &amp; Technology; Huazhong University of Science &amp; Technology; Huazhong University of Science &amp; Technology; Hubei University of Science &amp; Technology; Hubei University of Science &amp; Technology; Hubei University of Science &amp; Technology; Hubei University of Science &amp; Technology; Hubei University of Science &amp; Technology</t>
  </si>
  <si>
    <t>Wu, NH; Chen, QJ (corresponding author), Hubei Univ Sci &amp; Technol, Med Res Inst, Xianning Med Coll, Hubei Key Lab Diabet &amp; Angiopathy, Xianning 437000, Hubei, Peoples R China.</t>
  </si>
  <si>
    <t>446007331@qq.com; chenqingjie8858@163.com</t>
  </si>
  <si>
    <t>Development and Utilization of Experimental Animal Resources in Hubei Province [2021DFE025]; Hubei University Student Innovation and Entrepreneurship Program [S202210927025]; National Natural Science Foundation of China [82270892]; Natural Science Foundation of Hubei Province [2022CFB287]; School Projects of Hubei University of Science and Technology [2021TNB01, 2021WG05, 2022T01]; Xianning City Science and~Technology Plan Project [2022ZRKX052]</t>
  </si>
  <si>
    <t>Development and Utilization of Experimental Animal Resources in Hubei Province; Hubei University Student Innovation and Entrepreneurship Program; National Natural Science Foundation of China(National Natural Science Foundation of China (NSFC)); Natural Science Foundation of Hubei Province(Natural Science Foundation of Hubei Province); School Projects of Hubei University of Science and Technology; Xianning City Science and~Technology Plan Project</t>
  </si>
  <si>
    <t>Development and Utilization of Experimental Animal Resources in Hubei Province, Grant/Award Number:2021DFE025; Hubei University Student Innovation and Entrepreneurship Program, Grant/Award Number:S202210927025; National Natural Science Foundation of China, Grant/Award Number: 82270892; Natural Science Foundation of Hubei Province, Grant/Award Number: 2022CFB287;School Projects of Hubei University of Science and Technology, Grant/Award Numbers: 2021TNB01, 2021WG05, 2022T01; Xianning City Science and &amp; nbsp;Technology Plan Project, Grant/Award Number: 2022ZRKX052</t>
  </si>
  <si>
    <t>0951-6433</t>
  </si>
  <si>
    <t>1872-8081</t>
  </si>
  <si>
    <t>Biofactors</t>
  </si>
  <si>
    <t>10.1002/biof.1998</t>
  </si>
  <si>
    <t>Biochemistry &amp; Molecular Biology; Endocrinology &amp; Metabolism</t>
  </si>
  <si>
    <t>P5PH1</t>
  </si>
  <si>
    <t>WOS:001051189500001</t>
  </si>
  <si>
    <t>Kandathil, G; Chennangodu, R</t>
  </si>
  <si>
    <t>Kandathil, George; Chennangodu, Rajeshwari</t>
  </si>
  <si>
    <t>Postfeminist individuating of a women collective and the strugglesome emergence of a relational collective feminist solidarity: The story of Kudumbashree, a Kerala state-instituted women empowerment program</t>
  </si>
  <si>
    <t>GENDER WORK AND ORGANIZATION</t>
  </si>
  <si>
    <t>empowerment; gender; India; postfeminism; solidarity</t>
  </si>
  <si>
    <t>POLITICS; GENDER; WORK; NEOLIBERALISM; FEMININITIES; LIVELIHOODS; JUSTICE; ETHICS; LIFE; ERA</t>
  </si>
  <si>
    <t>In a patriarchal caste- and class-inflicted gendered work setting in an Indian state, Kerala, we explore the process of mobilizing neoliberal postfeminization and subsequent collectivization and collective acting of women from lower socioeconomic classes. We identify neoliberal postfeminism's structural contradictions and lingering individuating forces within a state-instituted yet bottom-up women empowerment collectivization program, enriching the emerging critique of neoliberal postfeminization, particularly within intersectionality conversations. Despite these impediments, the collective gradually developed a situational embodied relational collective feminist solidarity that facilitated possibilities for creating alternatives to neoliberal postfeminist patriarchal ways of organizing work and working bodies. By narratively mapping these processes, we hope to advance the emerging discussions on the development of feminist solidarity and solidaristic alternatives.</t>
  </si>
  <si>
    <t>[Kandathil, George] Indian Inst Management Ahmedabad, Ahmadabad, India; [Chennangodu, Rajeshwari] Indian Inst Management Kozhikode, Kozhikode, India</t>
  </si>
  <si>
    <t>Indian Institute of Management (IIM System); Indian Institute of Management Ahmedabad; Indian Institute of Management (IIM System); Indian Institute of Management Kozhikode</t>
  </si>
  <si>
    <t>Chennangodu, R (corresponding author), Indian Inst Management Kozhikode, Kozhikode, India.</t>
  </si>
  <si>
    <t>rajeshwaric@iima.ac.in</t>
  </si>
  <si>
    <t>0968-6673</t>
  </si>
  <si>
    <t>1468-0432</t>
  </si>
  <si>
    <t>GENDER WORK ORGAN</t>
  </si>
  <si>
    <t>Gend. Work. Organ.</t>
  </si>
  <si>
    <t>10.1111/gwao.13057</t>
  </si>
  <si>
    <t>Management; Women's Studies</t>
  </si>
  <si>
    <t>Business &amp; Economics; Women's Studies</t>
  </si>
  <si>
    <t>P5LG7</t>
  </si>
  <si>
    <t>WOS:001051084300001</t>
  </si>
  <si>
    <t>Meng, YY; Huang, C; Huang, W</t>
  </si>
  <si>
    <t>Meng, Yiyu; Huang, Chao; Huang, Wu</t>
  </si>
  <si>
    <t>Survival after induction chemotherapy in locoregional advanced nasopharyngeal carcinoma: An updated systematic review and meta-analysis</t>
  </si>
  <si>
    <t>LARYNGOSCOPE INVESTIGATIVE OTOLARYNGOLOGY</t>
  </si>
  <si>
    <t>concurrent chemoradiotherapy; induction chemotherapy; locoregionally advanced; meta-analysis; nasopharyngeal carcinoma; survival</t>
  </si>
  <si>
    <t>GLOBAL CANCER STATISTICS; RANDOMIZED PHASE-II; CONCURRENT CHEMORADIOTHERAPY; RADIOTHERAPY; CISPLATIN; MORTALITY; TRIAL</t>
  </si>
  <si>
    <t>BackgroundInduction chemotherapy (ICT) augmentation is a common strategy for standard concurrent chemoradiotherapy (CCRT) of locoregionally advanced nasopharyngeal carcinoma (NPC). The survival condition is a crucial issue for patients with locoregionally advanced NPC. The survival of ICT patients with CCRT treatment versus standard CCRT alone should be elucidated via a systemic review and meta-analysis of randomized clinical trials. MethodsWe compared ICT with CCRT and CCRT alone treatment to determine if ICT with CCRT can be associated with a significant benefit of survival conditions versus CCRT. Different survival indicators were analyzed for the ICT with CCRT. Twelve studies with a total of 3711 patients with locoregionally advanced NPC were enrolled. The focused outcome was the overall survival, progression-free survival, distant metastasis-free survival, and locoregional recurrence-free survival. ResultsOur results showed that ICT with CCRT is associated with a significant benefit for the overall survival status versus CCRT treatment. Similar significant benefits in the survival condition were seen in progression-free survival, distant metastasis-free survival, and locoregional recurrence-free survival. ConclusionsThe updated meta-analysis results suggest that the ICT with CCRT might be associated with significant benefits of survival in overall, progression-free, distant metastasis-free, as well as locoregional recurrence-free dimensions versus CCRT treatment. However, the bias of different kinds, doses, and regimens of chemotherapy agents and radiotherapy should not be ignored.</t>
  </si>
  <si>
    <t>[Meng, Yiyu; Huang, Chao; Huang, Wu] Lishui Peoples Hosp, Dept Otorhinolaryngol, Lishui, Peoples R China; [Huang, Wu] Lishui Peoples Hosp, Dept Otorhinolaryngol, Lishui 323000, Peoples R China</t>
  </si>
  <si>
    <t>Huang, W (corresponding author), Lishui Peoples Hosp, Dept Otorhinolaryngol, Lishui 323000, Peoples R China.</t>
  </si>
  <si>
    <t>hw18957092697@sina.com</t>
  </si>
  <si>
    <t>LiShui People's Hospital [2022GYX29]</t>
  </si>
  <si>
    <t>LiShui People's Hospital</t>
  </si>
  <si>
    <t>LiShui People's Hospital, Grant/Award Number: 2022GYX29</t>
  </si>
  <si>
    <t>2378-8038</t>
  </si>
  <si>
    <t>LARYNGOSCOPE INVEST</t>
  </si>
  <si>
    <t>Laryngoscope Investig. Otol.</t>
  </si>
  <si>
    <t>10.1002/lio2.1133</t>
  </si>
  <si>
    <t>P4UZ7</t>
  </si>
  <si>
    <t>WOS:001050640100001</t>
  </si>
  <si>
    <t>Olmedillas, M; Brawek, B; Li, KZ; Richter, C; Garaschuk, O</t>
  </si>
  <si>
    <t>Olmedillas, Maria; Brawek, Bianca; Li, Kaizhen; Richter, Cris; Garaschuk, Olga</t>
  </si>
  <si>
    <t>Plaque vicinity as a hotspot of microglial turnover in a mouse model of Alzheimer's disease</t>
  </si>
  <si>
    <t>GLIA</t>
  </si>
  <si>
    <t>Alzheimer's disease; amyloid; death; in vivo; microglia; migration; proliferation</t>
  </si>
  <si>
    <t>IN-VIVO; AMYLOID-BETA; REVEALS; BRAIN; CELLS; FATE; ATP; PHENOTYPE; APOPTOSIS; MICE</t>
  </si>
  <si>
    <t>Microglia, the major immune cells of the brain, are functionally heterogeneous but in vivo functional properties of these cells are rarely studied at single-cell resolution. By using microRNA-9 regulated viral vectors for multicolor labeling and longitudinal in vivo monitoring of individual microglia, we followed their fate in the cortex of healthy adult mice and at the onset of amyloidosis in a mouse model of Alzheimer's disease. In wild-type mice, microglia were rather mobile (16% of the cells migrated at least once in 10-20 days) but had a low turnover as documented by low division and death rates. Half of the migratory events were tightly associated with blood vessels. Surprisingly, basic migration properties of microglia (i.e., fraction of migrating cells, saltatory migration pattern, speed of migration, translocation distance, and strong association with blood vessels) were preserved in amyloid-depositing brains, despite amyloid plaques becoming the major destination of migration. Besides, amyloid deposition significantly increased microglial division and death rates. Moreover, the plaque vicinity became a hotspot of microglial turnover, harboring 33% of all migration, 70% of death and 54% of division events.</t>
  </si>
  <si>
    <t>[Olmedillas, Maria; Brawek, Bianca; Li, Kaizhen; Richter, Cris; Garaschuk, Olga] Eberhard Karls Univ Tubingen, Inst Physiol, Dept Neurophysiol, Tubingen, Germany; [Garaschuk, Olga] Univ Tubingen, Inst Physiol, Dept Neurophysiol, Keplerstr 15, D-72074 Tubingen, Germany</t>
  </si>
  <si>
    <t>Eberhard Karls University of Tubingen; Eberhard Karls University of Tubingen</t>
  </si>
  <si>
    <t>Garaschuk, O (corresponding author), Univ Tubingen, Inst Physiol, Dept Neurophysiol, Keplerstr 15, D-72074 Tubingen, Germany.</t>
  </si>
  <si>
    <t>olga.garaschuk@uni-tuebingen.de</t>
  </si>
  <si>
    <t>Alexander von Humboldt-Stiftung [1026649]</t>
  </si>
  <si>
    <t>Alexander von Humboldt-Stiftung(Alexander von Humboldt Foundation)</t>
  </si>
  <si>
    <t>ACKNOWLEDGMENTS We thank E. Zirdum, A. Weible, K. Schoentag, K. Schmidt for the technical assistance. This work was partially supported by Alexander von Humboldt-Stiftung, grant number 1026649 to Olga Garaschuk. Open Access funding enabled and organized by Projekt DEAL.</t>
  </si>
  <si>
    <t>0894-1491</t>
  </si>
  <si>
    <t>1098-1136</t>
  </si>
  <si>
    <t>Glia</t>
  </si>
  <si>
    <t>10.1002/glia.24458</t>
  </si>
  <si>
    <t>Neurosciences</t>
  </si>
  <si>
    <t>P4RM1</t>
  </si>
  <si>
    <t>WOS:001050534500001</t>
  </si>
  <si>
    <t>Parveen, ST; Balamurugan, BJ</t>
  </si>
  <si>
    <t>Parveen, S. Thilsath; Balamurugan, B. J.</t>
  </si>
  <si>
    <t>QSPR analysis through graph models for predicting ADMET properties of antifungal drugs to treat fungal diseases</t>
  </si>
  <si>
    <t>INTERNATIONAL JOURNAL OF QUANTUM CHEMISTRY</t>
  </si>
  <si>
    <t>ADMET property; antifungal drugs; domination; domination number; QSPR analysis</t>
  </si>
  <si>
    <t>TOTAL DOMINATION</t>
  </si>
  <si>
    <t>The chemical structure of a drug is considered as a chemical graph G (sic) (V, E), where the vertex set V is the set of atoms and the edge set E is the set of bonds between the atoms. Fungi-related diseases are becoming a more serious medical problem as a result of changes in the worldwide environment. In this article, the QSPR analysis is performed to predict the ADMET properties of the drugs used to treat fungal infections such as mucormycosis, blastomycosis, invasive candidiasis, talaromycosis, cryptococcus, neoformans, and so forth. The antifungal drugs posaconazole, isavuconazole, and amphotericin B and its analogs are considered to carry out the QSPR analysis. The domination numbers of these drugs are determined to correlate with their ADMET properties through cubic regression and the analysis suggests a high association between the domination numbers of drugs and their ADMET properties. The ADMET properties of the analog structures of the drug amphotericin B are also predicted in this QSPR analysis.</t>
  </si>
  <si>
    <t>[Parveen, S. Thilsath; Balamurugan, B. J.] Vellore Inst Technol, Sch Adv Sci, Div Math, Chennai Campus, Chennai, Tamil Nadu, India</t>
  </si>
  <si>
    <t>Vellore Institute of Technology (VIT); VIT Chennai</t>
  </si>
  <si>
    <t>Balamurugan, BJ (corresponding author), Vellore Inst Technol, Sch Adv Sci, Div Math, Chennai Campus, Chennai, Tamil Nadu, India.</t>
  </si>
  <si>
    <t>balamurugan.bj@vit.ac.in</t>
  </si>
  <si>
    <t>0020-7608</t>
  </si>
  <si>
    <t>1097-461X</t>
  </si>
  <si>
    <t>INT J QUANTUM CHEM</t>
  </si>
  <si>
    <t>Int. J. Quantum Chem.</t>
  </si>
  <si>
    <t>10.1002/qua.27211</t>
  </si>
  <si>
    <t>Chemistry, Physical; Mathematics, Interdisciplinary Applications; Quantum Science &amp; Technology; Physics, Atomic, Molecular &amp; Chemical</t>
  </si>
  <si>
    <t>Chemistry; Mathematics; Physics</t>
  </si>
  <si>
    <t>P5TA5</t>
  </si>
  <si>
    <t>WOS:001051287700001</t>
  </si>
  <si>
    <t>Tanaka, M; Kurose, M; Yano, S; Tanaka, S; Gotoh, N; Nonomura, Y</t>
  </si>
  <si>
    <t>Tanaka, Mayu; Kurose, Mina; Yano, Shigekazu; Tanaka, Seiya; Gotoh, Naohiro; Nonomura, Yoshimune</t>
  </si>
  <si>
    <t>Structure-activity relationship on selective antibacterial activity of nonionic surfactants</t>
  </si>
  <si>
    <t>JOURNAL OF SURFACTANTS AND DETERGENTS</t>
  </si>
  <si>
    <t>application of surfactants; microbiology; nonionic surfactants</t>
  </si>
  <si>
    <t>FATTY-ACIDS; MIXED SYSTEMS; DERIVATIVES; PREDICTION; LUBRICANT; AUREUS; SALTS</t>
  </si>
  <si>
    <t>The antibacterial activity of surfactants is an important factor to consider for improving skin conditions in cosmetic and skin care products. In this study, we evaluated the antibacterial activity of 16 nonionic surfactants containing ethylene oxide, ester, and ether functional groups against Staphylococcus aureus (S. aureus) and Staphylococcus epidermidis (S. epidermidis). 12:0 MG ester and 6-12 diol, which showed antibacterial activity against both Staphylococci, had compact hydrophilic groups with low polarity. In contrast, 12:0 PEG-10 ester and 12:0 Sor ester, which showed antibacterial activity only against S. aureus, had large hydrophilic groups and high polarity. These results suggest that the hydrophilicity and polarity of the surfactant may be involved in its antibacterial behavior against Staphylococci. These findings will be useful in the design of surfactant molecules and in the development of cosmetics and body cleansers that exhibit antibacterial activity only against S. aureus.</t>
  </si>
  <si>
    <t>[Tanaka, Mayu; Kurose, Mina; Yano, Shigekazu; Nonomura, Yoshimune] Yamagata Univ, Dept Appl Chem Chem Engn &amp; Biochem Engn, 4-3-16 Jonan, Yonezawa 9928510, Japan; [Tanaka, Seiya; Gotoh, Naohiro] Tokyo Univ Marine Sci &amp; Technol, Dept Food Sci &amp; Technol, Tokyo, Japan</t>
  </si>
  <si>
    <t>Yamagata University; Tokyo University of Marine Science &amp; Technology</t>
  </si>
  <si>
    <t>Nonomura, Y (corresponding author), Yamagata Univ, Dept Appl Chem Chem Engn &amp; Biochem Engn, 4-3-16 Jonan, Yonezawa 9928510, Japan.</t>
  </si>
  <si>
    <t>nonoy@yz.yamagata-u.ac.jp</t>
  </si>
  <si>
    <t>YU-COE(S) program of Yamagata University</t>
  </si>
  <si>
    <t>This study was partially supported by YU-COE(S) program of Yamagata University.</t>
  </si>
  <si>
    <t>1097-3958</t>
  </si>
  <si>
    <t>1558-9293</t>
  </si>
  <si>
    <t>J SURFACTANTS DETERG</t>
  </si>
  <si>
    <t>J. Surfactants Deterg.</t>
  </si>
  <si>
    <t>10.1002/jsde.12704</t>
  </si>
  <si>
    <t>Chemistry, Applied; Chemistry, Physical; Engineering, Chemical</t>
  </si>
  <si>
    <t>Chemistry; Engineering</t>
  </si>
  <si>
    <t>P4SN9</t>
  </si>
  <si>
    <t>WOS:001050562300001</t>
  </si>
  <si>
    <t>Xu, Y; Shi, FQ; Zhang, YT; Yin, MF; Han, XX; Feng, JY; Wang, GW</t>
  </si>
  <si>
    <t>Xu, Yao; Shi, Fanqi; Zhang, Yanting; Yin, Mengfan; Han, Xiuxin; Feng, Jinyan; Wang, Guowen</t>
  </si>
  <si>
    <t>Twenty-year outcome of prevalence, incidence, mortality and survival rate in patients with malignant bone tumors</t>
  </si>
  <si>
    <t>bone neoplasms; incidence; mortality; prevalence; SEER program; survival rate</t>
  </si>
  <si>
    <t>EWING SARCOMA; OSTEOSARCOMA; CANCER; DIAGNOSIS; CHONDROSARCOMA; EPIDEMIOLOGY; SURVEILLANCE; PATHOLOGY; CHORDOMA; DISEASE</t>
  </si>
  <si>
    <t>Malignant bone tumors are a group of rare malignant tumors and our study aimed to update the recent epidemiologic estimates based on the Surveillance, Epidemiology and End Results database. Patients diagnosed with malignant bone tumors from 2000 to 2019 were included and their characteristics were retrospectively described. The limited-duration prevalence, annual age-adjusted incidence and mortality were calculated, and the annual percentage changes were analyzed to quantify the rate change. Finally, observed survival and relative survival rate were illustrated. Subgroup analysis across tumor type, age, gender, tumor Grade, primary tumor site and stage was also performed. As for results, a total of 11 655 eligible patients with malignant bone tumor were selected. Osteosarcoma was the most common tumor type, followed by chondrosarcoma, Ewing sarcoma and chordoma. The estimated limited-duration prevalence of malignant bone tumors increased from 2000 (0.00069%) to 2018 (0.00749%). Steady age-adjusted incidence was observed in all patients during the study period while the highest rate occurred in osteosarcoma. Mortality rates differed in subgroups while elder patients (older than 64 years) presented the highest mortality rate compared to other age groups. In all bone tumors, the 10-year observed survival and relative survival rates were 58.0% and 61.9%, respectively. Chondrosarcoma patients had the best survival outcome, followed by osteosarcoma, Ewing sarcoma, chordoma and other bone tumors. In conclusion, different epidemiologic performance in incidence and mortality was observed across tumor type as well as other demographic and clinicopathological variables, which provide potential suggestion for further adjustment of medical resource.</t>
  </si>
  <si>
    <t>[Xu, Yao; Shi, Fanqi; Zhang, Yanting; Yin, Mengfan; Han, Xiuxin; Feng, Jinyan; Wang, Guowen] Tianjin Med Univ Canc Inst &amp; Hosp, Natl Clin Res Ctr Canc, Dept Bone &amp; Soft Tissue Tumors, Tianjin, Peoples R China; [Xu, Yao; Shi, Fanqi; Zhang, Yanting; Yin, Mengfan; Han, Xiuxin; Feng, Jinyan; Wang, Guowen] Tianjins Clin Res Ctr Canc, Tianjin, Peoples R China; [Xu, Yao; Shi, Fanqi; Zhang, Yanting; Yin, Mengfan; Han, Xiuxin; Feng, Jinyan; Wang, Guowen] Key Lab Canc Prevent &amp; Therapy, Tianjin, Peoples R China; [Shi, Fanqi] Chengde Med Univ, Dept Spinal Surg, Affiliated Hosp, Chengde, Hebei, Peoples R China; [Yin, Mengfan] Fifth Cent Hosp Tianjin, Dept Orthoped, Tianjin, Peoples R China; [Feng, Jinyan; Wang, Guowen] Tianjin Med Univ Canc Inst &amp; Hosp, Dept Bone &amp; Soft Tissue Tumors, Huanhu Xi Rd, Tianjin 300060, Peoples R China</t>
  </si>
  <si>
    <t>Tianjin Medical University; Chengde Medical University; Tianjin Medical University</t>
  </si>
  <si>
    <t>Feng, JY; Wang, GW (corresponding author), Tianjin Med Univ Canc Inst &amp; Hosp, Dept Bone &amp; Soft Tissue Tumors, Huanhu Xi Rd, Tianjin 300060, Peoples R China.</t>
  </si>
  <si>
    <t>fengjinyan@tjmuch.com; wangguowen@tmu.edu.cn</t>
  </si>
  <si>
    <t>National Natural Science Foundation of China [81872184]; Tianjin Key Medical Discipline (Specialty) Construction Project [TJYXZDXK-009A]</t>
  </si>
  <si>
    <t>National Natural Science Foundation of China(National Natural Science Foundation of China (NSFC)); Tianjin Key Medical Discipline (Specialty) Construction Project</t>
  </si>
  <si>
    <t>National Natural Science Foundation of China, Grant/Award Number: 81872184; Tianjin Key Medical Discipline (Specialty) Construction Project, Grant/Award Number: TJYXZDXK-009A.</t>
  </si>
  <si>
    <t>10.1002/ijc.34694</t>
  </si>
  <si>
    <t>P5SQ1</t>
  </si>
  <si>
    <t>WOS:001051277300001</t>
  </si>
  <si>
    <t>Civas, E; Akpinar, U</t>
  </si>
  <si>
    <t>Civas, Ekrem; Akpinar, Umit</t>
  </si>
  <si>
    <t>Selenium in the supplement as the probable cause of hair loss and nail dystrophy</t>
  </si>
  <si>
    <t>TOXICITY</t>
  </si>
  <si>
    <t>[Civas, Ekrem; Akpinar, Umit] Civas Clin, Ankara, Turkiye</t>
  </si>
  <si>
    <t>Akpinar, U (corresponding author), Civas Clin, Ankara, Turkiye.</t>
  </si>
  <si>
    <t>drumitakpinar@gmail.com</t>
  </si>
  <si>
    <t>Civas, Ekrem/0000-0001-7976-1125; akpinar, umit/0000-0002-5816-760X</t>
  </si>
  <si>
    <t>2023 AUG 18</t>
  </si>
  <si>
    <t>10.1111/jocd.15902</t>
  </si>
  <si>
    <t>P4SE8</t>
  </si>
  <si>
    <t>WOS:001050553200001</t>
  </si>
  <si>
    <t>Corcoran, A; Senthil, K; Stinson, H; Phinizy, PA; Piccione, JC</t>
  </si>
  <si>
    <t>Corcoran, Aoife; Senthil, Kumaran; Stinson, Hannah; Phinizy, Pelton A.; Piccione, Joseph C.</t>
  </si>
  <si>
    <t>Endobronchial valve and fibrin sealant placement for successful control of pulmonary hemorrhage in a pediatric patient</t>
  </si>
  <si>
    <t>endobronchial valve; fibrin sealant; pediatrics; pulmonary hemorrhage; TISSEEL</t>
  </si>
  <si>
    <t>SALVAGE THERAPY; MANAGEMENT</t>
  </si>
  <si>
    <t>[Corcoran, Aoife; Phinizy, Pelton A.; Piccione, Joseph C.] Childrens Hosp Philadelphia, Div Pulm &amp; Sleep Med, Philadelphia, PA 19104 USA; [Senthil, Kumaran] Childrens Hosp Philadelphia, Div Anesthesiol &amp; Crit Care Med, Philadelphia, PA USA; [Stinson, Hannah] Childrens Hosp Philadelphia, Div Crit Care Med, Philadelphia, PA USA</t>
  </si>
  <si>
    <t>University of Pennsylvania; Pennsylvania Medicine; Childrens Hospital of Philadelphia; University of Pennsylvania; Pennsylvania Medicine; Childrens Hospital of Philadelphia; University of Pennsylvania; Pennsylvania Medicine; Childrens Hospital of Philadelphia</t>
  </si>
  <si>
    <t>Corcoran, A (corresponding author), Childrens Hosp Philadelphia, Div Pulm &amp; Sleep Med, Philadelphia, PA 19104 USA.</t>
  </si>
  <si>
    <t>corcorana@chop.edu</t>
  </si>
  <si>
    <t>10.1002/ppul.26639</t>
  </si>
  <si>
    <t>P4RM3</t>
  </si>
  <si>
    <t>WOS:001050534700001</t>
  </si>
  <si>
    <t>Darcy, R; Lewis, C; Fausett, C; Neuville, A; Bennett, T; Jayabalan, P</t>
  </si>
  <si>
    <t>Darcy, Rose; Lewis, Christopher; Fausett, Cameron; Neuville, Alexander; Bennett, Tony; Jayabalan, Prakash</t>
  </si>
  <si>
    <t>Effect of the COVID-19 pandemic on an international sample of golfers with disabilities</t>
  </si>
  <si>
    <t>PM&amp;R</t>
  </si>
  <si>
    <t>BENEFITS; INJURIES; WALKING; HEALTH</t>
  </si>
  <si>
    <t>Introduction: Participation in adaptive sports can mitigate the risk for obesity and social isolation/loneliness in individuals with disabilities (IWDs). The coronavirus disease 2019 (COVID-19) pandemic and related changes in physical activity exacerbated existing barriers to participation in adaptive sports. There is limited literature assessing the potentially disproportionate effect of pandemic-related changes to physical activity in IWDs. Objective: To determine how golf benefits IWDs and understand the effect of changes to golfing habits during the pandemic. Design: A survey was distributed to all registered players (n = 1759) of the European Disabled Golf Association (April 2021). It assessed participants ' demographic information (age, sex, race/ethnicity, nationality, impairment, golf handicap), golf habits before/after the pandemic, and perceived impact of golf and COVID19-related golf restrictions to physical/mental health and quality of life (QoL). Setting: European Disabled Golf Association (EDGA) worldwide database. Patients: Responses were received from 171 IWDs representing 24 countries. Age 18 years or older and registration with EDGA were required for inclusion. Interventions: Survey. Outcomes: Self-reported golfing habits, mental/physical health, and QoL. Results: Mean participant age was 51.4 +/- 12.9 years. Most respondents were amputees (41.5%) or had neurological diagnoses (33.9%). Pre-pandemic, 95% of respondents indicated that golf provided an opportunity to socialize, and most participants reported that golf positively affected physical/mental health and QoL. During the pandemic, more than 20% of participants reported golfing with fewer partners and 24.6% of participants reported playing fewer rounds per month (p &lt;.001 for both); these findings were consistent across geographical region, ethnicity, and type of disability. Most participants (68.4%) perceived that their ability to golf had been impacted by COVID-19 and that these changes negatively affected theirmental/physical health and QoL. Conclusions: Golf benefits the physical/mental health and QoL of IWDs internationally. Changes to golfing habits throughout the COVID-19 pandemic negatively affected these individuals. This highlights the need to create opportunities for physical activity engagement and socialization among adaptive athletes during a global pandemic.</t>
  </si>
  <si>
    <t>[Darcy, Rose; Lewis, Christopher; Fausett, Cameron; Neuville, Alexander; Bennett, Tony; Jayabalan, Prakash] Northwestern Univ, Feinberg Sch Med, Chicago, IL USA; [Darcy, Rose; Lewis, Christopher; Fausett, Cameron; Jayabalan, Prakash] Shirley Ryan AbilityLab, Chicago, IL USA; [Bennett, Tony] Univ Durham, Durham, England; [Jayabalan, Prakash] Shirley Ryan AbilityLab, 355 E Erie St, Chicago, IL 60611 USA</t>
  </si>
  <si>
    <t>Northwestern University; Feinberg School of Medicine; Shirley Ryan AbilityLab; Durham University; Shirley Ryan AbilityLab</t>
  </si>
  <si>
    <t>Jayabalan, P (corresponding author), Shirley Ryan AbilityLab, 355 E Erie St, Chicago, IL 60611 USA.</t>
  </si>
  <si>
    <t>pjayabalan@sralab.org</t>
  </si>
  <si>
    <t>Darcy, Rose/0000-0002-2890-5034; Jayabalan, Prakash/0000-0002-0369-2896</t>
  </si>
  <si>
    <t>National Center for Advancing Translational Sciences [2KL2TR001424-05A1]</t>
  </si>
  <si>
    <t>National Center for Advancing Translational Sciences(United States Department of Health &amp; Human ServicesNational Institutes of Health (NIH) - USANIH National Center for Advancing Translational Sciences (NCATS))</t>
  </si>
  <si>
    <t>National Center for Advancing Translational Sciences, Grant/Award Number:2KL2TR001424-05A1</t>
  </si>
  <si>
    <t>1934-1482</t>
  </si>
  <si>
    <t>1934-1563</t>
  </si>
  <si>
    <t>10.1002/pmrj.13037</t>
  </si>
  <si>
    <t>Rehabilitation; Sport Sciences</t>
  </si>
  <si>
    <t>P4SC8</t>
  </si>
  <si>
    <t>WOS:001050551200001</t>
  </si>
  <si>
    <t>Fu, J; Zhang, L; Liu, JY; Zhang, GH; Wang, SL; Zhu, QH; Qin, S; He, L; Tao, GH</t>
  </si>
  <si>
    <t>Fu, Jie; Zhang, Lei; Liu, Jia-Ying; Zhang, Guo-Hao; Wang, Shuang-Long; Zhu, Qiu-Hong; Qin, Song; He, Ling; Tao, Guo-Hong</t>
  </si>
  <si>
    <t>A Spot Ionogel for Visual Early-Warning of Illegal Lead Concentrations Coupling Inorganic Perovskite Crystallization and Photoluminescence</t>
  </si>
  <si>
    <t>frugal science; ionic liquids; lead detection; on-site; perovskite fluorescence</t>
  </si>
  <si>
    <t>NANOCRYSTALS; CSPBX3</t>
  </si>
  <si>
    <t>Lead halide perovskite solar cells still have potential lead leakage under the influence of natural forces, which has attracted widespread attention. In future large-scale applications, it is necessary to monitor and control the concentration of lead in the environment according to local laws and regulations. In this work, the coupling strategy of inorganic perovskite crystallization and photoluminescence is proposed for the first time to achieve the detection of lead in the environment. An easy-to-use, low-cost, and portable PVA/C(6)mimBr/CsBr ionogel (PCCI) device is prepared through solution process for on-site detection of Pb(II). The limit detection of PCCI is 236 mg kg(-1), which is close to and lower than the statutory standard of 250 mg kg(-1) in China's agricultural regulations, and is expected to achieve on-site early-warning. This work may promote the development of environmental early-warning devices in line with laws and regulations.</t>
  </si>
  <si>
    <t>[Fu, Jie; Zhang, Lei; Liu, Jia-Ying; Zhang, Guo-Hao; Wang, Shuang-Long; Zhu, Qiu-Hong; Qin, Song; He, Ling; Tao, Guo-Hong] Sichuan Univ, Coll Chem, Chengdu 610064, Peoples R China</t>
  </si>
  <si>
    <t>He, L; Tao, GH (corresponding author), Sichuan Univ, Coll Chem, Chengdu 610064, Peoples R China.</t>
  </si>
  <si>
    <t>lhe@scu.edu.cn; taogh@scu.edu.cn</t>
  </si>
  <si>
    <t>Tao, Guo-Hong/0000-0002-1152-7460</t>
  </si>
  <si>
    <t>Fundamental Research Funds for the Central Universities [20826041D4117]</t>
  </si>
  <si>
    <t>Fundamental Research Funds for the Central Universities(Fundamental Research Funds for the Central Universities)</t>
  </si>
  <si>
    <t>Acknowledgements The financial support of the Fundamental Research Funds for the Central Universities (20826041D4117) were gratefully acknowledged. The authors also thank the Comprehensive Training Platform of Specialized Laboratory, College of Chemistry, Sichuan University, and the Analytical &amp; Testing Center of Sichuan University for instrumental measurements.</t>
  </si>
  <si>
    <t>10.1002/adom.202300617</t>
  </si>
  <si>
    <t>P3MO3</t>
  </si>
  <si>
    <t>WOS:001049718700001</t>
  </si>
  <si>
    <t>Funder, JW</t>
  </si>
  <si>
    <t>Funder, John W.</t>
  </si>
  <si>
    <t>Recognising primary aldosteronism as a disorder in its own right</t>
  </si>
  <si>
    <t>MEDICAL JOURNAL OF AUSTRALIA</t>
  </si>
  <si>
    <t>Endocrinology; Hormones</t>
  </si>
  <si>
    <t>DIAGNOSIS</t>
  </si>
  <si>
    <t>[Funder, John W.] Hudson Inst Med Res, Ctr Endocrinol &amp; Metab, Melbourne, Vic, Australia</t>
  </si>
  <si>
    <t>Hudson Institute of Medical Research</t>
  </si>
  <si>
    <t>Funder, JW (corresponding author), Hudson Inst Med Res, Ctr Endocrinol &amp; Metab, Melbourne, Vic, Australia.</t>
  </si>
  <si>
    <t>john.funder@hudson.org.au</t>
  </si>
  <si>
    <t>0025-729X</t>
  </si>
  <si>
    <t>1326-5377</t>
  </si>
  <si>
    <t>MED J AUSTRALIA</t>
  </si>
  <si>
    <t>Med. J. Aust.</t>
  </si>
  <si>
    <t>SEP 18</t>
  </si>
  <si>
    <t>10.5694/mja2.52082</t>
  </si>
  <si>
    <t>S1UO5</t>
  </si>
  <si>
    <t>WOS:001050465000001</t>
  </si>
  <si>
    <t>Jiang, LL; Bi, SH; Lin, L; He, F; Deng, F</t>
  </si>
  <si>
    <t>Jiang, Liangliang; Bi, Shaohua; Lin, Li; He, Fan; Deng, Fang</t>
  </si>
  <si>
    <t>Phenotypic and genetic characteristics of 24 cases of early infantile epileptic encephalopathy in East China, including a rare case of biallelic UGDH mutations</t>
  </si>
  <si>
    <t>early infantile epileptic encephalopathy; next-generation sequencing; SCN1A; UGDH</t>
  </si>
  <si>
    <t>UDP-GLUCOSE DEHYDROGENASE; VARIANTS; ISOFORM</t>
  </si>
  <si>
    <t>BackgroundEarly infantile epileptic encephalopathy (EIEE) is a group of highly heterogeneous diseases, both phenotypically and genetically. Usually, it starts early on and manifests as intractable epilepsy, abnormal electroencephalogram, and growth retardation/intellectual impairment. With the advent of next-generation sequencing (NGS), its genetic etiology has attracted increasing clinical attention. This study aimed to investigate the genetic characteristics and clinical phenotypes of patients with EIEE from a central hospital in Eastern China. MethodsThis study retrospectively included the gene variants from 24 EIEE-positive patients admitted between January 2021 and January 2022 to a hospital in Anhui Province, China. The genetic diagnosis was performed in all cases by trio-based whole-exome sequencing (WES). Additionally, Video electroencephalogram (VEEG) and neuroimaging examinations were performed. ResultsA total of 24 children were included. The average age at the first seizure was approximately 5 months. About 42% of children had developmental retardation of varying degrees, 43% had brain structural abnormalities, and 64% had VEEG abnormalities. In addition, other phenotypes, including endocrine metabolism and cardiac structural abnormalities, have been independently reported. In total, fifteen pathogenic gene variants were identified in 24 patients. The main pathogenic genes identified were SCN1A (25%, 6/24), KCNQ2 (8.3%, 2/24), and TBC1D24 (8.3%, 2/24). We also found an extremely rare case of EIEE84 type caused by biallelic UGDH gene variants, predicting that this variant might affect the stability of the protein structure. ConclusionsSCN1A pathogenic variants are the main factor leading to EIEE, similar to previously published cohort reports. NGS is useful for accurate clinical diagnoses and precise treatment choices. We also reported a rare case of EIEE84 caused by variants in the UGDH gene in a Chinese patient. This study further enriches the known spectrum of pathogenic EIEE genes.</t>
  </si>
  <si>
    <t>[Jiang, Liangliang; Lin, Li; He, Fan] Anhui Med Univ, Childrens Hosp, Anhui Prov Childrens Hosp, Dept Neurol, Hefei, Peoples R China; [Bi, Shaohua] Anhui Med Univ, Childrens Hosp, Anhui Prov Childrens Hosp, Dept Neonatol, Hefei, Peoples R China; [Deng, Fang] Anhui Med Univ, Childrens Hosp, Anhui Prov Childrens Hosp, Dept Nephrol, Wangjiang Rd &amp; 39, Hefei 230022, Anhui, Peoples R China</t>
  </si>
  <si>
    <t>Anhui Medical University; Anhui Medical University; Anhui Medical University</t>
  </si>
  <si>
    <t>Deng, F (corresponding author), Anhui Med Univ, Childrens Hosp, Anhui Prov Childrens Hosp, Dept Nephrol, Wangjiang Rd &amp; 39, Hefei 230022, Anhui, Peoples R China.</t>
  </si>
  <si>
    <t>apchdengfang@163.com</t>
  </si>
  <si>
    <t>10.1002/mgg3.2269</t>
  </si>
  <si>
    <t>P3FB7</t>
  </si>
  <si>
    <t>WOS:001049521900001</t>
  </si>
  <si>
    <t>Kishik, S; Pors, JG</t>
  </si>
  <si>
    <t>Kishik, Sharon; Pors, Justine Gronbaek</t>
  </si>
  <si>
    <t>It hits me in the weirdest moments: How future female workers experience loss in times of planetary crisis</t>
  </si>
  <si>
    <t>ethics; future female workers; loss; planetary crisis; resistance; subjectivity; vulnerability</t>
  </si>
  <si>
    <t>PSYCHIC LIFE; RESISTANCE; GENDER</t>
  </si>
  <si>
    <t>This paper explores how looming planetary crises become present in the lived experiences of future female workers, and how such experiences condition performances of viable subjectivity. Drawing on interview data from a longitudinal study of young women's education and career aspirations, the paper zooms in on moments where concerns about planetary crises were felt in informants' everyday lives. We augment Judith Butler's writings on loss with Karen Barad's concept of intra-action to theorize these moments as experiences of loss in which constitutive dependencies and entanglements-otherwise repressed and invisible-touch young women's lives. Against this theoretical backdrop, we trace how such experiences interrupt performances of neoliberal work subjectivity and thereby create a potential for alternative agencies grounded in an ethics of entanglement. The paper thus contributes new insights into young women's complex performances of viable work subjectivity, showing how more sustainable and collective ways of performing the self emerge. As such, we offer researchers and professionals working with and around young women a nuanced understanding of how young women contest and exceed notions of neoliberal individualism.</t>
  </si>
  <si>
    <t>[Kishik, Sharon; Pors, Justine Gronbaek] Copenhagen Business Sch, Dept Business Humanities &amp; Law, Porcelaenshaven 18B, DK-2000 Frederiksberg, Denmark</t>
  </si>
  <si>
    <t>Copenhagen Business School</t>
  </si>
  <si>
    <t>Kishik, S (corresponding author), Copenhagen Business Sch, Dept Business Humanities &amp; Law, Porcelaenshaven 18B, DK-2000 Frederiksberg, Denmark.</t>
  </si>
  <si>
    <t>sk.bhl@cbs.dk</t>
  </si>
  <si>
    <t>Pors, Justine Gronbaek/0000-0001-7063-0786</t>
  </si>
  <si>
    <t>Independent Research Fund Denmark [8091-00051B]</t>
  </si>
  <si>
    <t>Independent Research Fund Denmark(Det Frie Forskningsrad (DFF))</t>
  </si>
  <si>
    <t>ACKNOWLEDGMENTS The authors wish to thank the members of the Gendered Formations of Educational Interests and Aspirations research group, Jette Sandager, Mie Plotnikof, Anja Pors, Signe Ravn, and Dorthe Staunaes for their brilliant remarks and generous comments to earlier versions of this paper. We also wish to extend our gratitude to the editors and the three anonymous reviewers for their insightful, caring, and helpful comments. This work was supported by the Independent Research Fund Denmark (Grant number 8091-00051B).</t>
  </si>
  <si>
    <t>10.1111/gwao.13041</t>
  </si>
  <si>
    <t>P3IB4</t>
  </si>
  <si>
    <t>WOS:001049600100001</t>
  </si>
  <si>
    <t>Lee, KK; Shahin, S</t>
  </si>
  <si>
    <t>Lee, Kyungsun Karen; Shahin, Saif</t>
  </si>
  <si>
    <t>Reciprocity and asymmetry in digital diplomacy: Geopolitics of national identity in South Korea-Japan and South Korea-US relations</t>
  </si>
  <si>
    <t>POLICY AND INTERNET</t>
  </si>
  <si>
    <t>digital diplomacy; Japan; national identity; South Korea; Twitter; United States</t>
  </si>
  <si>
    <t>PUBLIC DIPLOMACY; WORLD; POWER</t>
  </si>
  <si>
    <t>An emerging line of research has drawn attention to the significance of national identity in shaping digital diplomatic practices. In this study, we look at the reciprocal construction of national identity on Twitter by corresponding foreign missions. Specifically, we examine one year of Twitter posts from the South Korean missions in Japan and the United States as well as the reciprocal missions of Japan and the United States in South Korea. Our study indicates that tweets from the Korea-US dyad reproduce the two nations as allies, even as the United States is constructed as the big brother to Korea's little brother, while the Korea-Japan dyad enacts and reinforces an adversarial relationship. Tweets from all four embassies reflect deep-rooted national aspirations: Japan's hope to be accepted as morally superior to Korea, the US interest in maintaining its position as a global leader, and Korea's desire for international ascendance through economic and cultural export. We find that reciprocal identity construction is most evident in the text of the tweets but not so much in the use of Twitter's visual and interactional features. Going beyond reciprocity, our analysis sheds light on to how tweeting practices reproduce asymmetries of power in the international order.</t>
  </si>
  <si>
    <t>[Lee, Kyungsun Karen] Zayed Univ, Coll Commun &amp; Media Sci, Dubai, U Arab Emirates; [Shahin, Saif] Tilburg Univ, Dept Culture Studies, Tilburg, Netherlands</t>
  </si>
  <si>
    <t>Zayed University; Tilburg University</t>
  </si>
  <si>
    <t>Lee, KK (corresponding author), Zayed Univ, Coll Commun &amp; Media Sci, Dubai, U Arab Emirates.</t>
  </si>
  <si>
    <t>kyungsun.lee@zu.ac.ae</t>
  </si>
  <si>
    <t>Lee, Kyungsun Karen/JAX-9113-2023</t>
  </si>
  <si>
    <t>Lee, Kyungsun Karen/0000-0001-6624-5017</t>
  </si>
  <si>
    <t>Zayed University Office of Research Start-Up Grant [R21001]</t>
  </si>
  <si>
    <t>Zayed University Office of Research Start-Up Grant</t>
  </si>
  <si>
    <t>Zayed University Office of Research Start-Up Grant, Grant/Award Number: R21001</t>
  </si>
  <si>
    <t>1944-2866</t>
  </si>
  <si>
    <t>POLICY INTERNET</t>
  </si>
  <si>
    <t>Policy Internet</t>
  </si>
  <si>
    <t>10.1002/poi3.355</t>
  </si>
  <si>
    <t>Communication; Political Science</t>
  </si>
  <si>
    <t>Communication; Government &amp; Law</t>
  </si>
  <si>
    <t>Q9FK4</t>
  </si>
  <si>
    <t>WOS:001051037300001</t>
  </si>
  <si>
    <t>Leer, J; Boo, FL; Norman, S</t>
  </si>
  <si>
    <t>Leer, Jane; Boo, Florencia Lopez; Norman, Savannah</t>
  </si>
  <si>
    <t>Supporting child and family resilience in the face of political violence: Evidence from a home visit parenting program</t>
  </si>
  <si>
    <t>CHILD DEVELOPMENT</t>
  </si>
  <si>
    <t>DIFFICULTIES QUESTIONNAIRE; ADJUSTMENT; EXPOSURE; CRIME; PERSPECTIVES; STRENGTHS; STRESS</t>
  </si>
  <si>
    <t>Political violence affects more than 25% of children globally, yet little is known about how to support positive adaptation among conflict-affected children. Using a sample of 3797 Nicaraguan child-caregiver dyads (M-AgeTime1 = 1.5 years, M-AgeTime2 = 5.9 years; 51% male), this registered report used a novel quasi-experimental approach to examine how exposure to political violence relates to child and caregiver outcomes, and to test three policy-relevant moderators: participation in a large-scale home visit parenting program, household economic disruption, and media exposure. Results revealed positive associations between political violence and harsh discipline practices (0.33 SD), but there was no evidence that political violence affected children's behavior, caregiver depressive symptoms, or responsive parenting practices, and there was no evidence of moderation.</t>
  </si>
  <si>
    <t>[Leer, Jane; Norman, Savannah] Duke Univ, Sanford Sch Publ Policy, Durham, NC USA; [Leer, Jane] Duke Univ, Dept Psychol &amp; Neurosci, Durham, NC USA; [Leer, Jane] Boston Coll, Lynch Sch Educ &amp; Human Dev, Chestnut Hill, MA USA; [Boo, Florencia Lopez] Interamer Dev Bank, Washington, DC USA; [Leer, Jane] Lynch Sch Educ &amp; Human Dev, 140 Commonwealth Ave, Chestnut Hill, MA 02467 USA</t>
  </si>
  <si>
    <t>Duke University; Duke University; Boston College; Inter-American Development Bank</t>
  </si>
  <si>
    <t>Leer, J (corresponding author), Lynch Sch Educ &amp; Human Dev, 140 Commonwealth Ave, Chestnut Hill, MA 02467 USA.</t>
  </si>
  <si>
    <t>leerja@bc.edu</t>
  </si>
  <si>
    <t>Leer, Jane/0000-0002-7594-217X</t>
  </si>
  <si>
    <t>0009-3920</t>
  </si>
  <si>
    <t>1467-8624</t>
  </si>
  <si>
    <t>CHILD DEV</t>
  </si>
  <si>
    <t>Child Dev.</t>
  </si>
  <si>
    <t>10.1111/cdev.13991</t>
  </si>
  <si>
    <t>Psychology, Educational; Psychology, Developmental</t>
  </si>
  <si>
    <t>R0RQ8</t>
  </si>
  <si>
    <t>WOS:001050480200001</t>
  </si>
  <si>
    <t>Liu, HK; Guan, WK; Zhao, CY; Ni, ZJ; Jin, CY; Zhao, H; Zhao, LM</t>
  </si>
  <si>
    <t>Liu, Hongkun; Guan, Wenke; Zhao, Changyong; Ni, Zejuan; Jin, Chuanyu; Zhao, Hui; Zhao, Limin</t>
  </si>
  <si>
    <t>Construction of Triphenylamine-based Two-dimensional Covalent Organic Frameworks for High-performance Capacitive Energy Storage and Exploration of Redox Units</t>
  </si>
  <si>
    <t>Covalent organic frameworks (COFs); DFT calculation; Electrochemical properties; Schiff base reaction; Supercapacitors</t>
  </si>
  <si>
    <t>Covalent organic frameworks (COFs) have received more interest as energy storage devices for their unique topological structure and excellent electrochemical performance. However, the confirmation of active center and the mechanism of charge storage in COFs supercapacitors is still a significant challenge. Here, a series of Tp-based COFs with different link units have been obtained through Schiff base reaction. All the synthesized COFs exhibited high crystallinity and excellent thermal stability. Based on similar structure, electrochemical analysis and DFT calculation was used to identify the redox active sites. Because of their conjugated structures containing redox-active triphenylamine groups, the obtained a-COFs exhibited specific capacitance of 115 F center dot g(-1) in 1 M H2SO4 at 0.1 A center dot g(-1) and retained 70% capacitive after 1000 cycles. Our findings provide a new routine for designing new COFs electrode materials.</t>
  </si>
  <si>
    <t>[Liu, Hongkun; Guan, Wenke; Zhao, Changyong; Ni, Zejuan; Jin, Chuanyu; Zhao, Hui; Zhao, Limin] Liaocheng Univ, Sch Mat Sci &amp; Engn, Liaocheng 252059, Peoples R China</t>
  </si>
  <si>
    <t>Liaocheng University</t>
  </si>
  <si>
    <t>Zhao, LM (corresponding author), Liaocheng Univ, Sch Mat Sci &amp; Engn, Liaocheng 252059, Peoples R China.</t>
  </si>
  <si>
    <t>zhaolimin@lcu.edu.cn</t>
  </si>
  <si>
    <t>National Natural Science Foundation of China [51904148]; Natural Science Foundation of Shandong Province (CN) [ZR2022MB128]; Innovation and Entrepreneurship Training Program for students of Liaocheng University [CXCY2021032]</t>
  </si>
  <si>
    <t>National Natural Science Foundation of China(National Natural Science Foundation of China (NSFC)); Natural Science Foundation of Shandong Province (CN)(Natural Science Foundation of Shandong Province); Innovation and Entrepreneurship Training Program for students of Liaocheng University</t>
  </si>
  <si>
    <t>Acknowledgments This work was supported by the National Natural Science Foundation of China (51904148), the Natural Science Foundation of Shandong Province (CN) (Grant No. ZR2022MB128) and Innovation and Entrepreneurship Training Program for students of Liaocheng University (CXCY2021032).</t>
  </si>
  <si>
    <t>AUG 18</t>
  </si>
  <si>
    <t>e202301774</t>
  </si>
  <si>
    <t>10.1002/slct.202301774</t>
  </si>
  <si>
    <t>P0QM1</t>
  </si>
  <si>
    <t>WOS:001047772000001</t>
  </si>
  <si>
    <t>Morisky, DE; Ang, A; Krousel-Wood, M; Ward, HJ</t>
  </si>
  <si>
    <t>Morisky, D. E.; Ang, A.; Krousel-Wood, M.; Ward, H. J.</t>
  </si>
  <si>
    <t>RETRACTION: Predictive validity of a medication adherence measure in an outpatient setting (vol 10, pg 348, 2008) (Retraction of Vol 10, Pg 348, 2008)</t>
  </si>
  <si>
    <t>JOURNAL OF CLINICAL HYPERTENSION</t>
  </si>
  <si>
    <t>Retraction; Early Access</t>
  </si>
  <si>
    <t>Morisky, D.E., Ang, A., Krousel-Wood, M. and Ward, H.J. (2008), Predictive Validity of a Medication Adherence Measure in an Outpatient Setting. The Journal of Clinical Hypertension, 10: 348-354. . The above article, published online on May 02, 2008 on Wiley Online Library (wileyonlinelibrary.com), has been retracted by agreement between the journal's Editor-in-Chief, Dr. Ji-Guang Wang, and Wiley Periodicals LLC. Following publication, concerns were raised by a third party regarding the statistical analysis presented in the article. The Journal conducted an independent statistical review of the article and concluded that the results were misleading due to issues regarding the sensitivity and specificity of the medical adherence scale used. The authors responded to the Journal's request to address the findings of the independent statistical review, but were unable to adequately address the concerns. As a result, the Journal no longer has confidence in the reported conclusions and is issuing this retraction.</t>
  </si>
  <si>
    <t>1524-6175</t>
  </si>
  <si>
    <t>1751-7176</t>
  </si>
  <si>
    <t>J CLIN HYPERTENS</t>
  </si>
  <si>
    <t>J. Clin. Hypertens.</t>
  </si>
  <si>
    <t>10.1111/jch.14718</t>
  </si>
  <si>
    <t>Peripheral Vascular Disease</t>
  </si>
  <si>
    <t>P4QX6</t>
  </si>
  <si>
    <t>WOS:001050520000001</t>
  </si>
  <si>
    <t>Pan, X</t>
  </si>
  <si>
    <t>Pan, X.</t>
  </si>
  <si>
    <t>Fast estimation of direction of arrival based on sparse Bayesian learning for towed array sonar during manoeuvring (vol 17, pg 1079, 2023)</t>
  </si>
  <si>
    <t>IET RADAR SONAR AND NAVIGATION</t>
  </si>
  <si>
    <t>Correction; Early Access</t>
  </si>
  <si>
    <t>1751-8784</t>
  </si>
  <si>
    <t>1751-8792</t>
  </si>
  <si>
    <t>IET RADAR SONAR NAV</t>
  </si>
  <si>
    <t>IET Radar Sonar Navig.</t>
  </si>
  <si>
    <t>10.1049/rsn2.12450</t>
  </si>
  <si>
    <t>P5FR0</t>
  </si>
  <si>
    <t>WOS:001050936200001</t>
  </si>
  <si>
    <t>Rost, M; Stuerner, Z; Niles, P; Arnold, L</t>
  </si>
  <si>
    <t>Rost, Michael; Stuerner, Zelda; Niles, Paulomi; Arnold, Louisa</t>
  </si>
  <si>
    <t>Between a lot of room for it and it doesn't exist-Advancing and limiting factors of autonomy in birth as perceived by perinatal care practitioners: An interview study in Switzerland</t>
  </si>
  <si>
    <t>BIRTH-ISSUES IN PERINATAL CARE</t>
  </si>
  <si>
    <t>autonomy; birth; decision-making; reflexive thematic analysis</t>
  </si>
  <si>
    <t>CHILDBIRTH; WOMEN</t>
  </si>
  <si>
    <t>BackgroundNumerous studies show that negative birth experiences are often related to birthing people's loss of autonomy. We argue that a fetal-focused decision-making framework and a maternal-fetal conflict lens are often applied, creating a false dichotomy between autonomy and fetal beneficence. Given the high prevalence of autonomy-depriving decision-making, it is important to understand how autonomy can be enhanced. MethodsWe interviewed 15 Swiss perinatal care practitioners (eight midwives, five physicians, and two doulas) and employed reflexive thematic analysis. We offer a reflection on underlying assumptions and researcher positionality. ResultsWe generated two descriptive themes: advancing and limiting factors of autonomy. Numerous subthemes, grouped at the levels of companion, birthing person, practitioners, birthing person-practitioner relationship, and structural determinants are also defined. The most salient advancing factors were practitioners' approaches to decision-making, antenatal contacts, and structural determinants. The most salient limiting factors were various barriers within birthing people (e.g., expertise, decisional capacity, and awareness of own rights), practitioners' attitudes and behavior, and structural determinants. DiscussionThe actualization of autonomy is multifactorially determined and must be understood against the background of power structures both underlying and inherent to decision-making in birth. Practitioners attributed a significant proportion of limited autonomy to birthing people themselves. This reinforces a mother-blame narrative that absolves obstetrics of primary responsibility. Practitioners' recognition of their contributions to upholding limits on autonomy should be leveraged to implement training towards rights-based practice standards. Most importantly, autonomy can only fully materialize if the underlying sociocultural, political, and medical contexts undergo a fundamental change.</t>
  </si>
  <si>
    <t>[Rost, Michael; Stuerner, Zelda] Univ Basel, Inst Biomed Ethics, Basel, Switzerland; [Niles, Paulomi] NYU, Rory Meyers Coll Nursing, New York, NY USA; [Arnold, Louisa] Friedrich Schiller Univ Jena, Inst Psychol, Jena, Germany; [Rost, Michael] Univ Basel, Inst Biomed Ethics, Bernoullistr 28, CH-4056 Basel, Switzerland</t>
  </si>
  <si>
    <t>University of Basel; New York University; Friedrich Schiller University of Jena; University of Basel</t>
  </si>
  <si>
    <t>Rost, M (corresponding author), Univ Basel, Inst Biomed Ethics, Bernoullistr 28, CH-4056 Basel, Switzerland.</t>
  </si>
  <si>
    <t>michael.rost@unibas.ch</t>
  </si>
  <si>
    <t>Niles, Paulomi/0000-0001-5231-3760; Arnold, Louisa/0000-0002-0508-9070</t>
  </si>
  <si>
    <t>0730-7659</t>
  </si>
  <si>
    <t>1523-536X</t>
  </si>
  <si>
    <t>BIRTH-ISS PERINAT C</t>
  </si>
  <si>
    <t>Birth-Issue Perinat. Care</t>
  </si>
  <si>
    <t>10.1111/birt.12757</t>
  </si>
  <si>
    <t>Nursing; Obstetrics &amp; Gynecology; Pediatrics</t>
  </si>
  <si>
    <t>P3CN4</t>
  </si>
  <si>
    <t>WOS:001049454900001</t>
  </si>
  <si>
    <t>Tverdek, F; Escobar, ZK; Liu, CTRE; Jain, R; Lindsay, J</t>
  </si>
  <si>
    <t>Tverdek, Frank; Escobar, Zahra Kassamali; Liu, Catherine; Jain, Rupali; Lindsay, Julian</t>
  </si>
  <si>
    <t>Antimicrobials in patients with hematologic malignancies and recipients of hematopoietic cell transplantation and other cellular therapies</t>
  </si>
  <si>
    <t>antimicrobials; chimeric antigen receptor T cell (CAR-T); hematopoietic cell transplantation (HCT)</t>
  </si>
  <si>
    <t>INFECTIOUS-DISEASES SOCIETY; CLINICAL-PRACTICE GUIDELINE; LIPOSOMAL AMPHOTERICIN-B; ACUTE KIDNEY INJURY; CYTOMEGALOVIRUS-INFECTION; FLUOROQUINOLONE PROPHYLAXIS; GANCICLOVIR PROPHYLAXIS; INVASIVE ASPERGILLOSIS; ANTIFUNGAL PROPHYLAXIS; CONSENSUS GUIDELINES</t>
  </si>
  <si>
    <t>Background: Appropriate use of antimicrobials for hematologic malignancy, hematopoietic stem cell transplant recipients, and other cellular therapies is vital, with infection causing significant morbidity and mortality in this unique population of immunocompromised hosts. However, often in this population the choice and management of antimicrobial therapy is complex. When selecting an antimicrobial agent, key considerations include the need for dose adjustments due to renal or hepatic impairment, managing drug interactions, the potential for additive drug toxicity among those receiving polypharmacy and therapeutic drug monitoring. Other factors include leveraging pharmacodynamic principles to enable optimization of directed therapy against challenging pathogens, as well as judicious use of antimicrobials to limit drug resistance and adverse drug reactions.This review summarizes the clinical considerations for commonly used antimicrobials in this setting, including antibacterial, antiviral, and antifungal agents.</t>
  </si>
  <si>
    <t>[Tverdek, Frank; Escobar, Zahra Kassamali; Liu, Catherine; Lindsay, Julian] Fred Hutchinson Canc Ctr, Vaccine &amp; Infect Dis Div, 1100 Fairview Ave N, Seattle, WA 98109 USA; [Tverdek, Frank; Escobar, Zahra Kassamali; Jain, Rupali] Univ Washington Med, Dept Pharm, Seattle, WA USA; [Tverdek, Frank; Escobar, Zahra Kassamali; Jain, Rupali] Univ Washington, Sch Pharm, Seattle, WA USA; [Liu, Catherine; Jain, Rupali] Univ Washington, Div Allergy &amp; Infect Dis, Seattle, WA USA; [Lindsay, Julian] Peter MacCallum Canc Ctr, Natl Ctr Infect Canc &amp; Transplantat NCICT, Melbourne, Vic, Australia</t>
  </si>
  <si>
    <t>Fred Hutchinson Cancer Center; University of Washington; University of Washington Seattle; University of Washington; University of Washington Seattle; University of Washington; University of Washington Seattle; Peter Maccallum Cancer Center</t>
  </si>
  <si>
    <t>Lindsay, J (corresponding author), Fred Hutchinson Canc Ctr, Vaccine &amp; Infect Dis Div, 1100 Fairview Ave N, Seattle, WA 98109 USA.</t>
  </si>
  <si>
    <t>jlindsay@fredhutch.org</t>
  </si>
  <si>
    <t>Tverdek, Frank/0000-0001-7510-5470; Jain, Rupali/0000-0001-5553-6775</t>
  </si>
  <si>
    <t>10.1111/tid.14129</t>
  </si>
  <si>
    <t>P4SJ3</t>
  </si>
  <si>
    <t>WOS:001050557700001</t>
  </si>
  <si>
    <t>Wang, S; Zheng, YS</t>
  </si>
  <si>
    <t>Wang, Sha; Zheng, Yuanshui</t>
  </si>
  <si>
    <t>Evaluation and improvement of angular response for a commercial 2D detector array for patient-specific QA</t>
  </si>
  <si>
    <t>angular response; composite dose verification; IMRT; MatriXX; quality assurance (QA); VMAT</t>
  </si>
  <si>
    <t>PIXEL IONIZATION-CHAMBER; QUALITY-ASSURANCE; IMRT; VERIFICATION; MATRIXX</t>
  </si>
  <si>
    <t>PurposeMatriXX ionization chamber array has been widely used for the composite dose verification of IMRT/VMAT plans. However, in addition to its dose response dependence on gantry angle, there seems to be an offset between the beam axis and measured dose profile by MatriXX for oblique beam incidence at various gantry angles, leading to unnecessary quality assurance (QA) fails. In this study, we investigated the offset at various setup conditions and how to eliminate or decrease it to improve the accuracy of MatriXX for IMRT/VMAT plan verification with original gantry angles. MethodsWe measured profiles for a narrow beam with MatriXX located at various depths in increments of 0.5 mm from the top to bottom of the sensitive volume of the array detectors and gantry angles from 0 &amp; DEG; to 360 &amp; DEG;. The optimal depth for QA measurement was determined at the depth where the measured profile had minimum offset. ResultsThe measured beam profile offset varies with incident gantry angle, increasing from vertical direction to lateral direction, and could be over 3 cm at vendor-recommended depth for near lateral direction beams. The offset also varies with depth, and the minimum offset (almost 0 for most oblique beams) was found to be at a depth of &amp; SIM;2.5 mm below the vendor suggested depth, which was chosen as the optimal depth for all QA measurements. Using the optimal depth we determined, QA results (3%/2 mm Gamma analysis) were largely improved with an average of 99.4% gamma passing rate (no fails for 95% criteria) for 10 IMRT and VMAT plans with original gantry angles compared to 94.1% using the vendor recommended depth. ConclusionsThe improved accuracy and passing rate for QA measurement performed at the optimal depth with original gantry angles would lead to reduction in unnecessary repeated QA or plan changes due to QA system errors.</t>
  </si>
  <si>
    <t>[Wang, Sha; Zheng, Yuanshui] Sino Singapore Guangzhou Knowledge City, Guangzhou Concord Canc Ctr, Guangzhou, Peoples R China; [Zheng, Yuanshui] Sino Singapore Guangzhou Knowledge City, Guangzhou Concord Canc Ctr, 9 Ciji Rd, Guangzhou 510555, Peoples R China</t>
  </si>
  <si>
    <t>Zheng, YS (corresponding author), Sino Singapore Guangzhou Knowledge City, Guangzhou Concord Canc Ctr, 9 Ciji Rd, Guangzhou 510555, Peoples R China.</t>
  </si>
  <si>
    <t>yuanshuizheng@yahoo.com</t>
  </si>
  <si>
    <t>10.1002/acm2.14106</t>
  </si>
  <si>
    <t>R1OX2</t>
  </si>
  <si>
    <t>WOS:001049516300001</t>
  </si>
  <si>
    <t>Wei, YL; Yang, W; Guo, H</t>
  </si>
  <si>
    <t>Wei, Yuli; Yang, Wu; Guo, Hao</t>
  </si>
  <si>
    <t>Functional COFs for Electrochemical Sensing: From Design Principles to Analytical Applications</t>
  </si>
  <si>
    <t>conductivity; covalent organic frameworks; electrochemical sensing; functionalization; selectivity</t>
  </si>
  <si>
    <t>COVALENT-ORGANIC FRAMEWORK; SENSITIVE DETECTION; ULTRASENSITIVE DETECTION; GOLD NANOPARTICLES; CANCER-DIAGNOSIS; THIN-FILMS; CO2 ADSORPTION; FEW-LAYER; NANOSHEETS; ELECTROCHEMILUMINESCENCE</t>
  </si>
  <si>
    <t>At present, applications of covalent organic frameworks (COFs), a class of novel crystalline porous materials fabricated by organic structural blocks only containing light elements such as C, H, N, O and B through strong covalent bonds, in electrochemical sensing have entered a period of rapid development and showed great potential in various analytical fields such as environmental analysis, food analysis, pharmaceutical analysis, biological and clinical analysis owing to their unique advantages including regular porosity, large specific surface area, periodical ordered structure, extended &amp; pi;-conjugated system, abundant functional groups and outstanding thermal and chemical stability. But there are still many concerns that need to be urgently solved for further electrochemical sensing application including improvement of electric conductivity and enhancement of selectivity. Limited by poor conductivity and low recognition ability of primitive COFs, they always need to be further functionalized. To further promote the development of COFs-based electrochemical sensing technology, here, we summarize and review the recent advances on construction of two-dimensional functional COFs materials for electrochemical sensing applications and related sensing device setups in detail, including design strategies, preparation methods, modification considerations, sensing principles and analytical applications, and tentatively propose development prospects and outlooks in future.</t>
  </si>
  <si>
    <t>[Wei, Yuli] Lanzhou City Univ, Sch Chem Engn, Prov Key Lab Gansu Higher Educ City Environm Pollu, Lanzhou 730070, Peoples R China; [Yang, Wu; Guo, Hao] Northwest Normal Univ, Coll Chem &amp; Chem Engn, Key Lab Ecorelated Polymer Mat MOE, Key Lab Bioelectrochemistry &amp; Environm Anal Gansu, Lanzhou 730070, Peoples R China</t>
  </si>
  <si>
    <t>Lanzhou City University; Northwest Normal University - China</t>
  </si>
  <si>
    <t>Yang, W (corresponding author), Northwest Normal Univ, Coll Chem &amp; Chem Engn, Key Lab Ecorelated Polymer Mat MOE, Key Lab Bioelectrochemistry &amp; Environm Anal Gansu, Lanzhou 730070, Peoples R China.</t>
  </si>
  <si>
    <t>xbsfda123@126.com</t>
  </si>
  <si>
    <t>Yang, Wu/0000-0003-1599-4071</t>
  </si>
  <si>
    <t>Doctoral Research Found of Lanzhou City University [LZCU-BS2019-05]; Natural Science Foundation of Gansu Province [21JR7RA538]; National Natural Science Foundation of China [21665024]</t>
  </si>
  <si>
    <t>Doctoral Research Found of Lanzhou City University; Natural Science Foundation of Gansu Province; National Natural Science Foundation of China(National Natural Science Foundation of China (NSFC))</t>
  </si>
  <si>
    <t>Acknowledgments Authors are grateful to Doctoral Research Found of Lanzhou City University (LZCU-BS2019-05), Natural Science Foundation of Gansu Province (21JR7RA538) and National Natural Science Foundation of China (21665024) for their financial supports.</t>
  </si>
  <si>
    <t>e202301828</t>
  </si>
  <si>
    <t>10.1002/slct.202301828</t>
  </si>
  <si>
    <t>P2PH8</t>
  </si>
  <si>
    <t>WOS:001049106400001</t>
  </si>
  <si>
    <t>Bookwalter, JD; Caballero-Lopez, B; Molowny-Horas, R; Claramunt-Lopez, B</t>
  </si>
  <si>
    <t>Bookwalter, Jamie Dinkins; Caballero-Lopez, Berta; Molowny-Horas, Roberto; Claramunt-Lopez, Bernat</t>
  </si>
  <si>
    <t>Understanding the Coleoptera community at the tree-line using taxonomic and functional guild approaches</t>
  </si>
  <si>
    <t>AGRICULTURAL AND FOREST ENTOMOLOGY</t>
  </si>
  <si>
    <t>altitude; Andorra; beetle; climate change; elevation; feeding guilds; new records; Pinus mugo; Pyrenees; saproxylic</t>
  </si>
  <si>
    <t>COARSE WOODY DEBRIS; SAPROXYLIC BEETLES; DEAD-WOOD; SPECIES-RICHNESS; CLIMATE-CHANGE; KEYSTONE STRUCTURES; HIGH-ELEVATION; GLOBAL CHANGE; LAND-USE; DIVERSITY</t>
  </si>
  <si>
    <t>Mountain species are at the forefront of climate change disruption, and montane saproxylic Coleoptera are facing large- and small-scale changes in their surroundings. Saproxylic Coleoptera are both functionally and taxonomically diverse and are the representatives of an imperilled fauna confronted with the realities of a changing landscape. Understanding the effects of elevation and other forest characteristics on saproxylic and non-saproxylic Coleoptera is a step towards predicting the future of taxonomic and functional group biodiversity at the tree-line and on mountains.The objective of this study was to examine the effect of elevation and other forest characteristics on the biodiversity of montane Coleoptera at the tree-line using both taxonomic and functional feeding guild classifications.Our results suggest that abundance of saprotrophs is closely linked to the density of large trees rather than the volume of wood. Edge effects and elevation seem to drive abundance patterns of some species and also influence taxonomic and functional guild community patterns differently. Finally, we discuss the implications of climate change and land abandonment to future Coleoptera community structure.</t>
  </si>
  <si>
    <t>[Bookwalter, Jamie Dinkins; Claramunt-Lopez, Bernat] Univ Autonoma Barcelona, Unitat Ecol, BABVE, Edif Ciencies, Bellaterra, Spain; [Bookwalter, Jamie Dinkins; Molowny-Horas, Roberto; Claramunt-Lopez, Bernat] Ctr Recerca Ecol &amp; Aplicac Forestals, CREAF, Cerdanyola Valles, Bellaterra, Spain; [Caballero-Lopez, Berta] Museu Ciencies Nat Barcelona, Passeig Picasso,Castell Tres Dragons, Barcelona, Spain; [Bookwalter, Jamie Dinkins] Univ Autonomade Barcelona, Unitat Ecol, BABVE, Edif Ciencies, Bellaterra 08193, Catalonia, Spain</t>
  </si>
  <si>
    <t>Autonomous University of Barcelona; Centro de Investigacion Ecologica y Aplicaciones Forestales (CREAF-CERCA); Museu de Ciencies Naturals de Barcelona</t>
  </si>
  <si>
    <t>Bookwalter, JD (corresponding author), Univ Autonomade Barcelona, Unitat Ecol, BABVE, Edif Ciencies, Bellaterra 08193, Catalonia, Spain.</t>
  </si>
  <si>
    <t>jdink123@gmail.com</t>
  </si>
  <si>
    <t>Bookwalter, Jamie Dinkins/0000-0001-5722-1750</t>
  </si>
  <si>
    <t>Collections Section of the Museu de Ciencies Naturals de Barcelona; Earthwatch Institute</t>
  </si>
  <si>
    <t>1461-9555</t>
  </si>
  <si>
    <t>1461-9563</t>
  </si>
  <si>
    <t>AGR FOREST ENTOMOL</t>
  </si>
  <si>
    <t>Agric. For. Entomol.</t>
  </si>
  <si>
    <t>2023 AUG 17</t>
  </si>
  <si>
    <t>10.1111/afe.12589</t>
  </si>
  <si>
    <t>Entomology</t>
  </si>
  <si>
    <t>P3WY5</t>
  </si>
  <si>
    <t>WOS:001049991800001</t>
  </si>
  <si>
    <t>Chae, YJ; Kim, HS</t>
  </si>
  <si>
    <t>Chae, Yoon Jung; Kim, Hee Sun</t>
  </si>
  <si>
    <t>Effects of a mobile application on improving self-management of adult patients receiving peritoneal dialysis: A randomized controlled trial</t>
  </si>
  <si>
    <t>JAPAN JOURNAL OF NURSING SCIENCE</t>
  </si>
  <si>
    <t>mobile applications; patients; peritoneal dialysis; randomized controlled trial; self-management</t>
  </si>
  <si>
    <t>CHRONIC KIDNEY-DISEASE; QUALITY-OF-LIFE; HEMODIALYSIS; PROGRAM; OUTCOMES; CHINA</t>
  </si>
  <si>
    <t>Aim: This study aimed to develop a mobile application for improving self-management and to evaluate its effects in adult patients on peritoneal dialysis (PD).Methods: This randomized controlled trial was registered with the Korean Clinical Research Information Service Registry (KCT0007267) and conducted at a tertiary hospital. A self-management mobile application (SMA) was developed based on social cognitive theory and the ADDIE (analysis, design, development, implementation, and evaluation) model. The SMA includes information about disease management; self-recording of data on diet, exercise, medication, and health behavior; and healthcare providers' support and feedback. Participants aged 19-65 years were randomly allocated to the intervention group (n = 27) using the SMA for 10 weeks, and the control group (n = 26) receiving usual care. PD-related knowledge and self-efficacy, PD-related health behavior, biomarkers, and health-related quality of life (HRQoL) were surveyed pretest/posttest and analyzed using SPSS 23.0.Results: Compared to the controls, the intervention group showed significant improvement in PD-related knowledge and health behavior, albumin, and hemoglobin. HRQoL domains of symptoms/problems of kidney disease and disease impact on daily activity were improved in the intervention group.Conclusion: The SMA is an effective intervention for enhancing health behaviors as well as improving the HRQoL of patients with PD. Without any limitations on time or location, patients with PD can easily use the SMA to monitor their health conditions, efficiently manage their disease, and perform PD-related behaviors. Nurses can implement high-quality tailored healthcare by using patients' lifelog data from the SMA.</t>
  </si>
  <si>
    <t>[Chae, Yoon Jung] Jesus Univ, Coll Nursing, Jeonju, South Korea; [Kim, Hee Sun] Jeonbuk Natl Univ, Coll Nursing, Res Inst Nursing Sci, Jeonju, South Korea; [Kim, Hee Sun] Jeonbuk Natl Univ, Coll Nursing, Res Inst Nursing Sci, 567 Baekje-daero, Jeonju Si 54896, Jeonrabug Do, South Korea</t>
  </si>
  <si>
    <t>Jeonbuk National University</t>
  </si>
  <si>
    <t>Kim, HS (corresponding author), Jeonbuk Natl Univ, Coll Nursing, Res Inst Nursing Sci, 567 Baekje-daero, Jeonju Si 54896, Jeonrabug Do, South Korea.</t>
  </si>
  <si>
    <t>joha0219@jbnu.ac.kr</t>
  </si>
  <si>
    <t>Kim, Hee Sun/0000-0002-7698-8794</t>
  </si>
  <si>
    <t>1742-7932</t>
  </si>
  <si>
    <t>1742-7924</t>
  </si>
  <si>
    <t>JPN J NURS SCI</t>
  </si>
  <si>
    <t>Jpn. J. Nurs. Sci.</t>
  </si>
  <si>
    <t>10.1111/jjns.12555</t>
  </si>
  <si>
    <t>P3VU5</t>
  </si>
  <si>
    <t>WOS:001049961800001</t>
  </si>
  <si>
    <t>Chan, HY; Janssen, LMM; Wijnen, BFM; Hiligsmann, M; Majoie, MHJM; Evers, SMAA</t>
  </si>
  <si>
    <t>Chan, Hoi Yau; Janssen, Luca M. M.; Wijnen, Ben F. M.; Hiligsmann, Mickael; Majoie, Marian H. J. M.; Evers, Silvia M. A. A.</t>
  </si>
  <si>
    <t>Economic evaluations of nonpharmacological treatments for drug-resistant epilepsy: A systematic review</t>
  </si>
  <si>
    <t>EPILEPSIA</t>
  </si>
  <si>
    <t>cost-effectiveness; deep brain stimulation; drug-resistant epilepsy; systematic review; vagus nerve stimulation</t>
  </si>
  <si>
    <t>COST-EFFECTIVENESS ANALYSIS; HEALTH-CARE DECISIONS; KETOGENIC DIET; CHILDREN; SURGERY; ADOLESCENTS; PREPARE; INTERVENTION; CONSENSUS; ADULTS</t>
  </si>
  <si>
    <t>This study was undertaken to systematically identify and critically appraise all published full economic evaluations assessing the cost-effectiveness of nonpharmacological interventions for patients with drug-resistant epilepsy. The Population, Intervention, Comparison, Outcome, Study criteria was used to design search strategies for the identification and selection of relevant studies. Literature search was performed using the MEDLINE (via PubMed), Embase, International Health Technology Assessment, National Institute for Health Research Economic Evaluation Database, and Cost-Effectiveness Analysis Registry databases to identify articles published between January 2000 and May 2023. Web of Science was additionally used to perform forward and backward referencing. Title, abstract, and full-text screening was performed by two independent researchers. The Consensus Health Economic Criteria (CHEC) checklist and Consolidated Health Economic Evaluation Reporting Standards (CHEERS) 2022 were applied for quality assessment. A total of 4470 studies were identified, of which 18 met our inclusion criteria. Twelve of the studies conducted model-based economic evaluation, and others were trial-based. Three studies showed that epilepsy surgery was cost-effective in adults, whereas this remained inconclusive for children (two positive, three negative). Three studies showed negative economic outcome for ketogenic diet in children. One of four studies showed positive results for self-management. For vagus nerve stimulation, one study showed positive results in adults and another one negative results in children. One recent study showed cost-effectiveness of responsive neurostimulation (RNS) in adults. Finally, one study showed promising but inconclusive results for deep brain stimulation (DBS). The mean scores for risk of bias assessment (based on CHEC) and for reporting quality (CHEERS 2022) were 95.8% and 80.5%, respectively. This review identified studies that assessed the cost-effectiveness of nonpharmacological treatments in both adults and children with drug-resistant epilepsy, suggesting that in adults, epilepsy surgery, vagus nerve stimulation, and RNS are cost-effective, and that DBS and self-management appear to be promising. In children, the cost-effectiveness of epilepsy surgery remains inconclusive. Finally, the use of ketogenic diet was shown not to be cost-effective. However, limited long-term data were available for newer interventions (i.e., ketogenic diet, DBS, and RNS).</t>
  </si>
  <si>
    <t>[Chan, Hoi Yau; Janssen, Luca M. M.; Hiligsmann, Mickael; Evers, Silvia M. A. A.] Care &amp; Publ Hlth Res Inst, Dept Hlth Serv Res, Maastricht, Netherlands; [Wijnen, Ben F. M.; Evers, Silvia M. A. A.] Netherlands Inst Mental Hlth &amp; Addict, Trimbos Inst, Ctr Econ Evaluat &amp; Machine Learning, Utrecht, Netherlands; [Majoie, Marian H. J. M.] Epilepsy Ctr Kempenhaeghe, Dept Res &amp; Dev, Heeze, Netherlands; [Majoie, Marian H. J. M.] Maastricht Univ Med Ctr, Sch Mental Hlth &amp; Neurosci, Dept Psychiat &amp; Neuropsychol, Maastricht, Netherlands; [Majoie, Marian H. J. M.] Maastricht Univ, Sch Hlth Profess Educ, Fac Hlth Med &amp; Life Sci, Maastricht, Netherlands; [Majoie, Marian H. J. M.] Epilepsy Ctr Kempenhaeghe, Acad Ctr Epileptol, Dept Neurol, Kempenhaeghe, Netherlands; [Majoie, Marian H. J. M.] Maastricht Univ Med Ctr, Maastricht, Netherlands; [Chan, Hoi Yau] CAPHRI Care &amp; Publ Hlth Res Inst, Dept Hlth Serv Res, Maastricht, Netherlands</t>
  </si>
  <si>
    <t>Maastricht University; Maastricht University Medical Centre (MUMC); Trimbos Institute; Maastricht University; Maastricht University Medical Centre (MUMC); Maastricht University; Maastricht University; Maastricht University Medical Centre (MUMC); Maastricht University</t>
  </si>
  <si>
    <t>Chan, HY (corresponding author), CAPHRI Care &amp; Publ Hlth Res Inst, Dept Hlth Serv Res, Maastricht, Netherlands.</t>
  </si>
  <si>
    <t>h.chan@maastrichtuniversity.nl</t>
  </si>
  <si>
    <t>; Evers, Silvia/K-9720-2015</t>
  </si>
  <si>
    <t>Wijnen, Ben/0000-0001-7993-1905; Chan, Hoi Yau/0000-0003-3526-9010; Evers, Silvia/0000-0003-1026-570X; Majoie, Marian/0000-0003-0579-8122; Hiligsmann, Mickael/0000-0003-4274-9258</t>
  </si>
  <si>
    <t>0013-9580</t>
  </si>
  <si>
    <t>1528-1167</t>
  </si>
  <si>
    <t>Epilepsia</t>
  </si>
  <si>
    <t>10.1111/epi.17742</t>
  </si>
  <si>
    <t>P2HY5</t>
  </si>
  <si>
    <t>WOS:001048913800001</t>
  </si>
  <si>
    <t>Chen, HP; Li, YM; Liu, YX; Zhao, Y; Xu, F; Yang, SS; Yu, MD; Zou, M; Zhang, JT</t>
  </si>
  <si>
    <t>Chen, Huiping; Li, Yamei; Liu, Yixian; Zhao, Ying; Xu, Fang; Yang, Shuangshuang; Yu, Mengdan; Zou, Min; Zhang, Jintao</t>
  </si>
  <si>
    <t>Epinodosin suppresses the proliferation, invasion, and migration of esophageal squamous cell carcinoma by mediating miRNA-143-3p/Bcl-2 axis</t>
  </si>
  <si>
    <t>PHYTOTHERAPY RESEARCH</t>
  </si>
  <si>
    <t>cell viability; Epinodosin; esophageal squamous cell carcinoma; invasion; migration; miRNA-143-3p; Bcl-2</t>
  </si>
  <si>
    <t>BREAST-CANCER; COLORECTAL-CANCER; APOPTOSIS; METASTASIS; GROWTH; DEATH</t>
  </si>
  <si>
    <t>Epinodosin has shown antibacterial and antitumor biological characteristics in the documents. We found that Epinodosin has an effective inhibitory effect on esophageal squamous cell carcinoma (ESCC). However, the potential roles and mechanisms of Epinodosin in ESCC remain unclear. We performed many experiments to clarify the effect and mechanism of Epinodosin on ESCC. In this study, cell viability, invasion, migration, and apoptosis were determined by 3-(4,5-dimethyl-2-thiazolyl)-2,-diphenytetrazoliumromide (MTT), Transwell, and flow cytometry. The differentially expressed miRNAs were screened through RNA transcriptome sequencing. The expression levels of miRNA-143-3p and some proteins were measured by real-time polymerase chain reaction (PCR) and Western blot. The anticancer effects of Epinodosin in vivo were determined by a nude mouse model. Epinodosin suppressed cell proliferation/invasion/migration and induced ESCC cell apoptosis. Epinodosin remarkably affected the protein expression of mitogen-activated protein kinase (MAPK) signaling pathway. The animal experiments demonstrated that Epinodosin could attenuate the growth of ESCC tumors in nude mice. The expression of p53, Bim, and Bax was upregulated, while that of Bcl-2 was downregulated in tumor tissues. In conclusion, Epinodosin suppresses cell viability/invasion/migration, while induces ESCC cell apoptosis by mediating miRNA-143-3p and Bcl-2, and can markedly attenuate the growth of ESCC tumors in nude mice.</t>
  </si>
  <si>
    <t>[Chen, Huiping; Liu, Yixian; Zhao, Ying; Xu, Fang; Zou, Min; Zhang, Jintao] Zhengzhou Univ, Henan Inst Med &amp; Pharmaceut Sci, Zhengzhou, Henan, Peoples R China; [Li, Yamei] Zhengzhou Univ, Acad Med Sci, Zhengzhou, Henan, Peoples R China; [Yang, Shuangshuang] Zhengzhou Univ, BGI Coll, Zhengzhou, Henan, Peoples R China; [Yu, Mengdan] Zhengzhou Univ, Acad Med Sci, Sch Basic Med Sci, Zhengzhou, Henan, Peoples R China; [Zhang, Jintao] Zhengzhou Univ, Henan Key Lab Tumor Epidemiol, Zhengzhou, Henan, Peoples R China; [Zhang, Jintao] Zhengzhou Univ, State Key Lab Esophageal Canc Prevent &amp; Treatment, Zhengzhou, Henan, Peoples R China; [Zhang, Jintao] Zhengzhou Univ, Henan Inst Med &amp; Pharmaceut Sci, Zhengzhou 450052, Henan, Peoples R China</t>
  </si>
  <si>
    <t>Zhengzhou University; Zhengzhou University; Zhengzhou University; Zhengzhou University; Zhengzhou University; Zhengzhou University; Zhengzhou University</t>
  </si>
  <si>
    <t>Zhang, JT (corresponding author), Zhengzhou Univ, Henan Inst Med &amp; Pharmaceut Sci, Zhengzhou 450052, Henan, Peoples R China.</t>
  </si>
  <si>
    <t>jtzhang@zzu.edu.cn</t>
  </si>
  <si>
    <t>0951-418X</t>
  </si>
  <si>
    <t>1099-1573</t>
  </si>
  <si>
    <t>PHYTOTHER RES</t>
  </si>
  <si>
    <t>Phytother. Res.</t>
  </si>
  <si>
    <t>10.1002/ptr.7978</t>
  </si>
  <si>
    <t>P2DR5</t>
  </si>
  <si>
    <t>WOS:001048802700001</t>
  </si>
  <si>
    <t>Chen, K; Shen, ZW; Gu, WJ; Lyu, Z; Qi, X; Mu, YM; Ning, Y; Meinian Investigator Grp</t>
  </si>
  <si>
    <t>Chen, Kang; Shen, Zewei; Gu, Weijun; Lyu, Zhaohui; Qi, Xuan; Mu, Yiming; Ning, Yi; Meinian Investigator Group</t>
  </si>
  <si>
    <t>Prevalence of obesity and associated complications in China: A cross-sectional, real-world study in 15.8 million adults</t>
  </si>
  <si>
    <t>database research; diabetes complications; fatty liver disease; observational study; population study; real-world evidence</t>
  </si>
  <si>
    <t>BODY-MASS INDEX; OVERWEIGHT</t>
  </si>
  <si>
    <t>Aim To evaluate the prevalence of overweight/obesity and associated complications from a large, cross-sectional, nationwide database in China.Materials and Methods Data were obtained from 519 Meinian health check-up centres across 243 cities. Eligible participants were aged = 18 years, with a routine check-up in 2019 (N = 21 771 683) and complete height, weight, sex and region data. The unadjusted prevalence rates of overweight/obesity were calculated by age, sex and region. In addition, the nationwide prevalence rates of overweight and obesity were standardized according to the 2010 China census by age group and sex. The prevalence of obesity-related complications by body mass index (BMI) groups was calculated using logistic regression.Results There were 15 770 094 eligible participants (median age 40 years; mean BMI 24.1 kg/m(2); 52.8% male). By Chinese BMI classification, 34.8% were overweight and 14.1% were obese. Overweight and obesity were more prevalent in male than female participants (standardized: overweight 40.2% vs. 27.4%; obesity 17.6% vs. 9.6%, respectively). The prevalence of assessed complications was higher in participants with overweight/obesity versus those with normal BMI (P &lt; 0.001 for trends). The most prevalent complications in participants with overweight/obesity were fatty liver disease, prediabetes, dyslipidaemia and hypertension. The number of complications increased with higher BMI.Conclusions Overweight/obesity and related complications are highly prevalent in this population. These data may better inform management and prevention public health strategies in China.</t>
  </si>
  <si>
    <t>[Chen, Kang; Gu, Weijun; Lyu, Zhaohui; Mu, Yiming] Chinese Peoples Liberat Army Gen Hosp, Med Ctr 1, Dept Endocrinol, 28 Fuxing Rd, Beijing 100853, Peoples R China; [Shen, Zewei] Novo Nordisk China Pharmaceut Co Ltd, Biostat &amp; Data Sci, Beijing, Peoples R China; [Qi, Xuan] Novo Nordisk China Pharmaceut Co Ltd, Med Affairs, Beijing, Peoples R China; [Ning, Yi] Meinian Inst Hlth, Beijing, Peoples R China; [Ning, Yi] Hainan Med Univ, Sch Publ Hlth, Haikou, Peoples R China</t>
  </si>
  <si>
    <t>Chinese People's Liberation Army General Hospital; Hainan Medical University</t>
  </si>
  <si>
    <t>Mu, YM (corresponding author), Chinese Peoples Liberat Army Gen Hosp, Med Ctr 1, Dept Endocrinol, 28 Fuxing Rd, Beijing 100853, Peoples R China.</t>
  </si>
  <si>
    <t>muyiming@301hospital.com.cn</t>
  </si>
  <si>
    <t>Chen, Kang/0000-0002-6305-0908</t>
  </si>
  <si>
    <t>Novo Nordisk (China) Pharmaceuticals Co., Ltd.</t>
  </si>
  <si>
    <t>Novo Nordisk (China) Pharmaceuticals Co., Ltd.(Novo Nordisk)</t>
  </si>
  <si>
    <t>10.1111/dom.15238</t>
  </si>
  <si>
    <t>P3VK8</t>
  </si>
  <si>
    <t>WOS:001049952100001</t>
  </si>
  <si>
    <t>Fadavi, P; Garousi, M; Soltani, S; Montazer, F; Abolhasani, M; Asgari, S; Mirzaee, E</t>
  </si>
  <si>
    <t>Fadavi, Pedram; Garousi, Maryam; Soltani, Sepideh; Montazer, Fatemeh; Abolhasani, Maryam; Asgari, Salar; Mirzaee, Elahe</t>
  </si>
  <si>
    <t>The uterine adenosarcoma with postoperative residual in a woman treated by total abdominal hysterectomy/bilateral salpingo-oophorectomy: A case report and review of literature</t>
  </si>
  <si>
    <t>CANCER REPORTS</t>
  </si>
  <si>
    <t>adenosarcoma; case report; total abdominal hysterectomy; uterine</t>
  </si>
  <si>
    <t>MULLERIAN ADENOSARCOMA; MANAGEMENT; DIAGNOSIS; SURVIVAL; UTERUS; WOMEN</t>
  </si>
  <si>
    <t>BackgroundIn patients with uterine adenosarcoma, a total abdominal hysterectomy (TAH) with bilateral salpingo-oophorectomy (BSO) is typically recommended as an initial treatment. There is no consensus on adjuvant therapies. CaseWe report the case of a patient with uterine adenosarcoma with postoperative residual disease. We performed four courses of adjuvant chemotherapy, including Ifosfamide, Mesna, and Adriamycin, and whole pelvic radiation with a dose of 50.4 Gy/28 Fr. ConclusionA combination of chemotherapy and radiotherapy may be a promising treatment option for uterine adenosarcoma with postoperative residual disease.</t>
  </si>
  <si>
    <t>[Fadavi, Pedram; Garousi, Maryam; Soltani, Sepideh; Mirzaee, Elahe] Iran Univ Med Sci, Sch Med, Dept Radiat Oncol, Tehran, Iran; [Montazer, Fatemeh; Asgari, Salar] Iran Univ Med Sci, Sch Med, Dept Pathol, Tehran, Iran; [Abolhasani, Maryam] Iran Univ Med Sci, Oncopathol Res Ctr, Sch Med, Tehran, Iran; [Mirzaee, Elahe] Iran Univ Med Sci, Sch Med, Dept Radiat Oncol, Tehran 1416634793, Iran</t>
  </si>
  <si>
    <t>Iran University of Medical Sciences; Iran University of Medical Sciences; Iran University of Medical Sciences; Iran University of Medical Sciences</t>
  </si>
  <si>
    <t>Mirzaee, E (corresponding author), Iran Univ Med Sci, Sch Med, Dept Radiat Oncol, Tehran 1416634793, Iran.</t>
  </si>
  <si>
    <t>elaheh.mirzaeee@gmail.com</t>
  </si>
  <si>
    <t>Soltani, Sepideh/0009-0000-7334-0370</t>
  </si>
  <si>
    <t>2573-8348</t>
  </si>
  <si>
    <t>CANCER REP-US</t>
  </si>
  <si>
    <t>Cancer Rep.-US</t>
  </si>
  <si>
    <t>10.1002/cnr2.1891</t>
  </si>
  <si>
    <t>P5HF0</t>
  </si>
  <si>
    <t>WOS:001050977600001</t>
  </si>
  <si>
    <t>Froehlich, HE; Montgomery, JC; Williams, DR; O'Hara, C; Kuempel, CD; Halpern, BS</t>
  </si>
  <si>
    <t>Froehlich, Halley E.; Montgomery, Jamie C.; Williams, David R.; O'Hara, Casey; Kuempel, Caitlin D.; Halpern, Benjamin S.</t>
  </si>
  <si>
    <t>Biological life-history and farming scenarios of marine aquaculture to help reduce wild marine fishing pressure</t>
  </si>
  <si>
    <t>FISH AND FISHERIES</t>
  </si>
  <si>
    <t>ecosystem-based management; food security; integrated systems; MSY; sustainable development</t>
  </si>
  <si>
    <t>NATURAL MORTALITY; FORAGE FISH; BROODSTOCK MANAGEMENT; BLUEFIN TUNA; FISHERIES; FUTURE; DOMESTICATION; PERFORMANCE; INFORMATION; ECOSYSTEMS</t>
  </si>
  <si>
    <t>Aquaculture (freshwater and marine) has largely supplemented fisheries, but in theory could help reduce fishing pressure on wild stocks. Although not the sole factors, some potential benefits depend on aquaculture pressures on fished species, including collection of wild 'seed' material-earlier to later life stages-for rearing in captivity and the capacity of aquaculture to increase. Here we first classify 203 marine (saltwater and brackish) animal species as being produced by either open-cycle capture-based aquaculture (CBA) or closed-cycle domesticated aquaculture (DA)-based on their likely reliance on wild seed-and assess the extent to which these forms of aquaculture could support seafood production and greater wild biomass. Using a data-limited modelling approach, we find evidence that current aquaculture practices are not necessarily helping reduce fishing to sustainable levels for their wild counterparts-consistent with emerging scientific research. However, if some wild capture species (87 equivalent spp.) were instead produced through CBA, almost a million extra tonnes could theoretically be left in the wild, without reducing seafood production. Alternatively, if reliance on wild seed inputs is further reduced by shifting to DA production, then a little less than doubling of aquaculture of the overexploited species in our study could help fill the 'production gap' to support fishing at maximum sustainable levels. While other ecological (e.g. escapes), social and economic considerations (e.g. market substitution) are important, we focused on a critical biological linkage between wild fisheries and aquaculture that provides another aspect on how to improve management alignment of the sectors.</t>
  </si>
  <si>
    <t>[Froehlich, Halley E.] Univ Calif Santa Barbara, Dept Ecol Evolut &amp; Marine Biol, Santa Barbara, CA USA; [Froehlich, Halley E.] Univ Calif Santa Barbara, Environm Studies, Santa Barbara, CA USA; [Montgomery, Jamie C.; O'Hara, Casey; Halpern, Benjamin S.] Univ Calif Santa Barbara, Bren Sch Environm Sci &amp; Management, Santa Barbara, CA USA; [Williams, David R.] Univ Leeds, Sustainabil Res Inst, Sch Earth &amp; Environm, Leeds, England; [O'Hara, Casey; Halpern, Benjamin S.] Univ Calif Santa Barbara, Natl Ctr Ecol Anal &amp; Synth, Santa Barbara, CA USA; [Kuempel, Caitlin D.] Griffith Univ, Australian Rivers Inst, Sch Environm &amp; Sci, Nathan, Qld, Australia; [Kuempel, Caitlin D.] Griffith Univ, Coastal &amp; Marine Res Ctr, Nathan, Qld, Australia; [Froehlich, Halley E.] Univ Calif Santa Barbara, Dept Ecol Evolut &amp; Marine Biol, Santa Barbara, CA 93106 USA</t>
  </si>
  <si>
    <t>University of California System; University of California Santa Barbara; University of California System; University of California Santa Barbara; University of California System; University of California Santa Barbara; University of Leeds; National Center for Ecological Analysis &amp; Synthesis; University of California System; University of California Santa Barbara; Griffith University; Griffith University; University of California System; University of California Santa Barbara</t>
  </si>
  <si>
    <t>Froehlich, HE (corresponding author), Univ Calif Santa Barbara, Dept Ecol Evolut &amp; Marine Biol, Santa Barbara, CA 93106 USA.</t>
  </si>
  <si>
    <t>hefroehlich@ucsb.edu</t>
  </si>
  <si>
    <t>Kuempel, Caitlin D./AAV-8807-2020</t>
  </si>
  <si>
    <t>Kuempel, Caitlin D./0000-0003-1609-9706; O'Hara, Casey/0000-0003-2968-7005; Froehlich, Halley/0000-0001-7322-1523</t>
  </si>
  <si>
    <t>Zegar Family Foundation</t>
  </si>
  <si>
    <t>Zegar Family Foundation, Anticipating Climate Change Impacts on Ocean Aq</t>
  </si>
  <si>
    <t>1467-2960</t>
  </si>
  <si>
    <t>1467-2979</t>
  </si>
  <si>
    <t>FISH FISH</t>
  </si>
  <si>
    <t>Fish. Fish.</t>
  </si>
  <si>
    <t>10.1111/faf.12783</t>
  </si>
  <si>
    <t>P3VU6</t>
  </si>
  <si>
    <t>WOS:001049961900001</t>
  </si>
  <si>
    <t>Hou, SS; Zhang, RF; Zhang, C; Wang, L; Wang, H; Wang, XX</t>
  </si>
  <si>
    <t>Hou, Saisai; Zhang, Ruifang; Zhang, Chi; Wang, Lei; Wang, Hong; Wang, Xin-Xin</t>
  </si>
  <si>
    <t>Role of vermicompost and biochar in soil quality improvement by promoting Bupleurum falcatum L. nutrient absorption</t>
  </si>
  <si>
    <t>SOIL USE AND MANAGEMENT</t>
  </si>
  <si>
    <t>Bupleurum falcatum L; continuous cropping obstacles; nutrient absorption; organic materials; soil quality</t>
  </si>
  <si>
    <t>GROWTH</t>
  </si>
  <si>
    <t>Bupleurum falcatum L. has gained attention due to its medicinal value in its root. B. falcatum was continuously cultivated and intensively chemically fertilized in order to attain a high yield, which reduced the soil quality and caused continuous cropping problems. Thus, there is a significant impact on S. baicalensis yield and quality. To solve this problem, soil with 0 or 3 continuous cropping years (0- and 3-year soil) was fertilized with several organic materials, which are Bacillus subtilis, Bacillus mucilaginosus, humic acid fertilizer, biochar, and vermicompost. The experiment examined the effectiveness of B. falcatum's growth and nutrient uptake under various organic materials. It was shown that organic materials improved soil fertility and promoted the growth and nutrient uptake of B. falcatum. The combination of vermicompost and biochar had a better improvement effect. It increased soil nutrients by 23.8%-73.3% (0-year soil) and 24.6%-71.1% (3-year soil), respectively. In two types of soil, both microbial number and enzyme activity substantially increased. The B. falcatum shoot and root biomass with vermicompost was increased 74.8%-84.5% (without biochar) and 41.8%-71.1% (with biochar) in two types of soil. Vermicompost and biochar also significantly promoted the root development of B. falcatum. The root length increased by 13.3%-66.7%, the root diameter by 38.6%-84.8%, the root volume by 8.4%-61.3%, and the specific root length varied by -171.9% to 3.1% when compared with the control. The nutrient (N, P, and K) concentrations in shoots and roots changed from -3.9% to 67.2% and from 1.4% to 53.5%. All the findings demonstrated that long-term continuous cropping caused cropping obstacles, deteriorated soil quality, and inhibited the B. falcatum growth. Applying organic fertilizers, such as vermicompost and biochar, can help to improve soil quality, increase soil nutrients, promote the growth and nutrient absorption of B. falcatum, and eliminate continuous cropping obstacles.</t>
  </si>
  <si>
    <t>[Hou, Saisai; Zhang, Ruifang; Zhang, Chi; Wang, Lei; Wang, Hong; Wang, Xin-Xin] Hebei Agr Univ, Mt Area Res Inst, Baoding, Peoples R China; [Wang, Hong; Wang, Xin-Xin] Hebei Agr Univ, Mt Area Res Inst, Baoding 071001, Peoples R China</t>
  </si>
  <si>
    <t>Hebei Agricultural University; Hebei Agricultural University</t>
  </si>
  <si>
    <t>Wang, H; Wang, XX (corresponding author), Hebei Agr Univ, Mt Area Res Inst, Baoding 071001, Peoples R China.</t>
  </si>
  <si>
    <t>wanghong@hebau.edu.cn; xinxinwang.wur@qq.com</t>
  </si>
  <si>
    <t>Hou, Sai/IZE-1925-2023</t>
  </si>
  <si>
    <t>Hou, Sai/0000-0003-3537-9105</t>
  </si>
  <si>
    <t>Key Research and Development Project of Hebei Province [20326417D]</t>
  </si>
  <si>
    <t>Key Research and Development Project of Hebei Province</t>
  </si>
  <si>
    <t>ACKNOWLEDGEMENTS This study was fully supported by Key Research and Development Project of Hebei Province (20326417D).</t>
  </si>
  <si>
    <t>0266-0032</t>
  </si>
  <si>
    <t>1475-2743</t>
  </si>
  <si>
    <t>SOIL USE MANAGE</t>
  </si>
  <si>
    <t>Soil Use Manage.</t>
  </si>
  <si>
    <t>10.1111/sum.12955</t>
  </si>
  <si>
    <t>P2DQ3</t>
  </si>
  <si>
    <t>WOS:001048801500001</t>
  </si>
  <si>
    <t>Lescot, T; Lebel-Cormier, MA; Seniwal, B; Gros-Louis, P; Bellerive, C; Landreville, S; Beaulieu, L; Fortin, MA</t>
  </si>
  <si>
    <t>Lescot, Theophraste; Lebel-Cormier, Marie-Anne; Seniwal, Baljeet; Gros-Louis, Philippe; Bellerive, Claudine; Landreville, Solange; Beaulieu, Luc; Fortin, Marc-Andre</t>
  </si>
  <si>
    <t>Tumor Shape-Specific Brachytherapy Implants by 3D-Printing, Precision Radioactivity Painting, and Biomedical Imaging</t>
  </si>
  <si>
    <t>3D printing metrology; additive manufacturing of polymers; brachytherapy; brachytherapy dosimetry; episcleral plaques; polyetheretherketone (PEEK); uveal melanoma</t>
  </si>
  <si>
    <t>UVEAL MELANOMA; POLYETHERETHERKETONE PEEK; IODINE-125 BRACHYTHERAPY; SCAFFOLD ARCHITECTURES; OCULAR COMPLICATIONS; ETHER-KETONE; MRI MARKER; FABRICATION; DESIGN; I-125</t>
  </si>
  <si>
    <t>In brachytherapy (BT), or internal radiation therapy, cancer is treated by radioactive implants. For instance, episcleral plaques (EPs) for the treatment of uveal melanoma, are designed according to generic population approximations. However, more personalized implants can enhance treatment precision through better adjustment of dose profiles to the contours of cancerous tissues. An original approach integrating biomedical imaging, 3D printing, radioactivity painting, and biomedical imaging, is developed as a workflow for the development of tumor shape-specific BT implants. First, computer-aided design plans of EP are prepared according to guidelines prescribed by the Collaborative Ocular Melanoma Study protocol. Polyetheretherketone (PEEK), a high-performance polymer suitable for permanent implants, is used to 3D-print plaques and the geometrical accuracy of the printed design is evaluated by imaging. The possibility to modulate the dose distribution in a tridimensional manner is demonstrated by painting the inner surfaces of the EPs with radioactive 103Pd, followed by dose profile measurements. The possibility to modulate dose distributions generated by these 3D-printed plaques through radioactivity painting is therefore confirmed. Ex vivo surgical tests on human eyeballs are performed as an assessment of manipulation ease. Overall, this work provides a solution for the fabrication of tumor-specific radioactive implants requiring higher dose precision.</t>
  </si>
  <si>
    <t>[Lescot, Theophraste; Seniwal, Baljeet; Fortin, Marc-Andre] Univ Laval, Dept Genie Mines Met &amp; Mat, Quebec City, PQ G1V 0A6, Canada; [Lescot, Theophraste; Seniwal, Baljeet; Fortin, Marc-Andre] Univ Laval, Ctr Rech Mat Avances CERMA, Quebec City, PQ G1V 0A6, Canada; [Lescot, Theophraste; Seniwal, Baljeet; Gros-Louis, Philippe; Bellerive, Claudine; Landreville, Solange; Fortin, Marc-Andre] Univ Laval, CHU Quebec, Ctr Rech, Axe Med Regeneratrice, Quebec City, PQ G1V 4G2, Canada; [Lescot, Theophraste; Lebel-Cormier, Marie-Anne; Seniwal, Baljeet; Gros-Louis, Philippe; Landreville, Solange; Beaulieu, Luc; Fortin, Marc-Andre] Univ Laval, Ctr Rech Canc CRC, Quebec City, PQ G1R 3S3, Canada; [Lebel-Cormier, Marie-Anne; Beaulieu, Luc] Univ Laval, Dept Phys Genie Phys &amp; Opt, Quebec City, PQ G1V 0A6, Canada; [Lebel-Cormier, Marie-Anne; Beaulieu, Luc] Univ Laval, CHU Quebec, Ctr Rech, Serv Phys Med &amp; Radioprotect &amp; Axe Oncol, Quebec City, PQ G1L 3L5, Canada; [Gros-Louis, Philippe; Bellerive, Claudine; Landreville, Solange] Univ Laval, CHU Quebec, Hop St Sacrement, Ctr Univ Ophtalmol CUO, Quebec City, PQ G1S 4L8, Canada; [Gros-Louis, Philippe; Bellerive, Claudine; Landreville, Solange] Univ Laval, CHU Quebec, Hop St Sacrement, Ctr Rech, Quebec City, PQ G1S 4L8, Canada</t>
  </si>
  <si>
    <t>Laval University; Laval University; Laval University; Laval University; Laval University; Laval University; Laval University; Laval University</t>
  </si>
  <si>
    <t>Fortin, MA (corresponding author), Univ Laval, Dept Genie Mines Met &amp; Mat, Quebec City, PQ G1V 0A6, Canada.;Fortin, MA (corresponding author), Univ Laval, Ctr Rech Mat Avances CERMA, Quebec City, PQ G1V 0A6, Canada.;Fortin, MA (corresponding author), Univ Laval, CHU Quebec, Ctr Rech, Axe Med Regeneratrice, Quebec City, PQ G1V 4G2, Canada.;Fortin, MA (corresponding author), Univ Laval, Ctr Rech Canc CRC, Quebec City, PQ G1R 3S3, Canada.</t>
  </si>
  <si>
    <t>marc-andre.fortin@gmn.ulaval.ca</t>
  </si>
  <si>
    <t>Canadian Institutes of Health Research (CIHR) [173408]; Natural Sciences and Engineering Research Council of Canada (NSERC) [RGPIN-2017-06173, RGPIN-2019-05038]; Vision Health Research Network (VHRN); Fondation du CR-CHU de Quebec-ULaval; Vision Health Research Network (VHRN); Fonds de recherche du Quebec - Sante (FRQS); FRQS; Fonds Wilbrod-Bherer de l'Universite Laval</t>
  </si>
  <si>
    <t>Canadian Institutes of Health Research (CIHR)(Canadian Institutes of Health Research (CIHR)); Natural Sciences and Engineering Research Council of Canada (NSERC)(Natural Sciences and Engineering Research Council of Canada (NSERC)); Vision Health Research Network (VHRN); Fondation du CR-CHU de Quebec-ULaval; Vision Health Research Network (VHRN); Fonds de recherche du Quebec - Sante (FRQS)(Fonds de la Recherche en Sante du Quebec); FRQS; Fonds Wilbrod-Bherer de l'Universite Laval</t>
  </si>
  <si>
    <t>This study was financed by a Project Grant from the Canadian Institutes of Health Research (CIHR, grant number 173408), by the Natural Sciences and Engineering Research Council of Canada (NSERC)-Discovery Grants (individual) program (M.A.F.-RGPIN-2017-06173; L.B.-RGPIN-2019-05038), and by the program Concert pour la vie from the Fondation du CR-CHU de Quebec-ULaval. The procurement of human eyeballs was possible thanks to the Eye Tissue Bank, which was financially supported by the Vision Health Research Network (VHRN), a thematic network supported by the Fonds de recherche du Quebec - Sante (FRQS). S.L. is a Junior 2 Research Scholar of the FRQS. P.G.-L. was a recipient of a Master Recruitment Scholarship from the Fonds Wilbrod-Bherer de l'Universite Laval.</t>
  </si>
  <si>
    <t>10.1002/adhm.202300528</t>
  </si>
  <si>
    <t>P3QV7</t>
  </si>
  <si>
    <t>WOS:001049831900001</t>
  </si>
  <si>
    <t>Ohkubo, A; Sakurasawa, T; Hoshikawa, Y; Usui, M; Hoshi, M; Shiga, T; Deushi, M; Komori, S; Itagaki, A; Yamamoto, H; Seshima, H; Kurashima, N; Iimori, S; Naito, S</t>
  </si>
  <si>
    <t>Ohkubo, Atsushi; Sakurasawa, Takatoshi; Hoshikawa, Yuki; Usui, Mana; Hoshi, Misaki; Shiga, Takuto; Deushi, Masaya; Komori, Shigeto; Itagaki, Ayako; Yamamoto, Hiroko; Seshima, Hiroshi; Kurashima, Naoki; Iimori, Soichiro; Naito, Shotaro</t>
  </si>
  <si>
    <t>Evaluation of the treatment volume and removal rate of Rheocarna: A novel adsorption-type blood purification device for patients with chronic limb-threatening ischemia</t>
  </si>
  <si>
    <t>THERAPEUTIC APHERESIS AND DIALYSIS</t>
  </si>
  <si>
    <t>fibrinogen; hemoadsorption; low-density lipoprotein cholesterol; removal rate</t>
  </si>
  <si>
    <t>PERIPHERAL ARTERIAL-DISEASE; PREVALENCE; MANAGEMENT; APHERESIS</t>
  </si>
  <si>
    <t>Introduction: Chronic limb-threatening ischemia (CLTI) is a clinical syndrome defined by peripheral arterial disease (PAD) combined with rest pain, gangrene, or leg ulceration for longer than two weeks resulting in lower extremity amputation. In recent years, low-density lipoprotein apheresis (LDL-A) has been implemented for PAD treatment. However, it has not been possible to ensure insurance coverage for patients with lower LDL levels than 140 mg/dL under cholesterol-lowering drugs. Rheocarna is a novel adsorption-type blood purification device for the treatment of CLTI by adsorbing LDL and fibrinogen (Fib) that is not constrained by hypercholesterolemia and is not amenable to or nonresponsive to revascularization surgery. The only requirements for use are that the blood flow rate increases up to 200 mL/min gradually.Methods: To evaluate the applicability of this treatment procedure, we compared the removal rates of Fib and LDL following Rheocarna therapy using various blood treatment volumes (6, 10.5, and 19.5 L).Results: Fib and LDL removal rates were about 20% and 15%-25% per treatment, with no significant differences between treatment volumes. Following treatment with Rheocarna, blood pressure tends to decrease at first, which later increases, and the higher the treatment volume, the longer the time of low blood pressure tended to be.Conclusion: Although no significant difference was found in the removal rate of Fib and LDL in response to increase volume to 6 L or beyond in this study, the 6 L volume is considered effective enough for the removal of Fib and LDL.</t>
  </si>
  <si>
    <t>[Ohkubo, Atsushi; Sakurasawa, Takatoshi; Hoshikawa, Yuki; Usui, Mana; Hoshi, Misaki; Shiga, Takuto; Deushi, Masaya; Komori, Shigeto; Itagaki, Ayako; Yamamoto, Hiroko; Seshima, Hiroshi; Kurashima, Naoki] Tokyo Med &amp; Dent Univ Hosp, Med Engn Ctr, Tokyo, Japan; [Iimori, Soichiro; Naito, Shotaro] Tokyo Med &amp; Dent Univ, Dept Nephrol, 1-5-45 Yushima, Bunkyo Ku, Tokyo 1138519, Japan</t>
  </si>
  <si>
    <t>Tokyo Medical &amp; Dental University (TMDU); Tokyo Medical &amp; Dental University (TMDU)</t>
  </si>
  <si>
    <t>Naito, S (corresponding author), Tokyo Med &amp; Dent Univ, Dept Nephrol, 1-5-45 Yushima, Bunkyo Ku, Tokyo 1138519, Japan.</t>
  </si>
  <si>
    <t>snaito.kid@tmd.ac.jp</t>
  </si>
  <si>
    <t>1744-9979</t>
  </si>
  <si>
    <t>1744-9987</t>
  </si>
  <si>
    <t>THER APHER DIAL</t>
  </si>
  <si>
    <t>Ther. Apher. Dial.</t>
  </si>
  <si>
    <t>10.1111/1744-9987.14050</t>
  </si>
  <si>
    <t>Hematology; Urology &amp; Nephrology</t>
  </si>
  <si>
    <t>P3VP9</t>
  </si>
  <si>
    <t>WOS:001049957200001</t>
  </si>
  <si>
    <t>Peng, LF; Yuan, ZW; Tang, ZL; Zeng, CL; Xu, XH</t>
  </si>
  <si>
    <t>Peng, Lifen; Yuan, Zhiwen; Tang, Zilong; Zeng, Chunling; Xu, Xinhua</t>
  </si>
  <si>
    <t>Thioalkynes in Ring Forming Reactions</t>
  </si>
  <si>
    <t>CHEMICAL RECORD</t>
  </si>
  <si>
    <t>Thioalkynes; organic cycles; alkynes; cycloaddition; annulation</t>
  </si>
  <si>
    <t>FORMAL 3+2 CYCLOADDITION; PAUSON-KHAND REACTION; 4-OXAHEPTA-1,6-DIYNES BEARING SULFUR; INTERMOLECULAR 4+2 CYCLOADDITION; HIGHLY REGIOSELECTIVE SYNTHESIS; ONE-STEP SYNTHESIS; DIELS-ALDER; METAL-FREE; ELECTROPHILIC CYCLIZATION; FACILE SYNTHESIS</t>
  </si>
  <si>
    <t>Organic cycles play an important role in chemistry, pharmacology and material science for their unique properties. Construction of organic cycles from thioalkynes attracted increasing attention due to the facile access of thioalkynes. 2H-Azirines were synthesized successfully from thioalkynyl oxime ethers. Cyclobutanes were formed through chiral titanium catalyzed cycloaddition of thioalkynes. Cyclopentenes were afforded by annulation of thioalkynes. Thioalkynes could be also applied to synthesize thiophenes, oxazoles, benzo[b]thiophenes, 2H-chromenes, 2-phenylbenzothiazoles, diazacyclobutene, etc. In this review, construction of organic cycles from thioalkynes were highlighted. Firstly, the property and application of organic cyclic compounds were simply introduced. After presenting the general methods to access organic cycles, applications of thioalkynes as synthons to prepare organic cycles were classified and presented in detail. Based on different kinds of organic cycles obtained from thioalkynes, organic reactions for synthesis of three-, four-, five-, six-membered as well as fused cycles would be summarized and the plausible reaction mechanisms could be presented if available.</t>
  </si>
  <si>
    <t>[Peng, Lifen; Yuan, Zhiwen; Tang, Zilong] Hunan Univ Sci &amp; Technol, Sch Chem &amp; Chem Engn, Hunan Prov Key Lab Controllable Preparat &amp; Funct A, Key Lab Theoret Organ Chem &amp; Funct Mol,Minist Educ, Xiangtan 411201, Hunan, Peoples R China; [Zeng, Chunling; Xu, Xinhua] Hunan Univ, Coll Chem &amp; Chem Engn, Res Ctr Minist Educ, State Key Lab Chemo Biosensing &amp; Chemometr,Adv Cat, Changsha 410082, Peoples R China</t>
  </si>
  <si>
    <t>Hunan University of Science &amp; Technology; Hunan University</t>
  </si>
  <si>
    <t>Peng, LF; Tang, ZL (corresponding author), Hunan Univ Sci &amp; Technol, Sch Chem &amp; Chem Engn, Hunan Prov Key Lab Controllable Preparat &amp; Funct A, Key Lab Theoret Organ Chem &amp; Funct Mol,Minist Educ, Xiangtan 411201, Hunan, Peoples R China.;Zeng, CL (corresponding author), Hunan Univ, Coll Chem &amp; Chem Engn, Res Ctr Minist Educ, State Key Lab Chemo Biosensing &amp; Chemometr,Adv Cat, Changsha 410082, Peoples R China.</t>
  </si>
  <si>
    <t>1060137@hnust.edu.cn; zltang@hnust.edu.cn; zengchunling@hnu.edu.cn</t>
  </si>
  <si>
    <t>Chinese University of Hong Kong (CUHK); Natural Science Foundation of China [22277025, 21802040]; Innovation Team of Huxiang High-level Talent Gathering Engineering [2021RC5028]; Natural Science Fund Project of Hunan Province [2022JJ30240]</t>
  </si>
  <si>
    <t>Chinese University of Hong Kong (CUHK)(Chinese University of Hong Kong); Natural Science Foundation of China(National Natural Science Foundation of China (NSFC)); Innovation Team of Huxiang High-level Talent Gathering Engineering; Natural Science Fund Project of Hunan Province</t>
  </si>
  <si>
    <t>This paper is dedicated to The Chinese University of Hong Kong (CUHK) for celebrating the 60th Anniversary. The authors thank the Natural Science Foundation of China (22277025 and 21802040), The Innovation Team of Huxiang High-level Talent Gathering Engineering (2021RC5028), the Natural Science Fund Project of Hunan Province (No. 2022JJ30240) for financial support.</t>
  </si>
  <si>
    <t>1527-8999</t>
  </si>
  <si>
    <t>1528-0691</t>
  </si>
  <si>
    <t>CHEM REC</t>
  </si>
  <si>
    <t>Chem. Rec.</t>
  </si>
  <si>
    <t>10.1002/tcr.202300242</t>
  </si>
  <si>
    <t>P3LB4</t>
  </si>
  <si>
    <t>WOS:001049679400001</t>
  </si>
  <si>
    <t>Petri, L; Ibanez, I</t>
  </si>
  <si>
    <t>Petri, Lais; Ibanez, Ines</t>
  </si>
  <si>
    <t>Assessing the mechanisms and impacts of shrub invasion in forests: A meta-analysis</t>
  </si>
  <si>
    <t>JOURNAL OF APPLIED ECOLOGY</t>
  </si>
  <si>
    <t>biotic containment; biotic resistance; empty niches; introduced species; non-native species; propagule pressure; systematic review</t>
  </si>
  <si>
    <t>PLANT INVASIONS; PROPAGULE PRESSURE; SPECIES TRAITS; COMMUNITIES; DISTURBANCE; ECOLOGY; RECRUITMENT; RESISTANCE; MANAGEMENT; DIVERSITY</t>
  </si>
  <si>
    <t>The encroachment of invasive shrubs in forest understories can have detrimental effects on native plant recruitment. As a result, removal of invasive species is a common practice although long-lasting success is rare. In order to effectively conserve and manage invaded forests, it is crucial to understand the mechanisms that drive shrub invasion, that is, high propagule pressure, low native resistance and exploitation of empty niches. To gain a deeper understanding of the invasion process in forest ecosystems we conducted a meta-analysis of the work done in this topic. We collected data on invasive species and native community performance, and on the abiotic conditions of forest understories under low and high levels of shrub invasion. We analysed data from 124 articles that yielded 377 unique observations. Our results revealed that while invader performance did not vary by the mechanism of invasion, the impact on the native community was significantly detrimental when invasion occurred via low biotic resistance, and only marginally significant via propagule pressure. Invasive species performance was associated with increases in light availability, but not with other resources (soil water or nutrients). When assessing impact on native performance as a function of invasive performance, results were again only significant under the low biotic resistance mechanism. Lastly, impacts were stronger when invasion took place by a single invader. Synthesis and applications. Taken together, these results suggest that restoration efforts should focus on (i) increasing the presence of strong native competitors or functionally diverse native communities, (ii) decreasing sources of invasive shrub propagules while keeping the canopies closed when invasion occurs via high propagule pressure, (iii) avoiding management techniques that degrade or diminish canopy cover and (iv) prioritizing management of forest understories dominated by particularly impactful invasive shrubs.</t>
  </si>
  <si>
    <t>[Petri, Lais; Ibanez, Ines] Univ Michigan, Sch Environm &amp; Sustainabil, Ann Arbor, MI 48109 USA</t>
  </si>
  <si>
    <t>University of Michigan System; University of Michigan</t>
  </si>
  <si>
    <t>Petri, L (corresponding author), Univ Michigan, Sch Environm &amp; Sustainabil, Ann Arbor, MI 48109 USA.</t>
  </si>
  <si>
    <t>petril@umich.edu</t>
  </si>
  <si>
    <t>Petri, Lais/D-6404-2015</t>
  </si>
  <si>
    <t>Petri, Lais/0000-0001-9727-1939; Ibanez, Ines/0000-0002-1054-0727</t>
  </si>
  <si>
    <t>[NSF-DEB 1252664]</t>
  </si>
  <si>
    <t>ACKNOWLEDGEMENTS We thank Dr. Natalia Umana for her valuable manuscript comments and Neal Harbaugh for helping on the early stages of study selection. L.P. and I.I. were funded by NSF-DEB 1252664.</t>
  </si>
  <si>
    <t>0021-8901</t>
  </si>
  <si>
    <t>1365-2664</t>
  </si>
  <si>
    <t>J APPL ECOL</t>
  </si>
  <si>
    <t>J. Appl. Ecol.</t>
  </si>
  <si>
    <t>10.1111/1365-2664.14496</t>
  </si>
  <si>
    <t>P2GL1</t>
  </si>
  <si>
    <t>WOS:001048874400001</t>
  </si>
  <si>
    <t>Silver, KI; Patkar, S; Mazcko, C; Berger, EP; Beck, JA; LeBlanc, AK</t>
  </si>
  <si>
    <t>Silver, K. I.; Patkar, S.; Mazcko, C.; Berger, E. P.; Beck, J. A.; LeBlanc, A. K.</t>
  </si>
  <si>
    <t>Patterns of metastatic progression and association with clinical outcomes in canine osteosarcoma: A necropsy study of 83 dogs</t>
  </si>
  <si>
    <t>VETERINARY AND COMPARATIVE ONCOLOGY</t>
  </si>
  <si>
    <t>canine; metastasis; osteosarcoma; transcriptional profiling</t>
  </si>
  <si>
    <t>STAGE-III OSTEOSARCOMA; CANCER; AMPUTATION; CHEMOTHERAPY; CARBOPLATIN; PROGNOSIS; SURVIVAL; AUTOPSY; CELLS; TIME</t>
  </si>
  <si>
    <t>Osteosarcoma is a highly metastatic primary bone tumour that occurs spontaneously in both pet dogs and humans. Patterns of metastasis to organs beyond the most common site (lung) are poorly characterised and it is unknown whether specific associations between patterns of metastatic progression and patient features exist. This retrospective study characterised the necropsy findings of 83 dogs receiving standardised therapy and clinical monitoring in a prospective clinical trial setting to document patterns of metastasis and correlate outcomes with these patterns and other patient and tumour-specific factors. A total of 20 different sites of metastasis were documented, with lung as the most common site, followed by bone, kidney, liver, and heart. Two distinct clusters of dogs were identified based on patterns of metastasis. There was no significant association between site of enrollment, trial arm, sex, serum alkaline phosphatase (ALP) activity, or tumour location and clinical outcomes. A second cancer type was identified at necropsy in 10 dogs (10/83; 12%). These data showcase the extensive nature of osteosarcoma metastasis beyond the lung and provide a benchmark for clinical monitoring of the disease. Further, this study provides insight into transcriptional features of primary tumours that may relate to a propensity for osteosarcoma metastasis to specific organs and tissues.</t>
  </si>
  <si>
    <t>[Silver, K. I.; Mazcko, C.; Beck, J. A.; LeBlanc, A. K.] NCI, Comparat Oncol Program, Mol Imaging Branch, NIH, Bethesda, MD USA; [Patkar, S.] NCI, Mol Imaging Branch, Artificial Intelligence Resource, NIH, Bethesda, MD USA; [Berger, E. P.] NCI, NIH, Frederick Natl Lab Canc Res Comparat Oncol Program, Bethesda, MD USA; [LeBlanc, A. K.] NCI, Comparat Oncol Program, Mol Imaging Branch, NIH, Bethesda, MD 20892 USA</t>
  </si>
  <si>
    <t>National Institutes of Health (NIH) - USA; NIH National Cancer Institute (NCI); National Institutes of Health (NIH) - USA; NIH National Cancer Institute (NCI); National Institutes of Health (NIH) - USA; NIH National Cancer Institute (NCI); National Institutes of Health (NIH) - USA; NIH National Cancer Institute (NCI)</t>
  </si>
  <si>
    <t>LeBlanc, AK (corresponding author), NCI, Comparat Oncol Program, Mol Imaging Branch, NIH, Bethesda, MD 20892 USA.</t>
  </si>
  <si>
    <t>amy.leblanc@nih.gov</t>
  </si>
  <si>
    <t>LeBlanc, Amy Kathleen/0000-0001-7656-9859</t>
  </si>
  <si>
    <t>National Insitutes of Health, National Cancer Institute [Z01-BC006161]</t>
  </si>
  <si>
    <t>National Insitutes of Health, National Cancer Institute(United States Department of Health &amp; Human ServicesNational Institutes of Health (NIH) - USANIH National Cancer Institute (NCI))</t>
  </si>
  <si>
    <t>National Insitutes of Health, National Cancer Institute, Grant/Award Number:Z01-BC006161</t>
  </si>
  <si>
    <t>1476-5810</t>
  </si>
  <si>
    <t>1476-5829</t>
  </si>
  <si>
    <t>VET COMP ONCOL</t>
  </si>
  <si>
    <t>Vet. Comp. Oncol.</t>
  </si>
  <si>
    <t>10.1111/vco.12927</t>
  </si>
  <si>
    <t>P4JK8</t>
  </si>
  <si>
    <t>WOS:001050323400001</t>
  </si>
  <si>
    <t>Vandenbroucke, S; Kantorowicz, J; Erkens, Y</t>
  </si>
  <si>
    <t>Vandenbroucke, Sarah; Kantorowicz, Jaroslaw; Erkens, Yvonne</t>
  </si>
  <si>
    <t>Decoding supplier codes of conduct with content and text as data approaches</t>
  </si>
  <si>
    <t>corporate self-regulation; global supply chains; international labor rights; supplier codes of conduct</t>
  </si>
  <si>
    <t>CORPORATE CODES; ETHICAL CODES; COMPANIES; QUALITY</t>
  </si>
  <si>
    <t>This study analyzes supplier codes of conduct of multinational firms, with two main research objectives: (1) providing a description of supplier codes' content provisions, specifically focusing on the labor standards provisions included in these self-regulatory policies, and (2) comparing code content across regions and sectors. To this end, the study uses hand-coding and novel text-as-data techniques for content analysis of a large sample of 880 codes of conduct. Results show that a standardized list of labor rights is included in up to 90% of the aforementioned codes, regardless of the location or sector of the drafting company. Codes are drafted with a clear influence from internationally recognized standards, even though a minority of codes directly refer to international texts. However, the similarity of codes is limited as they differ in length and extent to which they elaborate certain topics. This latter aspect is correlated with the firms' location and the sector they operate in. The research demonstrates that European companies refer to the legal framework and international standards extensively, while American companies more often develop their corporate ethical values or focus on governance and their relationship with suppliers. It also empirically shows that companies evolving in reputation-sensitive sectors are developing more specific codes including more detailed labor provisions.</t>
  </si>
  <si>
    <t>[Vandenbroucke, Sarah] Leiden Univ, Dept Business Studies, Rapenburg 70, NL-2311 EZ Leiden, Netherlands; [Kantorowicz, Jaroslaw] Leiden Univ, Inst Secur &amp; Global Affairs, Leiden, Netherlands; [Erkens, Yvonne] Leiden Univ, Dept Labour Law, Leiden, Netherlands</t>
  </si>
  <si>
    <t>Leiden University - Excl LUMC; Leiden University; Leiden University - Excl LUMC; Leiden University; Leiden University - Excl LUMC; Leiden University</t>
  </si>
  <si>
    <t>Vandenbroucke, S (corresponding author), Leiden Univ, Dept Business Studies, Rapenburg 70, NL-2311 EZ Leiden, Netherlands.</t>
  </si>
  <si>
    <t>s.e.m.vandenbroucke@law.leidenuniv.nl</t>
  </si>
  <si>
    <t>Vandenbroucke, Sarah/0000-0002-3224-4793</t>
  </si>
  <si>
    <t>10.1002/csr.2580</t>
  </si>
  <si>
    <t>P3TE2</t>
  </si>
  <si>
    <t>WOS:001049893400001</t>
  </si>
  <si>
    <t>Wang, H; Huang, JJ; Yang, ML; Zhou, YQ; Yin, JF; Yan, Y; Xie, NN</t>
  </si>
  <si>
    <t>Wang, Hao; Huang, Jingjing; Yang, Mingliu; Zhou, Yingqin; Yin, Junfeng; Yan, Yan; Xie, Ningning</t>
  </si>
  <si>
    <t>A novel zinc-chelating peptide identified from rapeseed (Brassica napus) protein hydrolysate: insights into its zinc-binding sites by density functional theory</t>
  </si>
  <si>
    <t>INTERNATIONAL JOURNAL OF FOOD SCIENCE AND TECHNOLOGY</t>
  </si>
  <si>
    <t>Binding site; geometric structure; quantum chemistry; rapeseed protein; zinc chelating peptide</t>
  </si>
  <si>
    <t>CALCIUM-BINDING; PURIFICATION; STABILITY; CAPACITY; REMOVAL; COPPER; IONS</t>
  </si>
  <si>
    <t>The binding sites between zinc chelating peptide (ZCP) and zinc have not been clearly understood at the quantum chemistry level. Ala-Ser-His (ASH), a new ZCP located in the cruciferin precursor, was identified from in vitro digestion hydrolysate of rapeseed (Brassica napus) protein. Also, ASH exerted the concentration value of 114.09 &amp; PLUSMN; 0.98 mM showing 50% zinc chelating activity. The prepared ASH-Zn (ZCP-zinc chelate), displayed varying characteristics from ASH on surface microstructures, X-ray photon energies, and infrared spectrum. The geometric structure of ASH-Zn with minimum free energy was obtained using density functional theory, producing a bridge bond of O-21-Zn-41-O-32 between Ser and His residues. Based on the basic set of 6-311++G (d, p), O-21-Zn (41) and O-32-Zn-41, respectively, had bond lengths of 1.96503 &amp; ANGS; and 1.94515 &amp; ANGS;, while O-21-Zn-41-O-32 displayed a bond angle of 136.41069 &amp; DEG;. These findings further promote research on rapeseed proteins providing new possibilities for studying peptide-metal chelates.</t>
  </si>
  <si>
    <t>[Wang, Hao; Huang, Jingjing; Yang, Mingliu; Zhou, Yingqin; Yin, Junfeng; Yan, Yan; Xie, Ningning] Anhui Acad Agr Sci, Inst Agroprod Sci &amp; Technol, Hefei 230031, Peoples R China; [Wang, Hao; Huang, Jingjing; Yang, Mingliu; Zhou, Yingqin; Yin, Junfeng; Yan, Yan; Xie, Ningning] Anhui Engn Lab Funct Microorganisms &amp; Fermented Fo, Hefei 230031, Peoples R China; [Wang, Hao] Zhejiang Ocean Univ, Sch Food &amp; Pharm, Zhoushan 316022, Peoples R China</t>
  </si>
  <si>
    <t>Anhui Academy of Agricultural Sciences; Zhejiang Ocean University</t>
  </si>
  <si>
    <t>Xie, NN (corresponding author), Anhui Acad Agr Sci, Inst Agroprod Sci &amp; Technol, Hefei 230031, Peoples R China.;Xie, NN (corresponding author), Anhui Engn Lab Funct Microorganisms &amp; Fermented Fo, Hefei 230031, Peoples R China.</t>
  </si>
  <si>
    <t>ningxie512@aaas.org.cn</t>
  </si>
  <si>
    <t>Zhou, Yingqin/0000-0002-8374-6216</t>
  </si>
  <si>
    <t>Natural Science Foundation of China [31401620]; Nature Science Research Project of Anhui Province [2108085QC145]</t>
  </si>
  <si>
    <t>Natural Science Foundation of China(National Natural Science Foundation of China (NSFC)); Nature Science Research Project of Anhui Province</t>
  </si>
  <si>
    <t>Acknowledgments The authors acknowledge the financial support from the Natural Science Foundation of China (No. 31401620) and the Nature Science Research Project of Anhui Province (2108085QC145).</t>
  </si>
  <si>
    <t>0950-5423</t>
  </si>
  <si>
    <t>1365-2621</t>
  </si>
  <si>
    <t>INT J FOOD SCI TECH</t>
  </si>
  <si>
    <t>Int. J. Food Sci. Technol.</t>
  </si>
  <si>
    <t>10.1111/ijfs.16622</t>
  </si>
  <si>
    <t>P2RC4</t>
  </si>
  <si>
    <t>WOS:001049153100001</t>
  </si>
  <si>
    <t>Wang, Y; Li, ZJ; Liu, ZG; Yi, YP</t>
  </si>
  <si>
    <t>Wang, Ya; Li, Zhi-Jian; Liu, Zheng-Guo; Yi, Yun-Peng</t>
  </si>
  <si>
    <t>A novel shell-based hierarchical multiscale model for studying three-dimensional four-directional braided composite shafts</t>
  </si>
  <si>
    <t>braided composite shaft; damage analysis; hierarchical multiscale model; parametric study; tubular unit cell</t>
  </si>
  <si>
    <t>TOPOLOGICAL YARN STRUCTURE; POSTBUCKLING ANALYSIS; CYLINDRICAL-SHELLS; DAMAGE; TUBES; FAILURE; CRASHWORTHINESS; DEFORMATION</t>
  </si>
  <si>
    <t>The mechanical properties of three-dimensional (3D) braided composites are related to damage evolution. However, the multi-scale damage mechanism of 3D braided composite shafts remains unclear. The main purpose of this article is to propose a shell-based multiscale finite element model for effectively predicting the compressive and torsional properties of 3D four-directional (3D4d) braided composite shafts. Considering the relation between equivalent ply angles and yarn structures, the multiscale model was developed based on a universal tubular unit cell. The equivalent ply angle was derived through the yarns' local braiding and horizontal orientation angles, and the elastic properties of each equivalent ply were derived through the stiffness averaging method. Both derivations were achieved by creatively utilizing deformation gradient theory and Nanson's formula from continuum mechanics. LaRC04 failure criteria and energy-based damage evolution law were implemented to characterize the equivalent UD-ply's damage behaviors. The proposed model was validated experimentally, and good agreements were observed between the failure morphologies and load-displacement curves of FEA and experimental results. The results show that the fiber tension and compression damages are the major failure modes of 3D4d braided composite shafts under compressive and torque loads, respectively. Finally, a parametric study was carried out and compared with that from other literature to clarify the meaning of this article in relevant studies. It provides an efficient and useful tool for the design and manufacturing of 3D4d braided composite shafts with desirable mechanical properties. Highlights 1. A shell-based hierarchical multiscale model is developed for 3D braided composite shafts. 2. An analyzing method is developed to investigate the tubular yarn structures. 3. A large-scale torsional experimental scheme is developed.</t>
  </si>
  <si>
    <t>[Wang, Ya; Li, Zhi-Jian] Hunan Univ, State Key Lab Adv Design &amp; Mfg Vehicle Body, Changsha, Peoples R China; [Liu, Zheng-Guo; Yi, Yun-Peng] Behang Univ BUAA, Sch Aeronaut Sci &amp; Engn, Beijing, Peoples R China; [Liu, Zheng-Guo] Beijing 3D Braiding Co Ltd, Res &amp; Dev Dept, Beijing, Peoples R China; [Li, Zhi-Jian] Hunan Univ, State Key Lab Adv Design &amp; Mfg Vehicle Body, Changsha 410082, Peoples R China</t>
  </si>
  <si>
    <t>Hunan University; Hunan University</t>
  </si>
  <si>
    <t>Li, ZJ (corresponding author), Hunan Univ, State Key Lab Adv Design &amp; Mfg Vehicle Body, Changsha 410082, Peoples R China.</t>
  </si>
  <si>
    <t>zjli95@hnu.edu.cn</t>
  </si>
  <si>
    <t>Li, Zhi-Jian/HDL-6844-2022</t>
  </si>
  <si>
    <t>Li, Zhi-Jian/0000-0003-3474-0763</t>
  </si>
  <si>
    <t>Natural Science Foundation of Hunan Province [2021JJ30083]; State Key Laboratory of Advanced Design and Manufacturing for Vehicle Body [72175002]; Foundation of Equipment Pre-research Area [514010502-204]; Key Research and Development Program of Hunan Province of China [2022GK2044]; Postgraduate Scientific Research Innovation Project of Hunan Province [CX20230419]</t>
  </si>
  <si>
    <t>Natural Science Foundation of Hunan Province(Natural Science Foundation of Hunan Province); State Key Laboratory of Advanced Design and Manufacturing for Vehicle Body; Foundation of Equipment Pre-research Area; Key Research and Development Program of Hunan Province of China; Postgraduate Scientific Research Innovation Project of Hunan Province</t>
  </si>
  <si>
    <t>ACKNOWLEDGMENTS The research is supported by the Natural Science Foundation of Hunan Province (2021JJ30083), the State Key Laboratory of Advanced Design and Manufacturing for Vehicle Body (72175002), Foundation of Equipment Pre-research Area (514010502-204), Key Research and Development Program of Hunan Province of China (2022GK2044), and Postgraduate Scientific Research Innovation Project of Hunan Province (CX20230419).</t>
  </si>
  <si>
    <t>10.1002/pc.27632</t>
  </si>
  <si>
    <t>P2WD4</t>
  </si>
  <si>
    <t>WOS:001049284500001</t>
  </si>
  <si>
    <t>Wei, JD; Zhu, MM; Liu, B; Wang, N; Liu, JY; Tomishige, K; Liu, SB; Liu, GZ</t>
  </si>
  <si>
    <t>Wei, Junde; Zhu, Mengmeng; Liu, Ben; Wang, Nan; Liu, Jieyi; Tomishige, Keiichi; Liu, Sibao; Liu, Guozhu</t>
  </si>
  <si>
    <t>Hydrodeoxygenation of Oxygen-Containing Aromatic Plastic Wastes to Liquid Organic Hydrogen Carriers</t>
  </si>
  <si>
    <t>Cycloalkanes; Hydrodeoxygenation; LOHCs; Plastic; Ru-Re</t>
  </si>
  <si>
    <t>SELECTIVE HYDROGENOLYSIS; GLYCEROL; 1,3-PROPANEDIOL; CATALYSIS; FUELS</t>
  </si>
  <si>
    <t>To address the global plastic pollution issues and the challenges of hydrogen storage and transportation, we report a system, based on the hydrodeoxygenation (HDO) of oxygen-containing aromatic plastic wastes, from which organic hydrogen carriers (LOHCs) can be derived. We developed a catalytic system comprised of Ru-ReOx/SiO2+HZSM-5 for direct HDO of polycarbonate (PC), polyethylene terephthalate (PET), polybutylene terephthalate (PBT), polyphenylene oxide (PPO), and their mixtures, to cycloalkanes as LOHCs, with high yields up to 99 %, under mild reaction conditions. The theoretical hydrogen storage capacity reaches ca. 5.74 wt%. The reaction pathway involves depolymerization of PC into C-15 aromatics and C-15 monophenols by direct hydrogenolysis of the C-O bond between the benzene ring and ester group, and subsequent parallel hydrogenation of C-15 aromatics and HDO of C-15 monophenols. HDO of cyclic alcohol is the rate-determining step. The active site is Ru metallic nanoparticles with partially covered ReOx species. The excellent performance is attributed to the synergetic effect of oxophilic ReOx species and Ru metallic sites for C-O hydrogenolysis and hydrogenation, and the promotion effect of HZSM-5 for dehydration of cyclic alcohol. The highly efficient and stable dehydrogenation of cycloalkanes over Pt/&amp; gamma;-Al2O3 confirms that HDO products can act as LOHCs.</t>
  </si>
  <si>
    <t>[Wei, Junde; Zhu, Mengmeng; Wang, Nan; Liu, Jieyi; Liu, Sibao; Liu, Guozhu] Minist Educ, Sch Chem Engn &amp; Technol, Key Lab Green Chem Technol, Tianjin 300072, Peoples R China; [Liu, Sibao; Liu, Guozhu] Haihe Lab Sustainable Chem Transformat, Tianjin 300192, Peoples R China; [Liu, Ben; Tomishige, Keiichi] Tohoku Univ, Grad Sch Engn, Dept Appl Chem, Aoba 6-6-07,Aoba Ku, Sendai, Miyagi 9808579, Japan; [Liu, Guozhu] Tianjin Univ, Zhejiang Inst, Ningbo 315201, Zhejiang, Peoples R China; [Tomishige, Keiichi] Tohoku Univ, Adv Inst Mat Res WPI AIMR, 2-1-1 Katahira,Aoba Ku, Sendai, Miyagi 9808577, Japan</t>
  </si>
  <si>
    <t>Tohoku University; Tianjin University; Tohoku University</t>
  </si>
  <si>
    <t>Liu, SB; Liu, GZ (corresponding author), Minist Educ, Sch Chem Engn &amp; Technol, Key Lab Green Chem Technol, Tianjin 300072, Peoples R China.;Liu, SB; Liu, GZ (corresponding author), Haihe Lab Sustainable Chem Transformat, Tianjin 300192, Peoples R China.;Liu, GZ (corresponding author), Tianjin Univ, Zhejiang Inst, Ningbo 315201, Zhejiang, Peoples R China.</t>
  </si>
  <si>
    <t>liusibao@tju.edu.cn; gliu@tju.edu.cn</t>
  </si>
  <si>
    <t>National Natural Science Foundation of China [22208243]</t>
  </si>
  <si>
    <t>Acknowledgments We thank the National Natural Science Foundation of China (22208243) for financial support.</t>
  </si>
  <si>
    <t>10.1002/anie.202310505</t>
  </si>
  <si>
    <t>P2HY3</t>
  </si>
  <si>
    <t>WOS:001048913600001</t>
  </si>
  <si>
    <t>Wojnowski, MA; Martin, JL; Kanber, M; Ngo, K; Hendricks, G; Uzarski, JR; Zlotak, A; McDonnell, C; Trubko, R; Beltran-Huarac, J; Grimm, RL; Coburn, JM</t>
  </si>
  <si>
    <t>Wojnowski, Melissa A.; Martin, Julia L.; Kanber, Mohammad; Ngo, Ken; Hendricks, Gregory; Uzarski, Joshua R.; Zlotak, Aidan; McDonnell, Camille; Trubko, Raisa; Beltran-Huarac, Juan; Grimm, Ronald L.; Coburn, Jeannine M.</t>
  </si>
  <si>
    <t>Iron-Chelated Silk Microfibers as a Novel Magneto-Responsive Architecture for In Situ Aligning Biomaterial Scaffolds</t>
  </si>
  <si>
    <t>alignments; fibers; irons; magnetic biomaterials; silks</t>
  </si>
  <si>
    <t>BIOMEDICAL APPLICATIONS; FIBROIN; NANOPARTICLES; TOXICITY; CELLS; METAL; IONS</t>
  </si>
  <si>
    <t>Magnetically functionalized biomaterials represent an exciting prospect in the development of stimuli-responsive tissue engineering scaffolds. Magneto-responsive properties are traditionally imparted to scaffold systems via integration of iron oxide-based magnetic nanoparticles (MNPs), yet poor understanding of long-term MNP toxicity presents a significant translational challenge. Given the demonstrated iron-binding capacity of silk fibroin (SF), passive chelation of ferric iron ions is explored herein as an alternative, MNP-free approach for magnetic functionalization of silk fibroin (SF)-based biomaterials. SF microfibers treated with aqueous ferric chloride (FeCl3) exhibit significantly increased iron content relative to the nascent protein. Coupled with the absence of detectable chlorine traces and inorganic iron oxide species, the ferric oxidation state of the iron detected within the FeCl3-treated microfibers suggests that iron is incorporated, without reduction, at innate oxygen-containing ligands in SF. On exposure to an external magnetic field, these ferric iron-chelated SF microfibers (Fe3+-mSF) display paramagnetic magnetization behaviors that facilitate field-parallel alignment. Both magnetization and directional uniformity increase with iron exposure during FeCl3 treatment, suggesting the observed magnetic response of Fe3+-mSF is derived from the chelated iron. This work is the first to investigate the magneto-responsive properties and biocompatibility of ferric iron-chelated SF, highlighting a novel, MNP-free mechanism for synthesizing magnetically functionalizedscaffolds.</t>
  </si>
  <si>
    <t>[Wojnowski, Melissa A.; Coburn, Jeannine M.] Worcester Polytech Inst, Dept Biomed Engn, 100 Inst Rd, Worcester, MA 01609 USA; [Martin, Julia L.; Grimm, Ronald L.] Worcester Polytech Inst, Dept Chem &amp; Biochem, 100 Inst Rd, Worcester, MA 01609 USA; [Kanber, Mohammad; Beltran-Huarac, Juan] East Carolina Univ, Dept Phys, E 5th St, Greenville, NC 27858 USA; [Ngo, Ken; Uzarski, Joshua R.] US Army, DEVCOM Soldier Ctr, Gen Greene Ave, Natick, MA 01760 USA; [Hendricks, Gregory] Univ Massachusetts, Dept Radiol, Div Cell Biol &amp; Imaging, Chan Med Sch, 55 Lake Ave North, Worcester, MA 01655 USA; [Zlotak, Aidan; McDonnell, Camille; Trubko, Raisa] Worcester Polytech Inst, Dept Phys, 100 Inst Rd, Worcester, MA 01609 USA</t>
  </si>
  <si>
    <t>Worcester Polytechnic Institute; Worcester Polytechnic Institute; University of North Carolina; East Carolina University; University of Massachusetts System; University of Massachusetts Worcester; Worcester Polytechnic Institute</t>
  </si>
  <si>
    <t>Coburn, JM (corresponding author), Worcester Polytech Inst, Dept Biomed Engn, 100 Inst Rd, Worcester, MA 01609 USA.</t>
  </si>
  <si>
    <t>jmcoburn@wpi.edu</t>
  </si>
  <si>
    <t>Trubko, Raisa/0000-0002-1571-1345</t>
  </si>
  <si>
    <t>Bryon Riesch Paralysis Foundation; Worcester Polytechnic Institute; Aberdale Family Graduate Fellowship (The Aberdale Foundation); East Carolina University through the Division of Research, Economic Development and Engagement (REDE); Department of Physics; North Carolina Biotechnology Center [S10RR021043]; National Institutes of Health National Center for Research Resources; Thomas Harriot College of Arts and Sciences; [217594]</t>
  </si>
  <si>
    <t>Bryon Riesch Paralysis Foundation; Worcester Polytechnic Institute; Aberdale Family Graduate Fellowship (The Aberdale Foundation); East Carolina University through the Division of Research, Economic Development and Engagement (REDE); Department of Physics; North Carolina Biotechnology Center; National Institutes of Health National Center for Research Resources(United States Department of Health &amp; Human ServicesNational Institutes of Health (NIH) - USANIH National Center for Research Resources (NCRR)); Thomas Harriot College of Arts and Sciences;</t>
  </si>
  <si>
    <t>There are several funding and support services to acknowledge that made this research possible. This work was supported in part by the Bryon Riesch Paralysis Foundation and startup funds provided &amp; nbsp;by Worcester Polytechnic Institute. Funding support for M.A.W. was provided by the Aberdale Family Graduate Fellowship (The Aberdale Foundation). Support for J.L.M. and the XPS experiments was provided by the DEVCOM Soldier Center In-house Independent Laboratory (ILIR) basic research program. This manuscript was approved for public release by the DEVCOM Soldier Center Public Affairs Office(Approval Number PR2023_72938). Support for M.K. and the VSM experiments was provided by startup support to J.B.-H. from East Carolina University through the Division of Research, Economic Development and Engagement (REDE), Thomas Harriot College of Arts and Sciences, and the Department of Physics. This material is based upon work supported in part by the North Carolina Biotechnology Center (Award Number 217594). This work used resources from the Electron Microscopy Core Facility at UMass Chan Medical School supported by the National Institutes of Health National Center for Research Resources (Award Number S10RR021043). All funders had no role in study design, data collection, and analysis, and the decision to publish, or preparation of the manuscript.</t>
  </si>
  <si>
    <t>10.1002/adfm.202305519</t>
  </si>
  <si>
    <t>P3QX8</t>
  </si>
  <si>
    <t>WOS:001049834000001</t>
  </si>
  <si>
    <t>Wulamujiang, A; Ozkanli, S; Coskunpinar, E; Canbaz, HT; Yesilay, G; Tekayev, M; Sevgin, K</t>
  </si>
  <si>
    <t>Wulamujiang, Aini; Ozkanli, Seyma; Coskunpinar, Ender; Canbaz, Halime Tuba; Yesilay, Gamze; Tekayev, Muhammetnur; Sevgin, Kubra</t>
  </si>
  <si>
    <t>Lowered IL-37 gene expression and elevated IL-37-producing tissue-resident immune cells in psoriasis lesional biopsies</t>
  </si>
  <si>
    <t>CD4; CD68; Foxp3; IL-37; psoriasis; RT-qPCR</t>
  </si>
  <si>
    <t>INTERLEUKIN-37; INSIGHTS</t>
  </si>
  <si>
    <t>Psoriasis is an immune cell-dependent chronic autoimmune skin disorder. Interleukin 37 (IL-37) is a cytokine belonging to the IL-1 family that shows anti-inflammatory and protective effects in various mouse models of psoriasis. Even though various animal models are used to investigate the pathogenic mechanisms of psoriasis, human clinical studies are still needed to make up for the deficiencies, as animal models generally do not exhibit the complex phenotypic features of human psoriasis. Our study aims to demonstrate the relationship between IL-37-producing tissue-resident immune cells with the pathogenesis of psoriasis. The present study was performed on 28 psoriasis patients and 17 healthy volunteers. The ability of anti-inflammatory cytokine IL-37 to impede inflammation and regulate metabolic pathways was assessed by real-time quantitative polymerase chain reaction. Finally, immunofluorescence double staining for CD4(+)IL-37b(+), CD68(+)IL-37b(+), and (forkhead box protein P3) Foxp3(+)IL-37b(+) was performed. The proportion of CD4(+)IL-37b(+) T cells, CD68(+)IL-37b(+) macrophages, and Foxp3(+)IL-37b(+) T regulatory (Treg) cells was significantly increased in the psoriasis group compared to the control group. IL-37 gene expression was downregulated in psoriasis when contrasted to the control group. Our findings disclosed that IL-37-producing tissue-resident immune cells might be involved in the pathogenesis of psoriasis, and thus may be a therapeutic target for individuals with psoriasis.</t>
  </si>
  <si>
    <t>[Wulamujiang, Aini; Sevgin, Kubra] Univ Hlth Sci, Hamidiye Int Sch Med, Dept Histol &amp; Embryol, Istanbul, Turkiye; [Ozkanli, Seyma] Goztepe Training &amp; Res Hosp, Dept Pathol, Istanbul, Turkiye; [Coskunpinar, Ender] Univ Hlth Sci, Hamidiye Sch Med, Dept Med Biol, Istanbul, Turkiye; [Canbaz, Halime Tuba; Tekayev, Muhammetnur] Univ Hlth Sci, Hamidiye Sch Med, Dept Histol &amp; Embryol, Istanbul, Turkiye; [Yesilay, Gamze] Univ Hlth Sci, Hamidiye Inst Hlth Sci, Dept Mol Biol &amp; Genet, Istanbul, Turkiye; [Yesilay, Gamze] Univ Hlth Sci, Expt Med Applicat &amp; Res Ctr, Validebag Res Pk, Istanbul, Turkiye</t>
  </si>
  <si>
    <t>University of Health Sciences Turkey; Istanbul Goztepe Training and Research Hospital; University of Health Sciences Turkey; University of Health Sciences Turkey; University of Health Sciences Turkey; University of Health Sciences Turkey</t>
  </si>
  <si>
    <t>Wulamujiang, A (corresponding author), Univ Hlth Sci, Hamidiye Int Sch Med, Dept Histol &amp; Embryol, Istanbul, Turkiye.</t>
  </si>
  <si>
    <t>gulam_81@hotmail.com</t>
  </si>
  <si>
    <t>Tekayev, Muhammetnur/X-9542-2018</t>
  </si>
  <si>
    <t>Tekayev, Muhammetnur/0000-0003-1407-6199; Coskunpinar, Ender/0000-0002-1003-5544; SEVGIN, KUBRA/0000-0001-8250-8227</t>
  </si>
  <si>
    <t>10.1111/pin.13364</t>
  </si>
  <si>
    <t>P2FJ6</t>
  </si>
  <si>
    <t>WOS:001048846900001</t>
  </si>
  <si>
    <t>Xie, W; Wang, WJ; Meng, SL; Wu, X; Liu, XY; Liu, YH; Kang, XY; Su, Y; Lv, XF; Guo, LL; Wang, CY</t>
  </si>
  <si>
    <t>Xie, Wan; Wang, Weijiao; Meng, Silu; Wu, Xue; Liu, Xiaoyu; Liu, Yuhuan; Kang, Xiaoyan; Su, Yue; Lv, Xiaofeng; Guo, Lili; Wang, Changyu</t>
  </si>
  <si>
    <t>A novel hypoxia-stimulated lncRNA HIF1A-AS3 binds with YBX1 to promote ovarian cancer tumorigenesis by suppressing p21 and AJAP1 transcription</t>
  </si>
  <si>
    <t>MOLECULAR CARCINOGENESIS</t>
  </si>
  <si>
    <t>AJAP1; HIF1A-AS3; hypoxia; ovarian cancer; p21; YBX1</t>
  </si>
  <si>
    <t>Hypoxia is characteristic of the ovarian tumor (OC) microenvironment and profoundly affects tumorigenesis and therapeutic response. Long noncoding RNAs (lncRNAs) play various roles in tumor progression; however, the characteristics of lncRNAs in pathological responses of the OC microenvironment are not entirely understood. Through high-throughput sequencing, lncRNA expression in hypoxia (1% O-2) and normoxia (21% O-2) SKOV3 cells was explored and analyzed. The 5 &amp; PRIME;- and 3 &amp; PRIME;-rapid amplification of complementary DNA ends was used to detect the full length of the novel HIF1A-AS3 transcript. Real-time quantitative polymerase chain reaction was used to assess HIF1A-AS3 expression in OC cells and tissues. In vitro and in vivo evaluations of the biological functions of hypoxic HIF1A-AS3 were conducted. To clarify the underlying mechanisms of HIF1A-AS3 in hypoxic OC, a dual-luciferase assay, chromatin immunoprecipitation, RNA pull-down, RNA immunoprecipitation, and RNA-sequencing were used. We used high-throughput sequencing to investigate a novel lncRNA, HIF1A-AS3, as a hypoxic candidate significantly elevated in OC cells/tissues. HIF1A-AS3 was predominantly localized in the nucleus and promoted in vitro and in vivo OC growth and tumorigenesis. Hypoxia-inducible factor 1 &amp; alpha; bound to hypoxia response elements in the HIF1A-AS3 promoter region and stimulated its expression in hypoxia. Under hypoxia, HIF1A-AS3 directly integrated with Y-Box binding protein 1 and inhibited its ability to bind to the promoters of p21 and AJAP1 to repress their transcriptional activity, thereby promoting hypoxic OC progression. Our results revealed the crucial role and mechanism of the novel hypoxic HIF1A-AS3 in the oncogenesis of OC. The novel HIF1A-AS3 could be a crucial biomarker and therapeutic target for future OC treatments.</t>
  </si>
  <si>
    <t>[Xie, Wan; Wang, Weijiao; Meng, Silu; Liu, Xiaoyu; Liu, Yuhuan; Kang, Xiaoyan; Su, Yue; Lv, Xiaofeng; Guo, Lili; Wang, Changyu] Huazhong Univ Sci &amp; Technol, Tongji Hosp, Tongji Med Coll, Dept Obstet &amp; Gynecol, Wuhan, Peoples R China; [Xie, Wan; Wang, Weijiao; Meng, Silu; Liu, Xiaoyu; Liu, Yuhuan; Kang, Xiaoyan; Su, Yue; Lv, Xiaofeng; Guo, Lili; Wang, Changyu] Huazhong Univ Sci &amp; Technol, Tongji Hosp, Tongji Med Coll, Canc Biol Res Ctr, Wuhan, Peoples R China; [Wu, Xue] Chinese Acad Med Sci &amp; Peking Union Med Coll, Canc Hosp, Natl Canc Ctr, Natl Clin Res Ctr Canc,Dept Med Oncol, Shenzhen, Peoples R China; [Wu, Xue] Chinese Acad Med Sci &amp; Peking Union Med Coll, Shenzhen Hosp, Shenzhen, Peoples R China; [Guo, Lili; Wang, Changyu] 1095 Jiefang Anv, Wuhan 430030, Hubei, Peoples R China</t>
  </si>
  <si>
    <t>Huazhong University of Science &amp; Technology; Huazhong University of Science &amp; Technology; Chinese Academy of Medical Sciences - Peking Union Medical College; Peking Union Medical College; Chinese Academy of Medical Sciences - Peking Union Medical College; Peking Union Medical College</t>
  </si>
  <si>
    <t>Guo, LL; Wang, CY (corresponding author), 1095 Jiefang Anv, Wuhan 430030, Hubei, Peoples R China.</t>
  </si>
  <si>
    <t>sunnylili11@126.com; tjwcy66@163.com</t>
  </si>
  <si>
    <t>National Nature Science Foundation of China [81974411, 81802612]</t>
  </si>
  <si>
    <t>National Nature Science Foundation of China(National Natural Science Foundation of China (NSFC))</t>
  </si>
  <si>
    <t>ACKNOWLEDGMENTS This work was funded by the National Nature Science Foundation of China (Grant No. 81974411 and 81802612).</t>
  </si>
  <si>
    <t>0899-1987</t>
  </si>
  <si>
    <t>1098-2744</t>
  </si>
  <si>
    <t>MOL CARCINOGEN</t>
  </si>
  <si>
    <t>Mol. Carcinog.</t>
  </si>
  <si>
    <t>10.1002/mc.23620</t>
  </si>
  <si>
    <t>Biochemistry &amp; Molecular Biology; Oncology</t>
  </si>
  <si>
    <t>P2FE4</t>
  </si>
  <si>
    <t>WOS:001048841700001</t>
  </si>
  <si>
    <t>Zhang, YC; Kentish, S; Scholes, CA</t>
  </si>
  <si>
    <t>Zhang, Yuecheng; Kentish, Sandra; Scholes, Colin A.</t>
  </si>
  <si>
    <t>Reducing ammonia permeance in poly(acrylonitrile-co-butadiene) (NBR)-based elastomers</t>
  </si>
  <si>
    <t>JOURNAL OF APPLIED POLYMER SCIENCE</t>
  </si>
  <si>
    <t>amine; ammonia; elastomer; graphene oxide; permeability</t>
  </si>
  <si>
    <t>BLENDS; BARRIER; CELLULOSE; RUBBER; NANOCOMPOSITES; PERMEABILITY; PERFORMANCE; BEHAVIOR; ALCOHOL); OXIDE</t>
  </si>
  <si>
    <t>Ammonia (NH3) has emerged as a sustainable future fuel for a low-carbon future. Ideally, the transportation and storage of ammonia in re-purposed natural gas networks will dramatically reduce the economic burden associated with converting to ammonia. However, the highly condensable nature and small kinetic diameter of the ammonia means that this fuel readily permeates through the polymer-based elastomers and gaskets used in natural gas infrastructure. To mitigate this issue, three kinds of additives have been incorporated into the conventional natural gas elastomer poly(acrylonitrile-co-butadiene) (NBR) to reduce ammonia permeance. The first is based on increasing the basicity of the elastomer environment, the second provides chemical reactivity with ammonia to limit transport, and the third uses barrier additives to prevent diffusion. The mechanical properties of the modified elastomers; expressed as the tensile stress at yield and Young's modulus were studied. The creation of a basic environment through the addition of amines resulted in moderate changes in ammonia permeability, with up to 50% reduction of ammonia permeability observed from putrescine added NBR. Chemical additives lowered the permeability by up to 20% with limited impact on the tensile properties. The addition of 3% graphene oxide to NBR had the most significant decrease in ammonia permeability, 80%, but also produced a more rigid material. The investigation shows that ammonia permeability can be significantly reduced in NBR elastomers, through the addition of inexpensive additives in tailored strategies.</t>
  </si>
  <si>
    <t>[Zhang, Yuecheng; Kentish, Sandra; Scholes, Colin A.] Univ Melbourne, Dept Chem Engn, Melbourne, Vic, Australia; [Scholes, Colin A.] Univ Melbourne, Dept Chem Engn, Melbourne, Vic 3010, Australia</t>
  </si>
  <si>
    <t>University of Melbourne; University of Melbourne</t>
  </si>
  <si>
    <t>Scholes, CA (corresponding author), Univ Melbourne, Dept Chem Engn, Melbourne, Vic 3010, Australia.</t>
  </si>
  <si>
    <t>cascho@unimelb.edu.au</t>
  </si>
  <si>
    <t>Future Fuels Cooperative Research Centre</t>
  </si>
  <si>
    <t>0021-8995</t>
  </si>
  <si>
    <t>1097-4628</t>
  </si>
  <si>
    <t>J APPL POLYM SCI</t>
  </si>
  <si>
    <t>J. Appl. Polym. Sci.</t>
  </si>
  <si>
    <t>10.1002/app.54566</t>
  </si>
  <si>
    <t>P3SS8</t>
  </si>
  <si>
    <t>WOS:001049882000001</t>
  </si>
  <si>
    <t>Zobel, JM</t>
  </si>
  <si>
    <t>Zobel, John M. M.</t>
  </si>
  <si>
    <t>Measurement error effects on estimates from linear and nonlinear regression whole-stand yield models</t>
  </si>
  <si>
    <t>NATURAL RESOURCE MODELING</t>
  </si>
  <si>
    <t>errors-in-variables; sensitivity analysis; stochastic measurement error; systematic measurement error; system of equations; whole-stand yield models</t>
  </si>
  <si>
    <t>SENSITIVITY-ANALYSIS; GROWTH-MODEL; PINE</t>
  </si>
  <si>
    <t>Systems of whole-stand yield models facilitate projections of forest attributes, but their inputs may be difficult to measure accurately. This study conducted sensitivity analyses to examine the effect of systematic and stochastic measurement errors on outputs from a representative system of equations. Simulated error was added to explanatory variables stand age, site index, or both. Results showed that large systematic error in one variable tended to produce moderate to large percent changes in all models, particularly the height and volume equations (often &gt;50% change). Systematic error in both variables amplified this effect, especially for young, less productive stands. Stochastic error dramatically increased estimate variability (some relative standard errors &gt;50%), particularly in the height and volume models at young ages and low site indices. These results suggest that measurement error may considerably alter projections and increase uncertainty when using whole-stand yield models, highlighting the need for careful crew training.</t>
  </si>
  <si>
    <t>[Zobel, John M. M.] Univ Minnesota, Dept Forest Resources, 1530 Cleveland Ave N, St Paul, MN 55108 USA</t>
  </si>
  <si>
    <t>University of Minnesota System; University of Minnesota Twin Cities</t>
  </si>
  <si>
    <t>Zobel, JM (corresponding author), Univ Minnesota, Dept Forest Resources, 1530 Cleveland Ave N, St Paul, MN 55108 USA.</t>
  </si>
  <si>
    <t>jzobel@umn.edu</t>
  </si>
  <si>
    <t>Department of Forest Resources, University of Minnesota; Department of Forestry, Wildlife and Fisheries, University of Tennessee; Minnesota Agricultural Experiment Station; National Institute of Food and Agriculture, U.S. Department of Agriculture, McIntire Stennis [1020087]</t>
  </si>
  <si>
    <t>Department of Forest Resources, University of Minnesota(University of Minnesota System); Department of Forestry, Wildlife and Fisheries, University of Tennessee; Minnesota Agricultural Experiment Station; National Institute of Food and Agriculture, U.S. Department of Agriculture, McIntire Stennis</t>
  </si>
  <si>
    <t>Department of Forest Resources, University of Minnesota; Department of Forestry, Wildlife and Fisheries, University of Tennessee; Minnesota Agricultural Experiment Station and National Institute of Food and Agriculture, U.S. Department of Agriculture, McIntire Stennis, Grant/Award Number: 1020087</t>
  </si>
  <si>
    <t>0890-8575</t>
  </si>
  <si>
    <t>1939-7445</t>
  </si>
  <si>
    <t>NAT RESOUR MODEL</t>
  </si>
  <si>
    <t>Nat. Resour. Model.</t>
  </si>
  <si>
    <t>10.1111/nrm.12384</t>
  </si>
  <si>
    <t>Environmental Sciences; Mathematics, Interdisciplinary Applications</t>
  </si>
  <si>
    <t>Environmental Sciences &amp; Ecology; Mathematics</t>
  </si>
  <si>
    <t>P3PB3</t>
  </si>
  <si>
    <t>WOS:001049785100001</t>
  </si>
  <si>
    <t>Abdalaoui, E; Shparlinski, IE; Steiner, RS</t>
  </si>
  <si>
    <t>Abdalaoui, El; Shparlinski, Igor E.; Steiner, Raphael S.</t>
  </si>
  <si>
    <t>Chowla and Sarnak conjectures for Kloosterman sums</t>
  </si>
  <si>
    <t>MATHEMATISCHE NACHRICHTEN</t>
  </si>
  <si>
    <t>Chowla conjecture; Kloosterman sum; Sarnak conjecture</t>
  </si>
  <si>
    <t>ALGEBRAIC TRACE FUNCTIONS; BILINEAR-FORMS; MULTIPLICATIVE FUNCTIONS; SELBERGS CONJECTURE; EXPONENTIAL-SUMS; LINNIK; CANCELLATIONS; MODULO</t>
  </si>
  <si>
    <t>We formulate several analogs of the Chowla and Sarnak conjectures, which are widely known in the setting of the Mobius function, in the setting of Kloosterman sums. We then show that for Kloosterman sums, in some cases, these conjectures can be established unconditionally.</t>
  </si>
  <si>
    <t>[Abdalaoui, El] Univ Rouen Normandie, Lab Math Raphael Salem, St Etienne Du Rouvray, France; [Shparlinski, Igor E.] Univ New South Wales, Dept Pure Math, Sydney, NSW 2052, Australia; [Steiner, Raphael S.] ETH, Dept Math, Zurich, Switzerland</t>
  </si>
  <si>
    <t>Universite de Rouen Normandie; University of New South Wales Sydney; Swiss Federal Institutes of Technology Domain; ETH Zurich</t>
  </si>
  <si>
    <t>Shparlinski, IE (corresponding author), Univ New South Wales, Dept Pure Math, Sydney, NSW 2052, Australia.</t>
  </si>
  <si>
    <t>igor.shparlinski@unsw.edu.au</t>
  </si>
  <si>
    <t>Steiner, Raphael Sebastian/0000-0001-8391-8949; Shparlinski, Igor/0000-0002-5246-9391</t>
  </si>
  <si>
    <t>Australian Research Council [DP170100786, DP200100355]</t>
  </si>
  <si>
    <t>Australian Research Council(Australian Research Council)</t>
  </si>
  <si>
    <t>Australian Research Council, Grant/Award Numbers: DP170100786, DP200100355</t>
  </si>
  <si>
    <t>0025-584X</t>
  </si>
  <si>
    <t>1522-2616</t>
  </si>
  <si>
    <t>MATH NACHR</t>
  </si>
  <si>
    <t>Math. Nachr.</t>
  </si>
  <si>
    <t>2023 AUG 16</t>
  </si>
  <si>
    <t>10.1002/mana.202200480</t>
  </si>
  <si>
    <t>P2WD1</t>
  </si>
  <si>
    <t>WOS:001049284200001</t>
  </si>
  <si>
    <t>Basoglu, F; Yakar, EC; Bora, MO; Tuna, V</t>
  </si>
  <si>
    <t>Basoglu, Furkan; Yakar, Ender Can; Bora, Mustafa Ozgur; Tuna, Volkan</t>
  </si>
  <si>
    <t>Comparison of low-velocity impact behavior of thick laminated composite structure with experimental and modeling technique</t>
  </si>
  <si>
    <t>composites; damage zone; finite element analysis (FEA); impact resistance</t>
  </si>
  <si>
    <t>DAMAGE; SIMULATION; TESTS</t>
  </si>
  <si>
    <t>In this study, the dynamic behavior under low-veloctiy impact of E-glass epoxy unidirectional thick laminated composite structure was investigated by numerical methods and compared with experimental results. Thereby, it was aimed to detect the impact behavior of the composite structures with numerical analysis program for reducing experimental tests on these composite structures. LS-DYNA finite element method (FEM) software was used for numerical modeling. The material model MAT055, which is based on the Tsai-Wu matrix failure modeling on damage mechanics, was selected for the analyses in LS-DYNA. Low-velocity impact analyses have been carried out on composite structures at various impact energies as a range of 15-250 J as similar to experiments. From the analysis of the plots, it can be seen that the values of absorption energy provided by the FEM analyses are close to the experimental values at all impact energy levels. It can be determined that the mean difference between the absorption energy levels provided from the experimental and numerical studies is 1.81%. In the same studies, matrix cracking was observed at 50 J impact energy value and full penetration was observed at 250 J impact energy. The error rate between the values obtained using the derived impact energy prediction equation and the values obtained as a result of numerical analysis was maximum 5.26%. Thus, derived equation was found to be reasonable for use in predicting the absorption energy. As a result, these values indicate that the experimental results are agreed well with the numerical results.</t>
  </si>
  <si>
    <t>[Basoglu, Furkan] Kocaeli Univ, Inst Sci &amp; Engn, Mech Engn Dept, Kocaeli, Turkiye; [Yakar, Ender Can; Bora, Mustafa Ozgur] Kocaeli Univ, Fac Aeronaut &amp; Astronaut, Dept Airframe &amp; Powerplant Maintenance, Kocaeli, Turkiye; [Tuna, Volkan] Turkish Aerosp Inc, Turkish Aerosp Free Zone Off, Istanbul, Turkiye</t>
  </si>
  <si>
    <t>Kocaeli University; Kocaeli University</t>
  </si>
  <si>
    <t>Yakar, EC (corresponding author), Kocaeli Univ, Fac Aeronaut &amp; Astronaut, Dept Airframe &amp; Powerplant Maintenance, Kocaeli, Turkiye.</t>
  </si>
  <si>
    <t>ender.yakar@kocaeli.edu.tr</t>
  </si>
  <si>
    <t>bora, mustafa ozgur/0000-0003-0921-418X</t>
  </si>
  <si>
    <t>10.1002/pc.27654</t>
  </si>
  <si>
    <t>P3SQ2</t>
  </si>
  <si>
    <t>WOS:001049879400001</t>
  </si>
  <si>
    <t>Bataineh, MJ; Sanchez-Sellero, P; Ayad, F</t>
  </si>
  <si>
    <t>Bataineh, Mohammad Jamal; Sanchez-Sellero, Pedro; Ayad, Fayssal</t>
  </si>
  <si>
    <t>Green is the new black: How research and development and green innovation provide businesses a competitive edge</t>
  </si>
  <si>
    <t>bias-correction estimation in panel data; competitive advantage; fuzzy difference-in-differences; green innovation; propensity score matching; R &amp; D</t>
  </si>
  <si>
    <t>PANEL-DATA MODELS; PROPENSITY SCORE; ECO-INNOVATION; ENVIRONMENTAL PERFORMANCE; SUSTAINABLE DEVELOPMENT; ADVANTAGE; STRATEGY; IMPACT; DIFFERENTIATION</t>
  </si>
  <si>
    <t>As part of the burgeoning research on green innovation (GI) and its influence on competitive advantage (CA), this paper examines the moderating effect of research and development (R &amp; D) on this nexus. Our framework identifies five critical capabilities that contribute to CA, namely, firm image, labor costs, product differentiation, product quality, and market share. Using a novel bias-correction methodology, we examined the Spanish Technological Innovation Panel (PITEC in Spanish) database from 2003 to 2016 to determine whether GI practices foster CA. Treatment-effects analyses, including propensity score matching and fuzzy difference-in-differences (DiD), demonstrated that R &amp; D expenditures have a positive moderating effect on CA when controlling for the covariates GI practices, firm age, and firm size. This research advances our understanding of the interplay between GI practices, R &amp; D investments, and CA and, as such, has implications for decision makers aiming to create sustainable CA through GI. Our findings are also highly relevant for firms seeking to remain competitive in today's evolving business climate.</t>
  </si>
  <si>
    <t>[Bataineh, Mohammad Jamal] Univ Zaragoza, Fac Econ &amp; Business, Dept Business Adm, Campus Paraiso, Zaragoza, Spain; [Sanchez-Sellero, Pedro] Univ Zaragoza, Sch Engn, Dept Business Adm, Campus Rio Ebro, Zaragoza 50018, Spain; [Ayad, Fayssal] Pole Univ Kolea, Natl Higher Sch Stat &amp; Appl Econ, Dept Econometr, Tipasa, Algeria</t>
  </si>
  <si>
    <t>University of Zaragoza; University of Zaragoza</t>
  </si>
  <si>
    <t>Sanchez-Sellero, P (corresponding author), Univ Zaragoza, Sch Engn, Dept Business Adm, Campus Rio Ebro, Zaragoza 50018, Spain.</t>
  </si>
  <si>
    <t>pedross@unizar.es</t>
  </si>
  <si>
    <t>Sanchez-Sellero, Pedro/H-4257-2015</t>
  </si>
  <si>
    <t>Sanchez-Sellero, Pedro/0000-0002-6475-0578</t>
  </si>
  <si>
    <t>MCIN/AEI; ERDF A way of making Europe [PID2021-123154NB-I00]; Government of Aragon (Spain); ERDF [S52_23R]</t>
  </si>
  <si>
    <t>MCIN/AEI; ERDF A way of making Europe; Government of Aragon (Spain)(Gobierno de Aragon); ERDF(European Union (EU))</t>
  </si>
  <si>
    <t>MCIN/AEI/10.13039/501100011033 and ERDF A way of making Europe, Grant/Award Number: PID2021-123154NB-I00; Government of Aragon (Spain) and ERDF, Grant/Award Number: COMPETE (S52_23R) research group</t>
  </si>
  <si>
    <t>10.1002/bse.3533</t>
  </si>
  <si>
    <t>P2XM8</t>
  </si>
  <si>
    <t>WOS:001049320500001</t>
  </si>
  <si>
    <t>Bironneau, V; Ingrand, P; Pontier, S; Iamandi, C; Portel, L; Martin, F; Mallart, A; Lerousseau, L; Alfandary, D; Levrat, V; Portier, F; Tamisier, R; Goutorbe, F; Rabec, C; Codron, F; Auregan, G; Mercy, M; Attali, V; Soyez, F; Launois, C; Recart, D; Vecchierini, MF; Gagnadoux, F; Meurice, JC; REDIVARIUS Grp</t>
  </si>
  <si>
    <t>Bironneau, Vanessa; Ingrand, Pierre; Pontier, Sandrine; Iamandi, Carmen; Portel, Laurent; Martin, Francis; Mallart, Anne; Lerousseau, Lionel; Alfandary, Didier; Levrat, Virginie; Portier, Florence; Tamisier, Renaud; Goutorbe, Frederic; Rabec, Claudio; Codron, Francois; Auregan, Guy; Mercy, Magalie; Attali, Valerie; Soyez, Frank; Launois, Claire; Recart, Didier; Vecchierini, Marie-Francoise; Gagnadoux, Frederic; Meurice, Jean-Claude; REDIVARIUS Grp</t>
  </si>
  <si>
    <t>Auto-adjusted versus fixed positive airway pressure in patients with severe OSA: A large randomized controlled trial</t>
  </si>
  <si>
    <t>RESPIROLOGY</t>
  </si>
  <si>
    <t>auto-adjusted mode; continuous positive airway pressure; CPAP; efficacy; fixed pressure; OSA; severe obstructive sleep apnoea; tolerance</t>
  </si>
  <si>
    <t>OBSTRUCTIVE SLEEP-APNEA; BLOOD-PRESSURE; HYPOPNEA SYNDROME; THERAPY; CPAP; CONSTANT; DEVICES; HOME</t>
  </si>
  <si>
    <t>Background and Objective: Continuous positive airway pressure (CPAP) in the treatment of severe obstructive sleep apnoea (OSA) can be used in fixed CPAP or auto-adjusted (APAP) mode. The aim of this prospective randomized controlled clinical study was to evaluate the 3 month-efficacy of CPAP used either in fixed CPAP or APAP mode.Methods: Eight hundred one patients with severe OSA were included in twenty-two French centres. After 7 days during which all patients were treated with APAP to determine the effective pressure level and its variability, 353 and 351 patients were respectively randomized in the fixed CPAP group and APAP group. After 3 months of treatment, 308 patients in each group were analysed.Results: There was no difference between the two groups in terms of efficacy whatever the level of efficient pressure and pressure variability (p = 0.41). Exactly, 219 of 308 patients (71.1%) in the fixed CPAP group and 212 of 308 (68.8%) in the APAP group (p = 0.49) demonstrated residual apnoea hypopnoea index (AHI) &lt;10/h and Epworth Score &lt;11. Tolerance and adherence were also identical with a similar effect on quality of life and blood pressure evaluation.Conclusion: The two CPAP modes, fixed CPAP and APAP, were equally effective and tolerated in severe OSA patients.</t>
  </si>
  <si>
    <t>[Bironneau, Vanessa; Meurice, Jean-Claude] Univ Poitiers, INSERM CIC 1402, IS ALIVE Res Grp, Poitiers, France; [Bironneau, Vanessa; Meurice, Jean-Claude] CHU Poitiers, Pneumol, Poitiers, France; [Ingrand, Pierre] Univ Poitiers, Poitiers, France; [Pontier, Sandrine] CHU Toulouse, Pneumol, Toulouse, France; [Iamandi, Carmen] CH Mulhouse, Pneumol, Mulhouse, France; [Portel, Laurent] CH Libourne, Pneumol, Libourne, France; [Martin, Francis] CH Compiegne, Pneumol, Compiegne, France; [Mallart, Anne] CHU Lille, Pneumol, Lille, France; [Lerousseau, Lionel] CH DAntibes, Pneumol, Antibes, France; [Alfandary, Didier] Clin Chantemerle, Pneumol, Corbeil Essonnes, France; [Levrat, Virginie] CH La Rochelle, Pneumol, La Rochelle, France; [Portier, Florence] CHU Rouen, Pneumol, Rouen, France; [Tamisier, Renaud] Univ Grenoble Alpes, Inserm U1300, CHU Grenoble Alpes, Grenoble, France; [Goutorbe, Frederic] CH Beziers, Pneumol, Beziers, France; [Rabec, Claudio] CHU Dijon, Pneumol, Dijon, France; [Codron, Francois] Clin Louviere, Pneumol, Lille, France; [Auregan, Guy] Polyclin Poitiers, Pneumol, Poitiers, France; [Mercy, Magalie] CHU Nancy, Pneumol, Nancy, France; [Attali, Valerie] Sorbonne Univ, INSERM, Neurophysiol Respiratoire Experimentale &amp; Clin, UMRS1158, Paris, France; [Attali, Valerie] Sorbonne Univ, Hop Pitie Salpetriere, AP HP, Dept R3S,Serv Pathol Sommeil, Paris, France; [Soyez, Frank] Hop Prive Antony, Antony, France; [Launois, Claire] CHU Reims, Pneumol, Reims, France; [Recart, Didier] Cabinet Med Arnasa, Pneumol, Biarritz, France; [Vecchierini, Marie-Francoise] Hop Hotel Dieu, Neuropsychiat, Paris, France; [Gagnadoux, Frederic] CHU Angers, Dept Pneumol &amp; Med Sommeil, Angers, France</t>
  </si>
  <si>
    <t>Institut National de la Sante et de la Recherche Medicale (Inserm); Universite de Poitiers; Universite de Poitiers; CHU Poitiers; Universite de Poitiers; CHU de Toulouse; Universite de Toulouse; Universite Toulouse III - Paul Sabatier; Universite de Lille - ISITE; CHU Lille; Universite de Rouen Normandie; CHU de Rouen; CHU Grenoble Alpes; Communaute Universite Grenoble Alpes; UDICE-French Research Universities; Universite Grenoble Alpes (UGA); CHU Dijon Bourgogne; CHU de Nancy; Institut National de la Sante et de la Recherche Medicale (Inserm); UDICE-French Research Universities; Sorbonne Universite; UDICE-French Research Universities; Sorbonne Universite; Universite Paris Cite; Assistance Publique Hopitaux Paris (APHP); Hopital Universitaire Saint-Louis - APHP; Hopital Universitaire Cochin - APHP; Hopital Universitaire Pitie-Salpetriere - APHP; Universite de Reims Champagne-Ardenne; UDICE-French Research Universities; Universite Paris Cite; Assistance Publique Hopitaux Paris (APHP); Hopital Universitaire Hotel-Dieu - APHP; Universite d'Angers; Centre Hospitalier Universitaire d'Angers</t>
  </si>
  <si>
    <t>Bironneau, V (corresponding author), Univ Poitiers, INSERM CIC 1402, IS ALIVE Res Grp, Poitiers, France.</t>
  </si>
  <si>
    <t>bironneau.vanessa@gmail.com</t>
  </si>
  <si>
    <t>1323-7799</t>
  </si>
  <si>
    <t>1440-1843</t>
  </si>
  <si>
    <t>Respirology</t>
  </si>
  <si>
    <t>10.1111/resp.14569</t>
  </si>
  <si>
    <t>Respiratory System</t>
  </si>
  <si>
    <t>P3TB6</t>
  </si>
  <si>
    <t>WOS:001049890800001</t>
  </si>
  <si>
    <t>Chen, KH; Nguyen, N; Huang, TY; Lin, YJ; Yu, YT; Song, HL; Wang, JT; Nguyen, V; Chen, HL; Chu, LA; Chiang, HHK; Sung, HW</t>
  </si>
  <si>
    <t>Chen, Kuan-Hung; Nguyen, Nhien; Huang, Tun-Yu; Lin, Yu-Jung; Yu, Yu-Tzu; Song, Hsiang-Lin; Wang, Jui-To; Nguyen, Van Khanh; Chen, Hsin-Lung; Chu, Li-An; Chiang, Hui-Hua Kenny; Sung, Hsing-Wen</t>
  </si>
  <si>
    <t>Macrophage-Hitchhiked Orally Administered &amp; beta;-Glucans-Functionalized Nanoparticles as Precision-Guided Stealth Missiles for Targeted Pancreatic Cancer Therapy</t>
  </si>
  <si>
    <t>desmoplastic stromal barrier; immune checkpoint blockade; intestinal epithelial barrier; macrophage hitchhiking; tumor microenvironment</t>
  </si>
  <si>
    <t>BETA-GLUCAN; DRUG-DELIVERY; TUMOR; DOXORUBICIN; DECTIN-1; ACTIVATION</t>
  </si>
  <si>
    <t>The prognosis in cases of pancreatic ductal adenocarcinoma (PDAC) with current treatment modalities is poor owing to the highly desmoplastic tumor microenvironment (TME). Herein, a &amp; beta;-glucans-functionalized zinc-doxorubicin nanoparticle system (&amp; beta;Glus-ZnD NPs) that can be orally administered, is developed for targeted PDAC therapy. Following oral administration in PDAC-bearing mice, &amp; beta;Glus-ZnD NPs actively target/transpass microfold cells, overcome the intestinal epithelial barrier, and then undergo subsequent phagocytosis by endogenous macrophages (&amp; beta;Glus-ZnD@M &amp; phi;). As hitchhiking cellular vehicles, &amp; beta;Glus-ZnD@M &amp; phi; transits through the intestinal lymphatic system and enters systemic circulation, ultimately accumulating in the tumor tissue as a result of the tumor-homing and stealth properties that are conferred by endogenous M &amp; phi;. Meanwhile, the M &amp; phi; that hitchhikes &amp; beta;Glus-ZnD NPs is activated to produce matrix metalloproteinases, destroying the desmoplastic stromal barrier, and differentiates toward the M-1-like phenotype, modulating the TME and recruiting effector T cells, ultimately inducing apoptosis of the tumor cells. The combination of &amp; beta;Glus-ZnD@M &amp; phi; and immune checkpoint blockade effectively inhibits the growth of the primary tumor and suppresses the development of metastasis. It thus represents an appealing approach to targeted PDAC therapy.</t>
  </si>
  <si>
    <t>[Chen, Kuan-Hung; Nguyen, Nhien; Huang, Tun-Yu; Yu, Yu-Tzu; Nguyen, Van Khanh; Chen, Hsin-Lung; Sung, Hsing-Wen] Natl Tsing Hua Univ, Dept Chem Engn, Hsinchu 30013, Taiwan; [Chen, Kuan-Hung; Nguyen, Nhien; Huang, Tun-Yu; Yu, Yu-Tzu; Nguyen, Van Khanh; Chen, Hsin-Lung; Sung, Hsing-Wen] Natl Tsing Hua Univ, Frontier Res Ctr Fundamental &amp; Appl Sci Matters, Hsinchu 30013, Taiwan; [Lin, Yu-Jung] Acad Sinica, Res Ctr Appl Sci, Taipei 11529, Taiwan; [Song, Hsiang-Lin] Natl Taiwan Univ Hosp, Dept Pathol, Hsinchu Branch, Hsinchu 300, Taiwan; [Wang, Jui-To] Taipei Vet Gen Hosp, Neurol Inst, Dept Neurosurg, Taipei 11217, Taiwan; [Wang, Jui-To] Natl Yang Ming Chiao Tung Univ, Inst Brain Sci, Taipei 11221, Taiwan; [Chu, Li-An] Natl Tsing Hua Univ, Dept Biomed Engn &amp; Environm Sci, Hsinchu 30013, Taiwan; [Chiang, Hui-Hua Kenny] Natl Yang Ming Chiao Tung Univ, Inst Biomed Engn, Taipei 11221, Taiwan</t>
  </si>
  <si>
    <t>National Tsing Hua University; National Tsing Hua University; Academia Sinica - Taiwan; National Taiwan University; National Taiwan University Hospital; Taipei Veterans General Hospital; National Yang Ming Chiao Tung University; National Tsing Hua University; National Yang Ming Chiao Tung University</t>
  </si>
  <si>
    <t>Sung, HW (corresponding author), Natl Tsing Hua Univ, Dept Chem Engn, Hsinchu 30013, Taiwan.;Sung, HW (corresponding author), Natl Tsing Hua Univ, Frontier Res Ctr Fundamental &amp; Appl Sci Matters, Hsinchu 30013, Taiwan.</t>
  </si>
  <si>
    <t>hwsung@che.nthu.edu.tw</t>
  </si>
  <si>
    <t>Lin, Yu-Jung/AAH-6195-2021</t>
  </si>
  <si>
    <t>Lin, Yu-Jung/0000-0002-2507-3551</t>
  </si>
  <si>
    <t>National Science and Technology Council [110-2639-E-007-001-ASP, MOST 111-2634-F-007-007]; Ministry of Education of Taiwan, ROC [111QR001I5]; Taiwan, ROC</t>
  </si>
  <si>
    <t>National Science and Technology Council; Ministry of Education of Taiwan, ROC; Taiwan, ROC</t>
  </si>
  <si>
    <t>K.H.C., N.N., and T.Y.H. contributed equally to this work. The authors would like to thank the National Science and Technology Council (110-2639-E-007-001-ASP and MOST 111-2634-F-007-007) and the Ministry of Education (111QR001I5) of Taiwan, ROC for financially supporting this research. Animal experiments were conducted as required by the Guide for the Care and Use of Laboratory Animals that was prepared by the Institute of Laboratory Animal Resources, National Research Council, and published by the National Academy Press in 2011. Animal study protocols were approved by the Institutional Animal Care and Use Committee of National Tsing Hua University (Approval number: 110005).</t>
  </si>
  <si>
    <t>10.1002/adma.202304735</t>
  </si>
  <si>
    <t>P2XI3</t>
  </si>
  <si>
    <t>WOS:001049316000001</t>
  </si>
  <si>
    <t>Cowan, W; Katehakis, MN; Ross, SM</t>
  </si>
  <si>
    <t>Cowan, Wesley; Katehakis, Michael N. N.; Ross, Sheldon M. M.</t>
  </si>
  <si>
    <t>Optimal activation of halting multi-armed bandit models</t>
  </si>
  <si>
    <t>NAVAL RESEARCH LOGISTICS</t>
  </si>
  <si>
    <t>adaptive systems; autonomous reasoning and learning; dynamic data driven systems; machine learning; Markovian decision processes</t>
  </si>
  <si>
    <t>INDEX POLICIES; OPTIMIZATION</t>
  </si>
  <si>
    <t>We study new types of dynamic allocation problems the Halting Bandit models. As an application, we obtain new proofs for the classic Gittins index decomposition result compare Gittins (Journal of the Royal Statistical Society, Series B, 1979, 41, 148-177), and recent results of the authors in Cowan and Katehakis (Probability in the Engineering and Informational Sciences, 2015, 29, 51-76).</t>
  </si>
  <si>
    <t>[Cowan, Wesley] Rutgers State Univ, Comp Sci Dept, Piscataway, NJ USA; [Katehakis, Michael N. N.] Rutgers State Univ, Management Sci &amp; Informat Syst Dept, 100 Rockafeller Rd, Piscataway, NJ 08854 USA; [Ross, Sheldon M. M.] Univ Southern Calif, Syst Engn Dept, Los Angeles, CA USA</t>
  </si>
  <si>
    <t>Rutgers State University New Brunswick; Rutgers State University New Brunswick; University of Southern California</t>
  </si>
  <si>
    <t>Katehakis, MN (corresponding author), Rutgers State Univ, Management Sci &amp; Informat Syst Dept, 100 Rockafeller Rd, Piscataway, NJ 08854 USA.</t>
  </si>
  <si>
    <t>mnk@rutgers.edu</t>
  </si>
  <si>
    <t>Katehakis, Michael/B-4893-2015</t>
  </si>
  <si>
    <t>Katehakis, Michael/0000-0002-1511-7098</t>
  </si>
  <si>
    <t>National Science Foundation; National Science Foundation [CMMI-1662629, CMMI-1662442]</t>
  </si>
  <si>
    <t>National Science Foundation(National Science Foundation (NSF)); National Science Foundation(National Science Foundation (NSF))</t>
  </si>
  <si>
    <t>National Science Foundation, Grant/AwardNumbers: CMMI-1662629, CMMI-1662442</t>
  </si>
  <si>
    <t>0894-069X</t>
  </si>
  <si>
    <t>1520-6750</t>
  </si>
  <si>
    <t>NAV RES LOG</t>
  </si>
  <si>
    <t>Nav. Res. Logist.</t>
  </si>
  <si>
    <t>10.1002/nav.22145</t>
  </si>
  <si>
    <t>Operations Research &amp; Management Science</t>
  </si>
  <si>
    <t>R3KG3</t>
  </si>
  <si>
    <t>WOS:001049873600001</t>
  </si>
  <si>
    <t>Cui, MY; Hu, YB; Xu, SB; Wang, JQ; Bing, ZS; Li, BQ; Knoll, A</t>
  </si>
  <si>
    <t>Cui, Mingyang; Hu, Yingbai; Xu, Shaobing; Wang, Jianqiang; Bing, Zhenshan; Li, Boqi; Knoll, Alois</t>
  </si>
  <si>
    <t>Safe and Human-Like Trajectory Planning of Self-Driving Cars: A Constraint Imitative Method</t>
  </si>
  <si>
    <t>artificial potential field; driving trajectory planning; dynamic movement primitives; imitative planning</t>
  </si>
  <si>
    <t>MOTION</t>
  </si>
  <si>
    <t>Safe and human-like trajectory planning is crucial for self-driving cars. While model-based planning has demonstrated reliability, it is beneficial to incorporate human demonstrations and align the results with human behaviors. This work aims at bridging the gap between model-based planning and driver imitation by proposing a constraint imitative trajectory planning method (CITP). CITP integrates artificial potential field and dynamic movement primitives, which have achieved both the ability to imitate human demonstrations as well as ensure safety constraints. During the planning process, CITP first encodes human demonstrations, local driving target, and traffic obstacles as attractive or repulsive effects, and then the trajectory planning problem is solved through model predictive optimization. To address the dynamics of traffic scenarios, a hierarchical planning strategy is proposed based on the division of planning process. CITP is designed with five modules, including LSTM-based target generation, encoding attractive and repulsive effects with target, demonstrations and obstacles, and trajectory planning with model predictive optimization. Data collection and experiments are carried out based on CARLA driving simulator, and the effectiveness in terms of both safety and consistency with human behavior are reported.</t>
  </si>
  <si>
    <t>[Cui, Mingyang; Xu, Shaobing; Wang, Jianqiang] Tsinghua Univ, Sch Vehicle &amp; Mobil, Beijing 100084, Peoples R China; [Hu, Yingbai; Bing, Zhenshan; Knoll, Alois] Tech Univ Munich, Dept Informat, D-85748 Munich, Germany; [Li, Boqi] Univ Michigan, Dept Civil &amp; Environm Engn, Ann Arbor, MI 48105 USA</t>
  </si>
  <si>
    <t>Tsinghua University; Technical University of Munich; University of Michigan System; University of Michigan</t>
  </si>
  <si>
    <t>Wang, JQ (corresponding author), Tsinghua Univ, Sch Vehicle &amp; Mobil, Beijing 100084, Peoples R China.;Li, BQ (corresponding author), Univ Michigan, Dept Civil &amp; Environm Engn, Ann Arbor, MI 48105 USA.</t>
  </si>
  <si>
    <t>wjqlws@tsinghua.edu.cn; boqili@umich.edu</t>
  </si>
  <si>
    <t>Knoll, Alois/AAN-8417-2021</t>
  </si>
  <si>
    <t>Knoll, Alois/0000-0003-4840-076X</t>
  </si>
  <si>
    <t>National Natural Science Foundation of China [52131201, 52221005]</t>
  </si>
  <si>
    <t>Acknowledgements This work was supported by the National Natural Science Foundation of China (No. 52131201, 52221005).</t>
  </si>
  <si>
    <t>10.1002/aisy.202300269</t>
  </si>
  <si>
    <t>P2BD3</t>
  </si>
  <si>
    <t>WOS:001048736300001</t>
  </si>
  <si>
    <t>Guhra, T; Wonneberger, A; Stolze, K; Ritschel, T; Totsche, KU</t>
  </si>
  <si>
    <t>Guhra, Tom; Wonneberger, Arnold; Stolze, Katharina; Ritschel, Thomas; Totsche, Kai Uwe</t>
  </si>
  <si>
    <t>The functional role of earthworm mucus during aggregation</t>
  </si>
  <si>
    <t>JOURNAL OF PLANT NUTRITION AND SOIL SCIENCE</t>
  </si>
  <si>
    <t>adsorption; biogenically excreted organic matter; bridging agent; electrostatic interactions; hetero-aggregation; homo-aggregation; Lumbricidae; pH controlled; separation agent</t>
  </si>
  <si>
    <t>EXTRACELLULAR POLYMERIC SUBSTANCES; DISSOLVED ORGANIC-MATTER; EMISSION MATRIX FLUORESCENCE; ENDOGEIC EARTHWORMS; SURFACE-PROPERTIES; LEAST-SQUARES; BURROW WALLS; SOIL; ADSORPTION; PH</t>
  </si>
  <si>
    <t>BackgroundSoil organisms influence pedogenesis on a molecular level through the production of biopolymers which interact with soil minerals depending on their molecular properties. Specifically, biopolymers impact structure formation by inhibiting aggregation as a separation agent or promoting aggregation as a bridging agent. Mucus is a biopolymer excreted by earthworms that consists mainly of proteins, polysaccharides, and, to a lesser extent, lipids. However, despite earthworms' fundamental contribution to soil quality and structuring via bioturbation, the role of mucus in aggregation still has to be unraveled. AimsOur study explores the role of cutaneous earthworm mucus (CEM) of Lumbricus terrestris L. for the formation of organo-mineral associations and aggregates, a sub-process of pedogenesis. MethodsWe conducted batch experiments with goethite and CEM at different pH values and varying CEM concentrations to form mucus-goethite associations. Employing the newly formed mucus-goethite associations, we explored the (homo-/hetero-)aggregation with quartz particles as a function of the loading of surfaces with mucus-C and CEM concentrations in solution. ResultsOur results suggest that the molecular structure of CEM constituents (especially proteins) is sensitive to pH. We found that the adsorption of CEM to goethite depends on pH and concentration. Polysaccharides of CEM adsorbed preferentially under acidic conditions (pH 3) and at low CEM concentration (6 mg mucus-C L-1). In contrast, stronger adsorption of proteins was observed at higher CEM concentrations (30 mg mucus-C L-1). In subsequent aggregation experiments, the hetero-aggregation rate of organo-mineral associations and quartz decreased at low C-loadings. Conversely, the rate increased at high loadings compared to the CEM-free reference. Furthermore, electrostatic/steric repulsion (separation agent) inhibited the aggregation between goethite particles at high CEM concentrations in the solution (mineral/mucus ratio of 17). However, at a low CEM supply (mineral/mucus ratio of &gt;83), CEM took the role of a bridging agent. ConclusionsThe composition, function, and (im-)mobilization of CEM and corresponding organo-mineral associations in earthworm-influenced soil structures are shaped by the structure/reactivity of CEM affected by environmental parameters. Formation and aggregation of mucus-mineral associations contribute to nutrient/carbon storage and are involved in the structure formation in soil.</t>
  </si>
  <si>
    <t>[Guhra, Tom; Wonneberger, Arnold; Stolze, Katharina; Ritschel, Thomas; Totsche, Kai Uwe] Friedrich Schiller Univ, Inst Geosci, Dept Hydrogeol, Jena, Germany; [Totsche, Kai Uwe] Friedrich Schiller Univ Jena, Inst Geosci, Dept Hydrogeol, Burgweg 11, D-07749 Jena, Germany</t>
  </si>
  <si>
    <t>Friedrich Schiller University of Jena; Friedrich Schiller University of Jena</t>
  </si>
  <si>
    <t>Totsche, KU (corresponding author), Friedrich Schiller Univ Jena, Inst Geosci, Dept Hydrogeol, Burgweg 11, D-07749 Jena, Germany.</t>
  </si>
  <si>
    <t>kai.totsche@uni-jena.de</t>
  </si>
  <si>
    <t>; Totsche, Kai Uwe/E-2086-2013</t>
  </si>
  <si>
    <t>Guhra, Tom/0000-0003-4587-0635; Ritschel, Thomas/0000-0002-9922-1107; Totsche, Kai Uwe/0000-0002-2692-213X</t>
  </si>
  <si>
    <t>Deutsche Forschungsgemeinschaft [193380941]</t>
  </si>
  <si>
    <t>Deutsche Forschungsgemeinschaft(German Research Foundation (DFG))</t>
  </si>
  <si>
    <t>ACKNOWLEDGMENTS We kindly acknowledge financial support by the Deutsche Forschungsgemeinschaft within the framework of the research unit 2179 MAD Soil-Microaggregates: Formation and turnover of the structural building blocks of soils (Project no.: 193380941; ). The authors thank Nimo Kwarkye for the post-processing of fluorescence data. Open access funding enabled and organized by Projekt DEAL.</t>
  </si>
  <si>
    <t>1436-8730</t>
  </si>
  <si>
    <t>1522-2624</t>
  </si>
  <si>
    <t>J PLANT NUTR SOIL SC</t>
  </si>
  <si>
    <t>J. Plant Nutr. Soil Sci.</t>
  </si>
  <si>
    <t>10.1002/jpln.202300100</t>
  </si>
  <si>
    <t>Agronomy; Plant Sciences; Soil Science</t>
  </si>
  <si>
    <t>P2BI3</t>
  </si>
  <si>
    <t>WOS:001048741300001</t>
  </si>
  <si>
    <t>Hasebe, T; Sasaki, R; Fujino, T; Takana, H; Kobayashi, H</t>
  </si>
  <si>
    <t>Hasebe, Takahiro; Sasaki, Ryo; Fujino, Takayasu; Takana, Hidemasa; Kobayashi, Hiromichi</t>
  </si>
  <si>
    <t>Experimental and theoretical analyses on power generation characteristics of co-axial MHD energy conversion device</t>
  </si>
  <si>
    <t>ELECTRICAL ENGINEERING IN JAPAN</t>
  </si>
  <si>
    <t>co-axial MHD energy conversion device; liquid metal flow; magnetohydrodynamic numerical analysis; power generation characteristics; power generation experiment; theoretical analysis</t>
  </si>
  <si>
    <t>Experiments on power generation were conducted under the open-circuit condition to validate theoretical analyses on the power generation characteristics of a co-axial MHD energy conversion device. Considering distribution of externally applied magnetic field and the electromotive force induced by the rotation of the conductive inner cylinder, the results show that the experimental open-circuit voltage was lower than the theoretical one for the wide channel width, whereas the experimental open-circuit voltage was higher than the theoretical one for the narrow channel width. The inclination of the inner cylinder might cause the decrease in effective radial ratio.</t>
  </si>
  <si>
    <t>[Hasebe, Takahiro; Sasaki, Ryo] Univ Tsukuba, Grad Sch Sci &amp; Technol, Tsukuba, Japan; [Fujino, Takayasu] Univ Tsukuba, Fac Engn Informat &amp; Syst, Tsukuba, Japan; [Takana, Hidemasa] Tohoku Univ, Inst Fluid Sci, Sendai, Japan; [Kobayashi, Hiromichi] Keio Univ, Dept Phys, Hiyoshi Campus, Yokohama, Japan</t>
  </si>
  <si>
    <t>University of Tsukuba; University of Tsukuba; Tohoku University; Keio University</t>
  </si>
  <si>
    <t>Kobayashi, H (corresponding author), Keio Univ, Dept Phys, Hiyoshi Campus, Yokohama, Japan.</t>
  </si>
  <si>
    <t>hkobayas@keio.jp</t>
  </si>
  <si>
    <t>0424-7760</t>
  </si>
  <si>
    <t>1520-6416</t>
  </si>
  <si>
    <t>ELECTR ENG JPN</t>
  </si>
  <si>
    <t>Electr. Eng. Jpn.</t>
  </si>
  <si>
    <t>10.1002/eej.23446</t>
  </si>
  <si>
    <t>R0LM4</t>
  </si>
  <si>
    <t>WOS:001049311400001</t>
  </si>
  <si>
    <t>Hoda, N</t>
  </si>
  <si>
    <t>Hoda, Nima</t>
  </si>
  <si>
    <t>Crystallographic Helly groups</t>
  </si>
  <si>
    <t>BULLETIN OF THE LONDON MATHEMATICAL SOCIETY</t>
  </si>
  <si>
    <t>We prove that asymptotic cones of Helly graphs are countably hyperconvex. We use this to show that virtually nilpotent Helly groups are virtually abelian and to characterize virtually abelian Helly groups via their point groups. In fact, we do this for the more general class of coarsely injective spaces and groups. We apply this to prove that the 3-3-3-Coxeter group is not Helly (nor even coarsely injective), thus obtaining the first example of a systolic group that is not Helly, answering a question of Chalopin, Chepoi, Genevois, Hirai, and Osajda.</t>
  </si>
  <si>
    <t>[Hoda, Nima] Univ PSL, CNRS, Ecole normale Super, DMA, Paris, France; [Hoda, Nima] Uniwersytet Wroclawski, Inst Matematyczny, Wroclaw, Poland; [Hoda, Nima] Cornell Univ, Dept Math, Ithaca, NY USA; [Hoda, Nima] Univ PSL, CNRS, Ecole normale Super, F-75005 Paris, France</t>
  </si>
  <si>
    <t>UDICE-French Research Universities; Universite PSL; Ecole Normale Superieure (ENS); Centre National de la Recherche Scientifique (CNRS); University of Wroclaw; Cornell University; Centre National de la Recherche Scientifique (CNRS); UDICE-French Research Universities; Universite PSL; Ecole Normale Superieure (ENS)</t>
  </si>
  <si>
    <t>Hoda, N (corresponding author), Univ PSL, CNRS, Ecole normale Super, F-75005 Paris, France.</t>
  </si>
  <si>
    <t>nima.hoda@mail.mcgill.ca</t>
  </si>
  <si>
    <t>European Research Council; Narodowe Centrum Nauki [UMO-2017/25/B/ST1/01335]; Natural Sciences and Engineering Research Council of Canada; Simons Foundation [346300]; Ministerstwo Nauki i Szkolnictwa Wyzszego [2015-2019]</t>
  </si>
  <si>
    <t>European Research Council(European Research Council (ERC)); Narodowe Centrum Nauki(National Science Centre, Poland); Natural Sciences and Engineering Research Council of Canada(Natural Sciences and Engineering Research Council of Canada (NSERC)CGIAR); Simons Foundation; Ministerstwo Nauki i Szkolnictwa Wyzszego(Ministry of Science and Higher Education, Poland)</t>
  </si>
  <si>
    <t>&amp; nbsp;European Research Council, Grant/Award Number: GroIsRan; Narodowe Centrum Nauki, Grant/Award Number: UMO-2017/25/B/ST1/01335; Natural Sciences and Engineering Research Council of Canada; Simons Foundation, Grant/Award Number: 346300; Ministerstwo Nauki i Szkolnictwa Wyzszego, Grant/Award Number: 2015-2019</t>
  </si>
  <si>
    <t>0024-6093</t>
  </si>
  <si>
    <t>1469-2120</t>
  </si>
  <si>
    <t>B LOND MATH SOC</t>
  </si>
  <si>
    <t>Bull. London Math. Soc.</t>
  </si>
  <si>
    <t>10.1112/blms.12906</t>
  </si>
  <si>
    <t>P2WZ4</t>
  </si>
  <si>
    <t>WOS:001049307100001</t>
  </si>
  <si>
    <t>Huang, CW; Yang, HY; Chen, TC; Chen, CW</t>
  </si>
  <si>
    <t>Huang, Ching-Wen; Yang, Hung-Yu; Chen, Ta-Ching; Chen, Cheng-Wei</t>
  </si>
  <si>
    <t>Analysis on key parameters in subretinal injection facilitating a predictable and automated robot-assisted treatment in gene therapy</t>
  </si>
  <si>
    <t>bleb formation prediction; cell therapy; gene therapy; robot-assisted surgery; subretinal injection; surgical automation</t>
  </si>
  <si>
    <t>MUTATIONS; DELIVERY; VECTOR</t>
  </si>
  <si>
    <t>BackgroundSubretinal injection (SRI) has become an important surgical method for treating vitreoretinal diseases. Nevertheless, the optimisation of bleb formation in SRI, for the attainment of desired therapeutic outcomes, still requires further investigation. MethodsThis study analysed the influence of surgical parameters on SRI using a robotic setup. The surgical procedure was automated using visual guidance. A predictive model for bleb formation was established through regression analysis. To validate the model, we compared the clinical data's target area with the simulated SRI's actual area using parameters determined by the predictive model. ResultsThe insertion angle dominated the eccentricity and area of the bleb. The injection speed dominated the axial angle. Automated SRI increased success rate and produced predictable outcomes. ConclusionsWe could provide accurate SRI on phantom models by adjusting surgical parameters based on the patient's clinical information. Automatic robot-assisted SRI is a promising surgical technique with highly predictable results.</t>
  </si>
  <si>
    <t>[Huang, Ching-Wen; Chen, Ta-Ching] Natl Taiwan Univ Hosp, Dept Ophthalmol, Taipei, Taiwan; [Yang, Hung-Yu; Chen, Cheng-Wei] Natl Taiwan Univ, Dept Elect Engn, Taipei, Taiwan; [Chen, Ta-Ching] Natl Taiwan Univ Hosp, Ctr Frontier Med, Taipei, Taiwan</t>
  </si>
  <si>
    <t>National Taiwan University; National Taiwan University Hospital; National Taiwan University; National Taiwan University; National Taiwan University Hospital</t>
  </si>
  <si>
    <t>Chen, TC (corresponding author), Natl Taiwan Univ Hosp, Dept Ophthalmol, Taipei, Taiwan.;Chen, CW (corresponding author), Natl Taiwan Univ, Dept Elect Engn, Taipei, Taiwan.;Chen, TC (corresponding author), Natl Taiwan Univ Hosp, Ctr Frontier Med, Taipei, Taiwan.</t>
  </si>
  <si>
    <t>Tachingchen1@ntu.edu.tw; cwchenee@ntu.edu.tw</t>
  </si>
  <si>
    <t>National Science and Technology Council in Taiwan [MOST 110-2636-E-002-006, 111-2636-E-002-028]</t>
  </si>
  <si>
    <t>National Science and Technology Council in Taiwan</t>
  </si>
  <si>
    <t>ACKNOWLEDGEMENTS This work was supported in part by the National Science and Technology Council in Taiwan (Young Scholar Fellowship MOST 110-2636-E-002-006 and 111-2636-E-002-028).</t>
  </si>
  <si>
    <t>10.1002/rcs.2560</t>
  </si>
  <si>
    <t>P2AY2</t>
  </si>
  <si>
    <t>WOS:001048731200001</t>
  </si>
  <si>
    <t>Karlsen, KAH; Gisvold, SE; Nordseth, T; Fasting, S</t>
  </si>
  <si>
    <t>Karlsen, Kjetil Andreas Hognestad; Gisvold, Sven Erik; Nordseth, Trond; Fasting, Sigurd</t>
  </si>
  <si>
    <t>Incidence, causes, and management of failed awake fibreoptic intubation-A retrospective study of 833 procedures</t>
  </si>
  <si>
    <t>ACTA ANAESTHESIOLOGICA SCANDINAVICA</t>
  </si>
  <si>
    <t>awake intubation; difficult intubation; fibreoptic intubation</t>
  </si>
  <si>
    <t>DIFFICULT AIRWAY; COMPLICATIONS; ANESTHETISTS; OBSTRUCTION; FAILURE; TIME; TUBE</t>
  </si>
  <si>
    <t>Awake fibreoptic intubation has been considered a gold standard in the management of the difficult airway. However, failure may cause critical situations. The aim of this study was to investigate the incidence and causes of failed awake fibreoptic intubation at a tertiary care hospital. The study was conducted at St. Olav University Hospital in Trondheim, Norway. Problems occurring during anaesthesia are routinely recorded in the electronic anaesthesia information system (Picis Clinical Solutions Inc.), including difficult intubations. We applied text search on all anaesthesia records between 2011 and 2021 and identified 833 awake fibreoptic intubations. The anaesthesia records were examined to identify failed awake fibreoptic intubations, the cause of failure and how the airway ultimately was secured. Among 233,938 patients who received anaesthesia, 90,397 received tracheal intubation and 833 received awake fibreoptic intubation. Twenty-nine of the procedures failed. In nine patients the failure caused loss of airway control with desaturation and hypoventilation. The major causes of failure were dislodged tube after induction of general anaesthesia (n = 8), patient distress (n = 5), tube not able to pass (n = 5), and airway bleeding (n = 3). The situations were primarily solved using direct laryngoscopy, with or without bougie, or with video laryngoscopy. Tracheostomy was performed in four patients. Awake fibreoptic intubation failed in 3.5% of patients, most often due to dislocation, problems passing the tracheal tube, or patient discomfort. The failure rate was higher than in previous studies.</t>
  </si>
  <si>
    <t>[Karlsen, Kjetil Andreas Hognestad] St Olavs Univ Hosp, Dept Emergency Med &amp; Prehosp Serv, Trondheim, Norway; [Gisvold, Sven Erik; Nordseth, Trond; Fasting, Sigurd] St Olavs Univ Hosp, Dept Anaesthesia &amp; Intens Care Med, Trondheim, Norway; [Gisvold, Sven Erik; Nordseth, Trond; Fasting, Sigurd] Norwegian Univ Sci &amp; Technol NTNU, Fac Med, Dept Circulat &amp; Med Imaging, Trondheim, Norway; [Nordseth, Trond] Oslo Univ Hosp, Dept Res &amp; Dev, Div Emergencies &amp; Crit Care, Oslo, Norway; [Nordseth, Trond] St Olav Hosp, Dept Anaesthesia &amp; Intens Care Med, NO-7006 Trondheim, Norway</t>
  </si>
  <si>
    <t>Norwegian University of Science &amp; Technology (NTNU); Norwegian University of Science &amp; Technology (NTNU); Norwegian University of Science &amp; Technology (NTNU); University of Oslo; Norwegian University of Science &amp; Technology (NTNU)</t>
  </si>
  <si>
    <t>Nordseth, T (corresponding author), St Olav Hosp, Dept Anaesthesia &amp; Intens Care Med, NO-7006 Trondheim, Norway.</t>
  </si>
  <si>
    <t>trond.nordseth@stolav.no</t>
  </si>
  <si>
    <t>0001-5172</t>
  </si>
  <si>
    <t>1399-6576</t>
  </si>
  <si>
    <t>ACTA ANAESTH SCAND</t>
  </si>
  <si>
    <t>Acta Anaesthesiol. Scand.</t>
  </si>
  <si>
    <t>10.1111/aas.14313</t>
  </si>
  <si>
    <t>Anesthesiology</t>
  </si>
  <si>
    <t>P3TR1</t>
  </si>
  <si>
    <t>WOS:001049906300001</t>
  </si>
  <si>
    <t>Lagana, A; Pepe, S; Scalzulli, E; Carmosino, I; Passucci, M; Ielo, C; Costa, A; Masucci, C; Diverio, D; Martelli, M; Breccia, M</t>
  </si>
  <si>
    <t>Lagana, Alessandro; Pepe, Sara; Scalzulli, Emilia; Carmosino, Ida; Passucci, Mauro; Ielo, Claudia; Costa, Alessandro; Masucci, Chiara; Diverio, Daniela; Martelli, Maurizio; Breccia, Massimo</t>
  </si>
  <si>
    <t>One-month qRT-PCR BCR::ABL1 transcript threshold to predict early recurrence in chronic phase CML patients attempting first treatment free remission</t>
  </si>
  <si>
    <t>EUROPEAN JOURNAL OF HAEMATOLOGY</t>
  </si>
  <si>
    <t>LEUKEMIA; TIME</t>
  </si>
  <si>
    <t>[Lagana, Alessandro; Pepe, Sara; Scalzulli, Emilia; Carmosino, Ida; Passucci, Mauro; Ielo, Claudia; Costa, Alessandro; Masucci, Chiara; Diverio, Daniela; Martelli, Maurizio; Breccia, Massimo] Policlin Umberto I Sapienza Univ, Dept Translat &amp; Precis Med, Hematol, Rome, Italy; [Breccia, Massimo] Sapienza Univ, Dept Translat &amp; Precis Med, Via Benevento 6, I-00161 Rome, Italy</t>
  </si>
  <si>
    <t>Sapienza University Rome; University Hospital Sapienza Rome; Sapienza University Rome</t>
  </si>
  <si>
    <t>Breccia, M (corresponding author), Sapienza Univ, Dept Translat &amp; Precis Med, Via Benevento 6, I-00161 Rome, Italy.</t>
  </si>
  <si>
    <t>breccia@bce.uniroma1.it</t>
  </si>
  <si>
    <t>Lagana, Alessandro/0009-0005-9432-224X; Masucci, Chiara/0000-0003-2374-3299</t>
  </si>
  <si>
    <t>Fondo per le Idee GIMEMA</t>
  </si>
  <si>
    <t>The study was supported by the Fondo per le Idee GIMEMA project.</t>
  </si>
  <si>
    <t>0902-4441</t>
  </si>
  <si>
    <t>1600-0609</t>
  </si>
  <si>
    <t>EUR J HAEMATOL</t>
  </si>
  <si>
    <t>Eur. J. Haematol.</t>
  </si>
  <si>
    <t>10.1111/ejh.14085</t>
  </si>
  <si>
    <t>P3SE8</t>
  </si>
  <si>
    <t>WOS:001049867900001</t>
  </si>
  <si>
    <t>Marland, V; Reid, R; Brandon, AM; Hill, K; Cruickshanks, F; McKenzie, C; Norman, C; Daeid, NN; Menard, H</t>
  </si>
  <si>
    <t>Marland, Victoria; Reid, Robert; Brandon, Andrew M.; Hill, Kevin; Cruickshanks, Fiona; McKenzie, Craig; Norman, Caitlyn; Daeid, Niamh Nic; Menard, Herve</t>
  </si>
  <si>
    <t>Changing trends in novel benzodiazepine use within Scottish prisons: detection, quantitation, prevalence, and modes of use</t>
  </si>
  <si>
    <t>DRUG TESTING AND ANALYSIS</t>
  </si>
  <si>
    <t>bromazolam; drug market evolution; new psychoactive substances; novel benzodiazepines; prison</t>
  </si>
  <si>
    <t>DRUG-ABUSE</t>
  </si>
  <si>
    <t>Drug use within prisons is increasingly complex and unpredictable. Benzodiazepines are currently one of the most common drugs detected in individuals leaving Scottish prisons; however, understanding illicit benzodiazepine use within prisons and assessing the potential harm to individuals is challenging due to the lack of available analytical data on the substances circulating. Increasingly, materials, such as paper and clothing, infused with novel benzodiazepines have been identified as a smuggling route into Scottish prisons. Methods were developed for the qualitative and quantitative analysis of benzodiazepines using gas chromatography-mass spectrometry (GC-MS) and applied to 495 seized samples from 11 Scottish prisons, including papers, cards, blotters, powders, tablets, and clothing. Evolution in the benzodiazepines being detected was demonstrated, with etizolam being the most prevalent throughout 2020/2021 following which flubromazepam and bromazolam detections increased. Additionally, significant changes in the smuggling methods and drug formats detected occurred over time following policy changes within prisons. These data represent the first reported widescale etizolam quantitation data and demonstrate high levels of variability across all sample types, most notably within tablets (0.34-2.33 mg per tablet). Additionally, concentration mapping of a whole seized card sample revealed the total concentration of drug present (312.5 mg) and demonstrated variability across the surface of the card (1.16-1.87 mg/cm(2)). These data highlight the challenges of consistent dosing for individuals and the high risks of unintentional overdose. Increased understanding of the challenge of such drug smuggling and benzodiazepine use will aid in the development of strategies to reduce supply and mitigate harm.</t>
  </si>
  <si>
    <t>[Marland, Victoria; Reid, Robert; Brandon, Andrew M.; McKenzie, Craig; Norman, Caitlyn; Daeid, Niamh Nic; Menard, Herve] Univ Dundee, Leverhulme Res Ctr Forens Sci, Sch Sci &amp; Engn, Dundee, Scotland; [Hill, Kevin; Cruickshanks, Fiona] Scottish Prison Serv, Publ Protect Unit, Edinburgh, Scotland; [McKenzie, Craig] Chiron AS, Trondheim, Norway</t>
  </si>
  <si>
    <t>University of Dundee; Novartis</t>
  </si>
  <si>
    <t>Norman, C (corresponding author), Univ Dundee, Leverhulme Res Ctr Forens Sci, Sch Sci &amp; Engn, Dundee, Scotland.</t>
  </si>
  <si>
    <t>c.y.norman@dundee.ac.uk</t>
  </si>
  <si>
    <t>Norman, Caitlyn/0000-0003-2322-0367; Menard, Herve/0000-0001-8250-8649; Marland, Victoria/0009-0003-6265-5256; McKenzie, Craig/0000-0001-7244-5779</t>
  </si>
  <si>
    <t>Scottish Prison Service; Leverhulme Trust</t>
  </si>
  <si>
    <t>Scottish Prison Service; Leverhulme Trust(Leverhulme Trust)</t>
  </si>
  <si>
    <t>1942-7603</t>
  </si>
  <si>
    <t>1942-7611</t>
  </si>
  <si>
    <t>DRUG TEST ANAL</t>
  </si>
  <si>
    <t>Drug Test. Anal.</t>
  </si>
  <si>
    <t>10.1002/dta.3560</t>
  </si>
  <si>
    <t>Biochemical Research Methods; Chemistry, Analytical; Pharmacology &amp; Pharmacy</t>
  </si>
  <si>
    <t>Biochemistry &amp; Molecular Biology; Chemistry; Pharmacology &amp; Pharmacy</t>
  </si>
  <si>
    <t>P2WO0</t>
  </si>
  <si>
    <t>WOS:001049295100001</t>
  </si>
  <si>
    <t>Obayelu, OA; Oyewunmi, OF; Sowunmi, FA</t>
  </si>
  <si>
    <t>Obayelu, Oluwakemi Adeola; Oyewunmi, Oyetola Folake; Sowunmi, Fatai Abiola</t>
  </si>
  <si>
    <t>Gender dynamics and poverty decomposition in rural Nigeria</t>
  </si>
  <si>
    <t>POVERTY &amp; PUBLIC POLICY</t>
  </si>
  <si>
    <t>gender; growth; poverty change; redistribution; rural households</t>
  </si>
  <si>
    <t>GROWTH; INEQUALITY; REDISTRIBUTION</t>
  </si>
  <si>
    <t>Poverty in sub-Saharan Africa is largely a rural phenomenon that is associated with an inequitable distribution of resources among gender groups. This study therefore assessed poverty decomposition in rural Nigeria along gender lines. Data for the study came from the General Household Survey panel data for 2010/2011 (wave 1) and 2015/2016 (wave 3) and were analyzed with Foster Greer and Thorbecke poverty classes and the Shapley decomposition method. Total poverty change and poverty elasticity were -0.0690 and 0.1394, respectively, in women-led households, -0.0973 and 0.1825 in men-led households, and -0.1152 and 0.2906 in gender-balanced households. Between-group (0.9773) elasticity was higher than the within-group (0.1853) component for the poverty headcount, while within-group elasticity was higher than the between-group component for poverty depth and severity. Thus, an effective poverty reduction strategy in Nigeria should be gender-inclusive.</t>
  </si>
  <si>
    <t>[Obayelu, Oluwakemi Adeola; Oyewunmi, Oyetola Folake; Sowunmi, Fatai Abiola] Univ Ibadan, Fac Agr, Dept Agr Econ, Ibadan, Nigeria</t>
  </si>
  <si>
    <t>University of Ibadan</t>
  </si>
  <si>
    <t>Obayelu, OA (corresponding author), Univ Ibadan, Fac Agr, Dept Agr Econ, Ibadan, Nigeria.</t>
  </si>
  <si>
    <t>jkemmyade@yahoo.co.uk</t>
  </si>
  <si>
    <t>Sowunmi, Fatai/E-8996-2018</t>
  </si>
  <si>
    <t>Sowunmi, Fatai/0000-0003-4108-8830; Obayelu, Oluwakemi Adeola/0000-0003-4150-7556</t>
  </si>
  <si>
    <t>1944-2858</t>
  </si>
  <si>
    <t>POVERTY PUBLIC POLIC</t>
  </si>
  <si>
    <t>Poverty Public Policy</t>
  </si>
  <si>
    <t>10.1002/pop4.379</t>
  </si>
  <si>
    <t>Social Work</t>
  </si>
  <si>
    <t>R3JS4</t>
  </si>
  <si>
    <t>WOS:001049273100001</t>
  </si>
  <si>
    <t>Park, J; Joung, I; Joo, K; Lee, J</t>
  </si>
  <si>
    <t>Park, Jimin; Joung, InSuk; Joo, Keehyoung; Lee, Jooyoung</t>
  </si>
  <si>
    <t>Application of conformational space annealing to the protein structure modeling using cryo-EM maps</t>
  </si>
  <si>
    <t>cryo-EM; flexible refinement; global optimization; protein structure modeling; PyCSA</t>
  </si>
  <si>
    <t>HIGH-RESOLUTION STRUCTURE; DENSITY MAPS; ATOMIC STRUCTURES; OPTIMIZATION; MOLECULES</t>
  </si>
  <si>
    <t>Conformational space annealing (CSA), a global optimization method, has been applied to various protein structure modeling tasks. In this paper, we applied CSA to the cryo-EM structure modeling task by combining the python subroutine of CSA (PyCSA) and the fast relax (FastRelax) protocol of PyRosetta. Refinement of initial structures generated from two methods, rigid fitting of predicted structures to the Cryo-EM map and de novo protein modeling by tracing the Cryo-EM map, was performed by CSA. In the refinement of the rigid-fitted structures, the final models showed that CSA can generate reliable atomic structures of proteins, even when large movements of protein domains were required. In the de novo modeling case, although the overall structural qualities of the final models were rather dependent on the initial models, the final models generated by CSA showed improved MolProbity scores and cross-correlation coefficients to the maps. These results suggest that CSA can accomplish flexible fitting and refinement together by sampling diverse conformations effectively and thus can be utilized for cryo-EM structure modeling.</t>
  </si>
  <si>
    <t>[Park, Jimin] Deargen Inc, Daejeon, South Korea; [Joung, InSuk] Standigm Inc, Seoul, South Korea; [Joo, Keehyoung] Korea Inst Adv Study, Ctr Adv Computat, Seoul, South Korea; [Lee, Jooyoung] Korea Inst Adv Study, Sch Computat Sci, Seoul, South Korea; [Lee, Jooyoung] Korea Inst Adv Study, Sch Computat Sci, Seoul 02455, South Korea</t>
  </si>
  <si>
    <t>Korea Institute for Advanced Study (KIAS); Korea Institute for Advanced Study (KIAS); Korea Institute for Advanced Study (KIAS)</t>
  </si>
  <si>
    <t>Lee, J (corresponding author), Korea Inst Adv Study, Sch Computat Sci, Seoul 02455, South Korea.</t>
  </si>
  <si>
    <t>jlee@kias.re.kr</t>
  </si>
  <si>
    <t>Ministry of Science and ICT, South Korea [NRF-2017R1E1A1A01077717, NRF-2018R1D1A1B07049312]; National Research Foundation of Korea</t>
  </si>
  <si>
    <t>Ministry of Science and ICT, South Korea(Ministry of Science, ICT &amp; Future Planning, Republic of Korea); National Research Foundation of Korea(National Research Foundation of Korea)</t>
  </si>
  <si>
    <t>Ministry of Science and ICT, South Korea, Grant/Award Numbers: NRF-2017R1E1A1A01077717, NRF-2018R1D1A1B07049312; National Research Foundation of Korea</t>
  </si>
  <si>
    <t>10.1002/jcc.27200</t>
  </si>
  <si>
    <t>P3SA1</t>
  </si>
  <si>
    <t>WOS:001049863200001</t>
  </si>
  <si>
    <t>Rogova, O; Herzog, K; Al-Majdoub, M; Miskelly, M; Lindqvist, A; Bennet, L; Hedenbro, JL; Wierup, N; Spegel, P</t>
  </si>
  <si>
    <t>Rogova, Oksana; Herzog, Katharina; Al-Majdoub, Mahmoud; Miskelly, Michael; Lindqvist, Andreas; Bennet, Louise; Hedenbro, Jan L. L.; Wierup, Nils; Spegel, Peter</t>
  </si>
  <si>
    <t>Metabolic remission precedes possible weight regain after gastric bypass surgery</t>
  </si>
  <si>
    <t>BETA-CELL FUNCTION; BARIATRIC SURGERY; INSULIN; RISK; MASS</t>
  </si>
  <si>
    <t>ObjectiveSome patients regain weight to a variable extent from 1 year after Roux-en-Y gastric bypass surgery (RYGB), though rarely reaching preoperative values. The aim of the present study was to investigate whether, when, and to what extent metabolic remission occurs. MethodsFasting metabolite and lipid profiles were determined in blood plasma collected from a nonrandomized intervention study involving 148 patients before RYGB and at 2, 12, and 60 months post RYGB. Both short-term and long-term alterations in metabolism were assessed. Anthropometric and clinical variables were assessed at all study visits. ResultsThis study found that the vast majority of changes in metabolite levels occurred during the first 2 months post RYGB. Notably, thereafter the metabolome started to return toward the presurgical state. Consequently, a close-to-presurgical metabolome was observed at the time when patients reached their lowest weight and glucose level. Lipids with longer acyl chains and a higher degree of unsaturation were altered more dramatically compared with shorter and more saturated lipids, suggesting a systematic and reversible lipid remodeling. ConclusionsRemission of the metabolic state was observed prior to notable weight regain. Further and more long-term studies are required to assess whether the extent of metabolic remission predicts future weight regain and glycemic deterioration.</t>
  </si>
  <si>
    <t>[Rogova, Oksana; Herzog, Katharina; Spegel, Peter] Lund Univ, Ctr Anal &amp; Synth, Dept Chem, Lund, Sweden; [Al-Majdoub, Mahmoud] Lund Univ, Dept Clin Sci Malmo, Unit Mol Metab, Malmo, Sweden; [Miskelly, Michael; Lindqvist, Andreas; Hedenbro, Jan L. L.; Wierup, Nils] Lund Univ Diabet Ctr, Dept Expt Med Sci, Neuroendocrine Cell Biol, Malmo, Sweden; [Bennet, Louise] Lund Univ, Dept Clin Sci Malmo, Malmo, Sweden; [Bennet, Louise] Lund Univ Hosp, Clin Res &amp; Trial Ctr, Lund, Sweden; [Hedenbro, Jan L. L.] Lund Univ, Dept Surg, Dept Clin Sci Lund, Lund, Sweden</t>
  </si>
  <si>
    <t>Lund University; Lund University; Lund University; Lund University; Lund University; Skane University Hospital; Lund University</t>
  </si>
  <si>
    <t>Spegel, P (corresponding author), Lund Univ, Ctr Anal &amp; Synth, Dept Chem, Lund, Sweden.</t>
  </si>
  <si>
    <t>peter.spegel@chem.lu.se</t>
  </si>
  <si>
    <t>Spegel, Peter/G-9947-2018</t>
  </si>
  <si>
    <t>Spegel, Peter/0000-0002-6092-2387; Bennet, Louise/0000-0001-7101-1290</t>
  </si>
  <si>
    <t>ALF; Crafoord Foundation; Pahlssons Foundation; Hjelt Foundation; Swedish Diabetes Foundation; Novo Nordisk Foundation; Perand Ulla Schyberg Foundation; Swedish Foundation for Strategic Research [IRC15-0067]; Strategic Research Area [dnr 2009-1039]; Swedish Research Council [2017-00862, 2020-01017, 521-2012-2119]; Linnaeus grant [dnr 349-2006-237]; Swedish Research Council [2020-01017] Funding Source: Swedish Research Council</t>
  </si>
  <si>
    <t>ALF; Crafoord Foundation; Pahlssons Foundation; Hjelt Foundation; Swedish Diabetes Foundation; Novo Nordisk Foundation(Novo Nordisk FoundationNovocure Limited); Perand Ulla Schyberg Foundation; Swedish Foundation for Strategic Research(Swedish Foundation for Strategic ResearchSwedish Foundation for Humanities &amp; Social Sciences); Strategic Research Area; Swedish Research Council(Swedish Research Council); Linnaeus grant; Swedish Research Council(Swedish Research Council)</t>
  </si>
  <si>
    <t>ALF; Crafoord Foundation; Pahlssons Foundation; Hjelt Foundation; Horizon 2020 Framework Programme, Grant/AwardNumber: T2Dsystems; Swedish Diabetes Foundation; Novo Nordisk Foundation; Perand Ulla Schyberg Foundation; Swedish Foundation for Strategic Research,Grant/Award Number: IRC15-0067; Strategic Research Area, Grant/Award Number:Exodiab, dnr 2009-1039; Swedish Diabetes Foundation; Swedish Research Council,Grant/Award Numbers: 2017-00862, 2020-01017, 521-2012-2119, Linnaeus grant,dnr 349-2006-237</t>
  </si>
  <si>
    <t>10.1002/oby.23864</t>
  </si>
  <si>
    <t>P5FS3</t>
  </si>
  <si>
    <t>WOS:001050937500001</t>
  </si>
  <si>
    <t>Sarimahmut, M; Celikler, S</t>
  </si>
  <si>
    <t>Sarimahmut, Mehmet; Celikler, Serap</t>
  </si>
  <si>
    <t>Plants from Northwestern Anatolia Display Selective Cytotoxicity and Induce Mitotic Catastrophe: A Study on Anticancer and Genotoxic Activities</t>
  </si>
  <si>
    <t>CHEMISTRY &amp; BIODIVERSITY</t>
  </si>
  <si>
    <t>anticancer; apoptosis; cytotoxicity; endemic plants; genotoxicity</t>
  </si>
  <si>
    <t>ASTRAGALUS-MEMBRANACEUS; ANTIOXIDANT CAPACITY; TRADITIONAL MEDICINE; CELL-DEATH; CANCER; ANTIBACTERIAL; POLYPHENOLS; FLAVONOIDS; APOPTOSIS; EXTRACTS</t>
  </si>
  <si>
    <t>Anatolia is rich in floristic diversity with a high rate of endemism. Eight plant species from northwestern Anatolia were evaluated for their anti-growth properties in two malignant (MCF-7 and MDA-MB-231) and a non-malignant (MCF-10A) breast cell lines. The two most active extracts, Achillea multifida (AME) and Astragalus sibthorpianus (ASE), induced apoptotic cell death in all cell lines. The major phenolic compounds in AME were identified as chlorogenic acid, and catechins in ASE. ASE displayed selective cytotoxicity against breast cancer cells, with DNA damage repair in non-malignant cells contributing to its selectivity. Conversely, AME induced DNA damage in a time-dependent manner and displayed a dual dose-dependent biological activity, resulting in mitotic catastrophe and apoptosis at different doses. Most plant species exhibited moderate to strong cytotoxicity, highlighting their medicinal and economic potential and the need for their protection.</t>
  </si>
  <si>
    <t>[Sarimahmut, Mehmet; Celikler, Serap] Bursa Uludag Univ, Fac Sci &amp; Arts, Dept Biol, TR-16059 Bursa, Turkiye</t>
  </si>
  <si>
    <t>Uludag University</t>
  </si>
  <si>
    <t>Celikler, S (corresponding author), Bursa Uludag Univ, Fac Sci &amp; Arts, Dept Biol, TR-16059 Bursa, Turkiye.</t>
  </si>
  <si>
    <t>scelikler@uludag.edu.tr</t>
  </si>
  <si>
    <t>Celikler, Serap/0000-0002-4177-3478; Sarimahmut, Mehmet/0000-0003-2647-5875</t>
  </si>
  <si>
    <t>1612-1872</t>
  </si>
  <si>
    <t>1612-1880</t>
  </si>
  <si>
    <t>CHEM BIODIVERS</t>
  </si>
  <si>
    <t>Chem. Biodivers.</t>
  </si>
  <si>
    <t>10.1002/cbdv.202300460</t>
  </si>
  <si>
    <t>Biochemistry &amp; Molecular Biology; Chemistry, Multidisciplinary</t>
  </si>
  <si>
    <t>Biochemistry &amp; Molecular Biology; Chemistry</t>
  </si>
  <si>
    <t>P2XI4</t>
  </si>
  <si>
    <t>WOS:001049316100001</t>
  </si>
  <si>
    <t>Vincent, N</t>
  </si>
  <si>
    <t>Vincent, Nicholas</t>
  </si>
  <si>
    <t>Slow Scholarship: Medieval Research and the Neoliberal University</t>
  </si>
  <si>
    <t>HISTORY</t>
  </si>
  <si>
    <t>[Vincent, Nicholas] Univ East Anglia, Norwich, England</t>
  </si>
  <si>
    <t>University of East Anglia</t>
  </si>
  <si>
    <t>Vincent, N (corresponding author), Univ East Anglia, Norwich, England.</t>
  </si>
  <si>
    <t>0018-2648</t>
  </si>
  <si>
    <t>1468-229X</t>
  </si>
  <si>
    <t>HISTORY-UK</t>
  </si>
  <si>
    <t>History</t>
  </si>
  <si>
    <t>10.1111/1468-229X.13367</t>
  </si>
  <si>
    <t>P3SO3</t>
  </si>
  <si>
    <t>WOS:001049877500001</t>
  </si>
  <si>
    <t>Yao, YZ; Wang, WG; Wu, Q; Liu, DF; Zheng, J</t>
  </si>
  <si>
    <t>Yao, Yazhou; Wang, Wenguan; Wu, Qiang; Liu, Dongfang; Zheng, Jin</t>
  </si>
  <si>
    <t>Guest Editorial: Learning from limited annotations for computer vision tasks</t>
  </si>
  <si>
    <t>IET COMPUTER VISION</t>
  </si>
  <si>
    <t>[Yao, Yazhou] Nanjing Univ Sci &amp; Technol, Nanjing, Peoples R China; [Wang, Wenguan] Univ Technol Sydney, Sydney, NSW, Australia; [Wu, Qiang] Univ Technol Sydney, Global Big Data Technol Ctr, Broadway, NSW, Australia; [Liu, Dongfang] Rochester Inst Technol, Dept Comp Engn, Rochester, NY USA; [Zheng, Jin] BUAA, Beijing, Peoples R China</t>
  </si>
  <si>
    <t>Nanjing University of Science &amp; Technology; University of Technology Sydney; University of Technology Sydney; Rochester Institute of Technology; Beihang University</t>
  </si>
  <si>
    <t>Yao, YZ (corresponding author), Nanjing Univ Sci &amp; Technol, Nanjing, Peoples R China.</t>
  </si>
  <si>
    <t>yazhou.yao@njust.edu.cn</t>
  </si>
  <si>
    <t>1751-9632</t>
  </si>
  <si>
    <t>1751-9640</t>
  </si>
  <si>
    <t>IET COMPUT VIS</t>
  </si>
  <si>
    <t>IET Comput. Vis.</t>
  </si>
  <si>
    <t>AUG</t>
  </si>
  <si>
    <t>10.1049/cvi2.12229</t>
  </si>
  <si>
    <t>Computer Science, Artificial Intelligence; Engineering, Electrical &amp; Electronic</t>
  </si>
  <si>
    <t>P7DP5</t>
  </si>
  <si>
    <t>WOS:001049890900001</t>
  </si>
  <si>
    <t>[Anonymous]</t>
  </si>
  <si>
    <t>AIUM Official Statement for the Statement on Biological Effects of Therapeutic Ultrasound</t>
  </si>
  <si>
    <t>FOCUSED ULTRASOUND; PROSTATE-CANCER; CAVITATION; CONSENSUS; ABLATION</t>
  </si>
  <si>
    <t>10.1002/jum.16315</t>
  </si>
  <si>
    <t>P6LC2</t>
  </si>
  <si>
    <t>WOS:001051761300001</t>
  </si>
  <si>
    <t>Celentano, V; Manzo, CA</t>
  </si>
  <si>
    <t>Celentano, Valerio; Manzo, Carlo Alberto</t>
  </si>
  <si>
    <t>Ten steps for ileoanal pouch anastomosis</t>
  </si>
  <si>
    <t>COLORECTAL DISEASE</t>
  </si>
  <si>
    <t>ileoanal pouch; inflammatory bowel disease; IPAA; j-pouch; pouchoscopy</t>
  </si>
  <si>
    <t>AimAppropriate patient selection, surgical technique, and follow-up pathways can provide optimal functional outcomes and good quality of life in many patients undergoing ileoanal pouch surgery. The aim of this study was to demonstrate the standardised approach to ileoanal pouch formation that we have developed in our pouch surgery centre. MethodsWe developed a structured approach to laparoscopic proctectomy with ileoanal pouch anastomosis formation, divided into 10 different steps. All patients referred to our centre from January 2020 to December 2022 for ulcerative colitis were included in the study. ResultsA total of 38 consecutive patients underwent ileal pouch-anal anastomosis (IPAA) surgery. All procedures were completed laparoscopically with one conversion to open (2.6%). A total of 13 patients had postoperative complications within 30 days of surgery (34.2%), with six (15.8%) being Clavien Dindo class 3 or higher. Median follow-up length was 18 months (range 2-30). Median number of bowel movements in 24 h at 12 months post-surgery was 4 (range 1-11). ConclusionsOur modular 10 steps approach could provide a standardised framework to surgeons in the learning curve. IPAA is a complex surgical procedure with significant postoperative morbidity. Our stepwise approach resulted in a high rate of minimally invasive surgery and could facilitate introduction of the technique.</t>
  </si>
  <si>
    <t>[Celentano, Valerio; Manzo, Carlo Alberto] Chelsea &amp; Westminster Hosp NHS Fdn Trust, Inflammatory Bowel Dis &amp; Ileoanal Pouch Surg Ctr, London, England; [Celentano, Valerio] Chelsea &amp; Westminster Hosp NHS Fdn Trust, 369 Fulham Rd, London, England</t>
  </si>
  <si>
    <t>Imperial College London; Imperial College London</t>
  </si>
  <si>
    <t>Celentano, V (corresponding author), Chelsea &amp; Westminster Hosp NHS Fdn Trust, 369 Fulham Rd, London, England.</t>
  </si>
  <si>
    <t>valeriocelentano@yahoo.it</t>
  </si>
  <si>
    <t>Celentano, Valerio/0000-0002-3562-9082</t>
  </si>
  <si>
    <t>1462-8910</t>
  </si>
  <si>
    <t>1463-1318</t>
  </si>
  <si>
    <t>COLORECTAL DIS</t>
  </si>
  <si>
    <t>Colorectal Dis.</t>
  </si>
  <si>
    <t>2023 AUG 15</t>
  </si>
  <si>
    <t>10.1111/codi.16712</t>
  </si>
  <si>
    <t>P2UE7</t>
  </si>
  <si>
    <t>WOS:001049233500001</t>
  </si>
  <si>
    <t>Chen, MZ; Wang, N; Zhou, W; Zhu, XY; Wu, QK; Lee, MH; Zhao, DK; Ning, SL; An, MZ; Li, LG</t>
  </si>
  <si>
    <t>Chen, Minzhe; Wang, Nan; Zhou, Wei; Zhu, Xiaoyan; Wu, Qikai; Lee, Ming-Hsien; Zhao, Dengke; Ning, Shunlian; An, Maozhong; Li, Ligui</t>
  </si>
  <si>
    <t>N-Doping Induced Lattice Expansion of 1D Template Confined Ultrathin MoS2 Sheets to Significantly Enhance Lithium Polysulfides Redox Kinetics for Li-S Battery</t>
  </si>
  <si>
    <t>hollow nanotubes; interlayer space; Li-S batteries; N-doped MoS2; sacrifice template</t>
  </si>
  <si>
    <t>SULFUR HOSTS; ADSORPTION; HETEROSTRUCTURE; INTERLAYER</t>
  </si>
  <si>
    <t>Preparing MoS2-based materials with reasonable structure and catalytic activity to enhance the sluggish kinetics of lithium polysulfides (LiPSs) conversion is of great significance for Li-S batteries (LSBs) but still remain a challenge. Hence, hollow nanotubes composed of N-doped ultrathin MoS2 nanosheets (N-MoS2 NHTs) are fabricated as efficient S hosts for LSBs by using CdS nanorods as a sacrifice template. Characterization and theoretical results show that the template effectively inhibits the excessive growth of MoS2 sheets, and N doping expands the interlayer spacing and modulates the electronic structure, thus accelerating the mass/electron transfer and enhancing the LiPSs adsorption and transformation. Benefiting from the merits, the N-MoS2 NHTs@S cathode exhibits an excellent initial capacity of 887.8 mAh g(-1) and stable cycling performances with capacity fading of only 0.0436% per cycle at 1.0 C (500 cycles). Moreover, even at high S loading that of 7.5 mg cm(-2), the N-MoS2 NHTs@S cathode also presents initial excellent areal capacity of 7.80 mAh cm(-2) at 0.2 C. This study offers feasible guidance for designing advanced MoS2-based cathode materials in LSBs.</t>
  </si>
  <si>
    <t>[Chen, Minzhe; Zhou, Wei; Zhu, Xiaoyan; Wu, Qikai; Li, Ligui] South China Univ Technol, New Energy Res Inst, Higher Educ Mega Ctr, Sch Environm &amp; Energy, 382 East Waihuan Rd, Guangzhou 510006, Peoples R China; [Wang, Nan] Jinan Univ, Dept Phys, Siyuan Lab, Guangzhou Key Lab Vacuum Coating Technol &amp; New Ene, Guangzhou 510632, Guangdong, Peoples R China; [Lee, Ming-Hsien] Tamkang Univ, Dept Phys, New Taipei 25137, Taiwan; [Zhao, Dengke] Henan Normal Univ, Sch Mat Sci &amp; Engn, Xinxiang 453007, Peoples R China; [Ning, Shunlian] Sun Yat Sen Univ, Sch Chem, Guangzhou 510275, Guangdong, Peoples R China; [An, Maozhong] Harbin Inst Technol, Sch Chem &amp; Chem Engn, MIIT Key Lab Crit Mat Technol New Energy Convers &amp;, Harbin 150001, Heilongjiang, Peoples R China; [An, Maozhong] Harbin Inst Technol, Sch Chem &amp; Chem Engn, State Key Lab Urban Water Resource &amp; Environm, Harbin 150001, Peoples R China</t>
  </si>
  <si>
    <t>South China University of Technology; Jinan University; Tamkang University; Henan Normal University; Sun Yat Sen University; Harbin Institute of Technology; Harbin Institute of Technology</t>
  </si>
  <si>
    <t>Li, LG (corresponding author), South China Univ Technol, New Energy Res Inst, Higher Educ Mega Ctr, Sch Environm &amp; Energy, 382 East Waihuan Rd, Guangzhou 510006, Peoples R China.;Zhao, DK (corresponding author), Henan Normal Univ, Sch Mat Sci &amp; Engn, Xinxiang 453007, Peoples R China.;Ning, SL (corresponding author), Sun Yat Sen Univ, Sch Chem, Guangzhou 510275, Guangdong, Peoples R China.;An, MZ (corresponding author), Harbin Inst Technol, Sch Chem &amp; Chem Engn, MIIT Key Lab Crit Mat Technol New Energy Convers &amp;, Harbin 150001, Heilongjiang, Peoples R China.;An, MZ (corresponding author), Harbin Inst Technol, Sch Chem &amp; Chem Engn, State Key Lab Urban Water Resource &amp; Environm, Harbin 150001, Peoples R China.</t>
  </si>
  <si>
    <t>zhaodengke@htu.edu.cn; ningshlian@mail2.sysu.edu.cn; mzan@hit.edu.cn; esguili@scut.edu.cn</t>
  </si>
  <si>
    <t>National Natural Science Foundation of China [52161033, 22209056]; Fundamental Research Funds for the Central Universities [21620329]; Postdoctoral Research Foundation of China [2020M673071]; Special Funds for the Cultivation of Guangdong College Students' Scientific and Technological Innovation [pdjh2022b0065]; Guangdong Basic and Applied Basic Research Foundation [2023A1515010270]; Science and Technology Planning Project of Guangzhou [202201010125]; National Innovation and Entrepreneurship Training Program for Undergraduate [QA202133]; Open Project of State Key Laboratory of Urban Water Resource and Environment, Harbin Institute of Technology [201605030008]; [202110559044]</t>
  </si>
  <si>
    <t>National Natural Science Foundation of China(National Natural Science Foundation of China (NSFC)); Fundamental Research Funds for the Central Universities(Fundamental Research Funds for the Central Universities); Postdoctoral Research Foundation of China(China Postdoctoral Science Foundation); Special Funds for the Cultivation of Guangdong College Students' Scientific and Technological Innovation; Guangdong Basic and Applied Basic Research Foundation; Science and Technology Planning Project of Guangzhou; National Innovation and Entrepreneurship Training Program for Undergraduate; Open Project of State Key Laboratory of Urban Water Resource and Environment, Harbin Institute of Technology;</t>
  </si>
  <si>
    <t>This work was supported by the National Natural Science Foundation of China (52161033 and 22209056), the Fundamental Research Funds for the Central Universities (21620329), the Postdoctoral Research Foundation of China (2020M673071), the Special Funds for the Cultivation of Guangdong College Students' Scientific and Technological Innovation (pdjh2022b0065), the Guangdong Basic and Applied Basic Research Foundation (2023A1515010270), the Science and Technology Planning Project of Guangzhou (201605030008 AND 202201010125), the National Innovation and Entrepreneurship Training Program for Undergraduate (202110559044), and the Open Project of State Key Laboratory of Urban Water Resource and Environment, Harbin Institute of Technology (No. QA202133). The authors would like to thank the shiyanjia lab (www.shiyanjia.com) for the xps test.</t>
  </si>
  <si>
    <t>10.1002/smll.202303015</t>
  </si>
  <si>
    <t>P5GQ4</t>
  </si>
  <si>
    <t>WOS:001050962600001</t>
  </si>
  <si>
    <t>dos Santos, ECF; de Lima, JMA; Machado, JCB; Ferreira, MRA; Soares, LAL</t>
  </si>
  <si>
    <t>dos Santos, Ewelyn Cintya Felipe; de Lima, Juliana Morais Andrade; Machado, Janaina Carla Barbosa; Ferreira, Magda Rhayanny Assuncao; Soares, Luiz Alberto Lira</t>
  </si>
  <si>
    <t>Validation of stability-indicating LC method, degradation study, and impact on antioxidant and antifungal activities of Eugenia uniflora leaves extract</t>
  </si>
  <si>
    <t>BIOMEDICAL CHROMATOGRAPHY</t>
  </si>
  <si>
    <t>biological activities; chromatography; Eugenia uniflora; forced degradation; myricitrin</t>
  </si>
  <si>
    <t>FORCED DEGRADATION; DIHYDROMYRICETIN; MYRICITRIN; MYRTACEAE; MYRICETIN; L.</t>
  </si>
  <si>
    <t>The aim of this study is to demonstrate the stability-indicating capacity of an analytical method for Eugenia uniflora, enhance understanding of the stability of myricitrin, and assess the effect of degradation of spray-dried extract (SDE) on antioxidant and antifungal activities. Validation of the stability-indicating method was carried out through a forced degradation study of SDE and standard myricitrin. The antioxidant and antifungal activities of SDE were evaluated both before and after degradation. The quantification method described was found to be both accurate and precise in measuring myricitrin levels in SDE from E. uniflora, with excellent selectivity that confirmed its stability-indicating capability. The forced degradation study revealed that the marker myricitrin is sensitive to hydrolysis, but generally stable under other stress conditions. By contrast, the standard myricitrin displayed greater susceptibility to degradation under forced degradation conditions. Analysis of the antioxidant activity of SDE before and after degradation showed a negative impact in this activity due to degradation, while no significant effect was observed on antifungal activity. The method described can be a valuable tool in the quality control of E. uniflora, and the findings can assist in determining the optimal conditions and storage of products derived from this species.</t>
  </si>
  <si>
    <t>[dos Santos, Ewelyn Cintya Felipe; de Lima, Juliana Morais Andrade; Machado, Janaina Carla Barbosa; Ferreira, Magda Rhayanny Assuncao; Soares, Luiz Alberto Lira] Univ Fed Pernambuco, Dept Pharmaceut Sci, Lab Pharmacognosy, Recife, PE, Brazil; [dos Santos, Ewelyn Cintya Felipe; Machado, Janaina Carla Barbosa; Soares, Luiz Alberto Lira] Univ Fed Pernambuco, Post Grad Program Pharmaceut Sci, Recife, PE, Brazil; [Soares, Luiz Alberto Lira] Univ Fed Pernambuco, Dept Pharmaceut Sci, Lab Pharmacognosy, Ave Arthur Sa, BR-50740521 Recife, PE, Brazil</t>
  </si>
  <si>
    <t>Universidade Federal de Pernambuco; Universidade Federal de Pernambuco; Universidade Federal de Pernambuco</t>
  </si>
  <si>
    <t>Soares, LAL (corresponding author), Univ Fed Pernambuco, Dept Pharmaceut Sci, Lab Pharmacognosy, Ave Arthur Sa, BR-50740521 Recife, PE, Brazil.</t>
  </si>
  <si>
    <t>luiz.albertosoares@ufpe.br</t>
  </si>
  <si>
    <t>National Council for Scientific and Technological Development (CNPq), [405297/2018-1, 304234/2021-4, 408863/2022-6]; Foundation for Science and Technology of the State of Pernambuco (FACEPE) [IBPG-1213-4.03/20]</t>
  </si>
  <si>
    <t>National Council for Scientific and Technological Development (CNPq),(Conselho Nacional de Desenvolvimento Cientifico e Tecnologico (CNPQ)); Foundation for Science and Technology of the State of Pernambuco (FACEPE)(Fundacao de Amparo a Ciencia e Tecnologia do Estado de Pernambuco (FACEPE))</t>
  </si>
  <si>
    <t>&amp; nbsp;National Council for Scientific and Technological Development (CNPq), Grant/Award Numbers: 405297/2018-1, 304234/2021-4, 408863/2022-6; Foundation for Science and Technology of the State of Pernambuco (FACEPE), Grant/Award Number: IBPG-1213-4.03/20</t>
  </si>
  <si>
    <t>0269-3879</t>
  </si>
  <si>
    <t>1099-0801</t>
  </si>
  <si>
    <t>BIOMED CHROMATOGR</t>
  </si>
  <si>
    <t>Biomed. Chromatogr.</t>
  </si>
  <si>
    <t>10.1002/bmc.5723</t>
  </si>
  <si>
    <t>Biochemical Research Methods; Biochemistry &amp; Molecular Biology; Chemistry, Analytical; Pharmacology &amp; Pharmacy</t>
  </si>
  <si>
    <t>P2SZ8</t>
  </si>
  <si>
    <t>WOS:001049202600001</t>
  </si>
  <si>
    <t>Goldstein, SA; Kennedy, KF; Friedman, DJ; Al-Khatib, SM; Wang, A</t>
  </si>
  <si>
    <t>Goldstein, Sarah A.; Kennedy, Kevin F.; Friedman, Daniel J.; Al-Khatib, Sana M.; Wang, Andrew</t>
  </si>
  <si>
    <t>Utilization and Outcomes of Primary Prevention Implantable Cardioverter-Defibrillators in Patients With Hypertrophic Cardiomyopathy</t>
  </si>
  <si>
    <t>JOURNAL OF THE AMERICAN HEART ASSOCIATION</t>
  </si>
  <si>
    <t>hypertrophic cardiomyopathy; implantable cardioverter-defibrillator; mortality; risk stratification; sudden cardiac death</t>
  </si>
  <si>
    <t>NONSUSTAINED VENTRICULAR-TACHYCARDIA; SUDDEN CARDIAC DEATH; TASK-FORCE; RISK; MANAGEMENT; DIAGNOSIS; EFFICACY; THERAPY</t>
  </si>
  <si>
    <t>BACKGROUND: There is uncertainty about the appropriate use of primary prevention implantable cardioverter-defibrillators (ICDs) among older patients with hypertrophic cardiomyopathy. METHODS AND RESULTS: Patients with hypertrophic cardiomyopathy who received a primary prevention ICD between 2010 and 2016 were identified using the National Cardiovascular Data Registry ICD Registry. Trends in ICD utilization and patient characteristics were assessed over time. Using linked Centers for Medicare and Medicaid Service claims data, Cox proportional hazard models assessed factors associated with mortality and postdischarge hospitalization for cardiac arrest/ventricular arrhythmia. Of 5571 patients with hypertrophic cardiomyopathy, 1511 (27.1%) were &gt;= 65 years old. ICD utilization increased over time in all age groups. There were no changes in the prevalence of risk factors for sudden cardiac death over time. The variables most strongly associated with postdischarge mortality were older age (adjusted hazard ratio (aHR) 1.80 [95% CI, 1.47-2.21]), New York Heart Association class (III/IV versus I/II aHR 2.17 [95% CI, 1.57-2.98]), and left ventricular ejection fraction (left ventricular ejection fraction &lt;= 35% versus &gt;50% aHR 2.34 [95% CI, 1.58-3.48]; left ventricular ejection fraction 36%-50% versus &gt;50% aHR 2.98 [95% CI, 2.02-4.40]), while history of onsustained ventricular tachycardia (aHR 2.38 [95% CI, 1.62-3.51]) and New York Heart Assnociation class (III/IV versus I/II aHR 1.84 [95% CI, 1.22-2.78]) were strongly associated with hospitalization for ventricular arrhythmia/cardiac arrest. CONCLUSIONS: Primary prevention ICD utilization in patients with hypertrophic cardiomyopathy increased over time, including among those &gt;= 65 years old. Among older patients, the strongest risk factors for hospitalization for ventricular arrhythmia/cardiac arrest following ICD implantation were history of nonsustained ventricular tachycardia and New York Heart Association class.</t>
  </si>
  <si>
    <t>[Goldstein, Sarah A.] Yale New Haven Hosp, 20 York St, New Haven, CT 06510 USA; [Goldstein, Sarah A.] Yale Univ, Dept Med, Div Cardiol, Sch Med, New Haven, CT USA; [Kennedy, Kevin F.] St Lukes Mid Amer Heart Inst, Kansas City, MO USA; [Friedman, Daniel J.; Al-Khatib, Sana M.; Wang, Andrew] Duke Univ, Dept Med, Div Cardiol, Med Ctr, Durham, NC USA; [Friedman, Daniel J.; Al-Khatib, Sana M.] Duke Clin Res Inst, Durham, NC USA</t>
  </si>
  <si>
    <t>Yale University; Yale University; Saint Luke's Mid America Heart Institute; Duke University; Duke University</t>
  </si>
  <si>
    <t>Goldstein, SA (corresponding author), Yale New Haven Hosp, 20 York St, New Haven, CT 06510 USA.</t>
  </si>
  <si>
    <t>sarah.goldstein@yale.edu</t>
  </si>
  <si>
    <t>Al-Khatib, Sana M/0000-0002-3561-0146; Wang, Andrew/0000-0001-8729-0933</t>
  </si>
  <si>
    <t>Boston Scientific-Duke University Strategic Alliance in Research (BD-STAR) Program</t>
  </si>
  <si>
    <t>This work was supported by the Boston Scientific-Duke University Strategic Alliance in Research (BD-STAR) Program.</t>
  </si>
  <si>
    <t>2047-9980</t>
  </si>
  <si>
    <t>J AM HEART ASSOC</t>
  </si>
  <si>
    <t>J. Am. Heart Assoc.</t>
  </si>
  <si>
    <t>AUG 15</t>
  </si>
  <si>
    <t>e029293</t>
  </si>
  <si>
    <t>10.1161/JAHA.122.029293</t>
  </si>
  <si>
    <t>P1VQ0</t>
  </si>
  <si>
    <t>WOS:001048592700027</t>
  </si>
  <si>
    <t>Kim, J; Lee, S; Gu, CY; Kim, TS; Kong, H; Jang, D</t>
  </si>
  <si>
    <t>Kim, JiEung; Lee, Sangmin; Gu, Chang-Yeon; Kim, Taek-Soo; Kong, Hyunjoon; Jang, Dongchan</t>
  </si>
  <si>
    <t>Mechanical Characterization of Collagen Hydrogels by Quasistatic Uniaxial Tensile Experiments</t>
  </si>
  <si>
    <t>biomaterials; collagen hydrogels; tensile tests</t>
  </si>
  <si>
    <t>BIOMATERIALS; MUSCLE; GELS</t>
  </si>
  <si>
    <t>Collagen serves as an essential structural material in the human body. Despite the complex mechanical conditions surrounding the collagen hydrogels, previous studies mostly focus on analyzing the mechanical behavior under dynamically varying compressive or shear loads, but the tensile properties at the quasistatic time scale are relatively less studied. This work aims to investigate the quasistatic tensile behavior of reconstituted collagen hydrogels under uniaxial tensile stresses. The evolution of the collagen fiber network structures with straining is visually observed using the confocal microscope equipped with the tensile strain actuator. While the unfolding of the initially undulated fibers accommodates the early-stage strains, the deformation mechanism continuously changes to the stretching of fibers through the network alignment to the tensile direction. This transition commences with the buckling of a fiber lying transverse to the loading direction, which otherwise locks the rotation of adjacent fibers.</t>
  </si>
  <si>
    <t>[Kim, JiEung; Jang, Dongchan] Korea Adv Inst Sci &amp; Technol, Dept Nucl &amp; Quantum Engn, Daejeon 34141, South Korea; [Lee, Sangmin; Gu, Chang-Yeon; Kim, Taek-Soo] Korea Adv Inst Sci &amp; Technol, Dept Mech Engn, Daejeon 34141, South Korea; [Kong, Hyunjoon] Univ Illinois, Dept Chem &amp; Biomol Engn, Urbana, IL 61801 USA</t>
  </si>
  <si>
    <t>Korea Advanced Institute of Science &amp; Technology (KAIST); Korea Advanced Institute of Science &amp; Technology (KAIST); University of Illinois System; University of Illinois Urbana-Champaign</t>
  </si>
  <si>
    <t>Jang, D (corresponding author), Korea Adv Inst Sci &amp; Technol, Dept Nucl &amp; Quantum Engn, Daejeon 34141, South Korea.</t>
  </si>
  <si>
    <t>dongchan.jang@kaist.ac.kr</t>
  </si>
  <si>
    <t>Jang, Dongchan/C-9510-2012</t>
  </si>
  <si>
    <t>Jang, Dongchan/0000-0002-2814-9734</t>
  </si>
  <si>
    <t>National Research Foundation of Korea (NRF) - Ministry of Science and ICT (MSIT) [NRF-2019M2C8A2058418]; National Science Foundation [CBET-1932192, 2032521]</t>
  </si>
  <si>
    <t>National Research Foundation of Korea (NRF) - Ministry of Science and ICT (MSIT)(National Research Foundation of KoreaMinistry of Science &amp; ICT (MSIT), Republic of KoreaMinistry of Science, ICT &amp; Future Planning, Republic of Korea); National Science Foundation(National Science Foundation (NSF))</t>
  </si>
  <si>
    <t>J.K. and D.J. acknowledge financial support by the National Research Foundation of Korea (NRF) grant funded by the Ministry of Science and ICT (MSIT) ((NRF-2019M2C8A2058418). H.K. also acknowledges financial support from the National Science Foundation (CBET-1932192 and 2032521).</t>
  </si>
  <si>
    <t>10.1002/adem.202301136</t>
  </si>
  <si>
    <t>P2UR6</t>
  </si>
  <si>
    <t>WOS:001049246600001</t>
  </si>
  <si>
    <t>Leotta, M; Ricca, F; Marchetto, A; Olianas, D</t>
  </si>
  <si>
    <t>Leotta, Maurizio; Ricca, Filippo; Marchetto, Alessandro; Olianas, Dario</t>
  </si>
  <si>
    <t>An empirical study to compare three web test automation approaches: NLP-based, programmable, and capture &amp; replay</t>
  </si>
  <si>
    <t>JOURNAL OF SOFTWARE-EVOLUTION AND PROCESS</t>
  </si>
  <si>
    <t>empirical study; natural language processing; page object pattern; Selenium; test automation; web testing</t>
  </si>
  <si>
    <t>GENERATION</t>
  </si>
  <si>
    <t>A new advancement in test automation is the use of natural language processing (NLP) to generate test cases (or test scripts) from natural language text. NLP is innovative in this context and promises of reducing test cases creation time and simplifying understanding for non-developer software testers as well. Recently, many vendors have launched on the market many proposals of NLP-based tools and testing frameworks but their superiority has never been empirically validated. This paper investigates the adoption of NLP-based test automation in the web context with a series of case studies conducted to compare the costs of the NLP testing approach-measured in terms of test cases development and test cases evolution-with respect to more consolidated approaches, that is, programmable (or script-based) testing and capture &amp; replay testing. The results of our study show that NLP-based test automation appears to be competitive for small- to medium-sized test suites such as those considered in our empirical study. It minimizes the total cumulative cost (development and evolution) and does not require software testers with programming skills.</t>
  </si>
  <si>
    <t>[Leotta, Maurizio; Ricca, Filippo; Olianas, Dario] Univ Genoa, Dipartimento Informat Bioingn Robot &amp; Ingn Sistemi, Genoa, Italy; [Marchetto, Alessandro] Univ Trento, Dipartimento Ingn &amp; Sci Informaz DISI, Trento, Italy</t>
  </si>
  <si>
    <t>University of Genoa; University of Trento</t>
  </si>
  <si>
    <t>Leotta, M (corresponding author), Univ Genoa, Dipartimento Informat Bioingn Robot &amp; Ingn Sistemi, Genoa, Italy.</t>
  </si>
  <si>
    <t>maurizio.leotta@unige.it</t>
  </si>
  <si>
    <t>Marchetto, Alessandro/0000-0002-6833-896X; ricca, filippo/0000-0002-3928-5408</t>
  </si>
  <si>
    <t>2047-7473</t>
  </si>
  <si>
    <t>2047-7481</t>
  </si>
  <si>
    <t>J SOFTW-EVOL PROC</t>
  </si>
  <si>
    <t>J. Softw.-Evol. Proc.</t>
  </si>
  <si>
    <t>10.1002/smr.2606</t>
  </si>
  <si>
    <t>Computer Science, Software Engineering</t>
  </si>
  <si>
    <t>P2VI5</t>
  </si>
  <si>
    <t>WOS:001049263500001</t>
  </si>
  <si>
    <t>Poirier, VJ; Keyerleber, M; Gordon, IK; Turek, MM; Kent, MS; Bentley, E; Lawrence, J</t>
  </si>
  <si>
    <t>Poirier, Valerie J. J.; Keyerleber, Michele; Gordon, Ira K. K.; Turek, Michelle M. M.; Kent, Michael S. S.; Bentley, Ellison; Lawrence, Jessica</t>
  </si>
  <si>
    <t>ACVR and ECVDI consensus statement: Reporting elements for toxicity criteria of the veterinary radiation therapy oncology group v2.0</t>
  </si>
  <si>
    <t>VETERINARY RADIOLOGY &amp; ULTRASOUND</t>
  </si>
  <si>
    <t>acute toxicity; delayed toxicity; radiation</t>
  </si>
  <si>
    <t>The toxicity criteria of the veterinary radiation therapy oncology group (VRTOG) version 2 guidelines are a substantial update to reflect significant advances in radiation oncology over the last three decades. Radiation therapy techniques provide precise and spatially accurate radiation delivery, which facilitates treating tumors in more anatomic locations and incorporating hypofractionated protocols. The purpose of this update is to aid radiation oncology teams in capturing and grading clinically relevant data that impacts the decision-making process in everyday practice and the assessment of clinical trials involving radiation therapy. A dedicated committee initially updated the criteria to include more anatomical sites and grades to characterize a broad spectrum of possible radiation-induced acute and late tissue changes. Through the revision process, which solicited and incorporated feedback from all radiation oncologists within the American College of Veterinary Radiology (ACVR) and specialists outside the ACVR, the authors endeavored to create a grading structure reflective of clinical decision-making in daily radiation oncology. The updated VRTOG v2 toxicity criteria guideline complements the updated Veterinary Cooperative Oncology Group-Common Terminology Criteria for Adverse Events (VCOG-CTCAE v2) guidelines. Because radiation oncology continues to progress rapidly, the VRTOG toxicity criteria should be regularly updated as adverse event data that will be collected following this update further informs the practice of radiation oncology.</t>
  </si>
  <si>
    <t>[Poirier, Valerie J. J.] Univ Guelph, Ontario Vet Coll, Dept Clin Studies, Guelph, ON, Canada; [Keyerleber, Michele] Tufts Univ, Dept Clin Sci, Cummings Sch Vet, North Grafton, MA USA; [Gordon, Ira K. K.] Oncol Serv, Springfield, IL USA; [Turek, Michelle M. M.; Bentley, Ellison] Univ Wisconsin, Sch Vet Med, Dept Surg Sci, Madison, WI USA; [Kent, Michael S. S.] Univ Calif Davis, Sch Vet Med, Dept Surg &amp; Radiol Sci, Davis, CA USA; [Lawrence, Jessica] Univ Minnesota, Coll Vet Med, Dept Vet Clin Sci, St Paul, MN USA; [Poirier, Valerie J. J.] Univ Guelph, Ontario Vet Coll, Anim Canc Ctr, Guelph, ON N1G 2W1, Canada</t>
  </si>
  <si>
    <t>University of Guelph; Tufts University; University of Wisconsin System; University of Wisconsin Madison; University of California System; University of California Davis; University of Minnesota System; University of Minnesota Twin Cities; University of Guelph</t>
  </si>
  <si>
    <t>Poirier, VJ (corresponding author), Univ Guelph, Ontario Vet Coll, Anim Canc Ctr, Guelph, ON N1G 2W1, Canada.</t>
  </si>
  <si>
    <t>vpoirier@uoguelph.ca</t>
  </si>
  <si>
    <t>Lawrence, Jessica/0000-0002-8315-1909</t>
  </si>
  <si>
    <t>1058-8183</t>
  </si>
  <si>
    <t>1740-8261</t>
  </si>
  <si>
    <t>VET RADIOL ULTRASOUN</t>
  </si>
  <si>
    <t>Vet. Radiol. Ultrasound</t>
  </si>
  <si>
    <t>10.1111/vru.13291</t>
  </si>
  <si>
    <t>R8KU4</t>
  </si>
  <si>
    <t>WOS:001048634800001</t>
  </si>
  <si>
    <t>Wiertelak, W; Pavlovskyi, A; Maszczak-Seneczko, D; Szulc, B; Olczak, M</t>
  </si>
  <si>
    <t>Wiertelak, Wojciech; Pavlovskyi, Artem; Maszczak-Seneczko, Dorota; Szulc, Bozena; Olczak, Mariusz</t>
  </si>
  <si>
    <t>The glycosylation defect in solute carrier SLC35A2/SLC35A3 double knockout cells is rescued by SLC35A2-SLC35A3 and SLC35A3-SLC35A2 hybrids</t>
  </si>
  <si>
    <t>FEBS LETTERS</t>
  </si>
  <si>
    <t>Golgi apparatus; hybrid proteins; mucin-type O-glycans; N-glycans; UDP-Gal; UDP-GlcNAc</t>
  </si>
  <si>
    <t>UDP-GALACTOSE TRANSPORTER; N-ACETYLGLUCOSAMINE TRANSPORTER; MOLECULAR-CLONING; GOLGI-APPARATUS; DEFICIENT; MUTATIONS; SLC35A2; COMPLEMENTS; COMPLEXES; GLYCANS</t>
  </si>
  <si>
    <t>SLC35A2 and SLC35A3 are homologous proteins with postulated nucleotide sugar transporting activities. Unlike SLC35A2, whose specificity for UDP-Gal is well-established, the UDP-GlcNAc transporting activity initially attributed to SLC35A3 has recently been put into question. In this study, we constructed two hybrid proteins (SLC35A2-SLC35A3 and SLC35A3-SLC35A2) and expressed them in a previously generated SLC35A2/SLC35A3 double knockout HEK293T cell line. Our idea was to force equivalent stoichiometry of the two proteins in the cells in order to reproduce the behavior of the SLC35A2/SLC35A3 complexes in the Golgi membrane. The hybrid proteins were able to fully restore glycosylation in the double knockout. In contrast, the expression of SLC35A3 alone in these cells improved galactosylation only to a limited extent. Our study shows that the proper glycosylation requires a balanced cooperation between SLC35A2 and SLC35A3.</t>
  </si>
  <si>
    <t>[Wiertelak, Wojciech; Pavlovskyi, Artem; Maszczak-Seneczko, Dorota; Szulc, Bozena; Olczak, Mariusz] Univ Wroclaw, Fac Biotechnol, Dept Biochem, Wroclaw, Poland</t>
  </si>
  <si>
    <t>University of Wroclaw</t>
  </si>
  <si>
    <t>Olczak, M (corresponding author), Univ Wroclaw, Fac Biotechnol, Dept Biochem, Wroclaw, Poland.</t>
  </si>
  <si>
    <t>mariusz.olczak@uwr.edu.pl</t>
  </si>
  <si>
    <t>Szulc, Bozena/0000-0002-7782-9592; Olczak, Mariusz/0000-0001-8629-6364</t>
  </si>
  <si>
    <t>National Science Center (Narodowe Centrum Nauki, NCN), Poland [2019/35/B/NZ3/00481]</t>
  </si>
  <si>
    <t>National Science Center (Narodowe Centrum Nauki, NCN), Poland</t>
  </si>
  <si>
    <t>Acknowledgements This research was funded by the National Science Center (Narodowe Centrum Nauki, NCN), Poland, grant number 2019/35/B/NZ3/00481. The authors would like to thank Anna Mystkowska-Wiertelak for providing language help and Jan Machowicz for designing and preparing the Graphical Abstract. The 3-D structures of SLC35A2 and SLC35A3 were taken from the UniProt database.</t>
  </si>
  <si>
    <t>0014-5793</t>
  </si>
  <si>
    <t>1873-3468</t>
  </si>
  <si>
    <t>FEBS LETT</t>
  </si>
  <si>
    <t>FEBS Lett.</t>
  </si>
  <si>
    <t>10.1002/1873-3468.14714</t>
  </si>
  <si>
    <t>Biochemistry &amp; Molecular Biology; Biophysics; Cell Biology</t>
  </si>
  <si>
    <t>P2AX8</t>
  </si>
  <si>
    <t>WOS:001048730800001</t>
  </si>
  <si>
    <t>Alhindi, YA; Khalifa, N; Al-Khyatt, W; Idris, I</t>
  </si>
  <si>
    <t>Alhindi, Yousef Abdullah; Khalifa, Najat; Al-Khyatt, Waleed; Idris, Iskandar</t>
  </si>
  <si>
    <t>The use of non-invasive brain stimulation techniques to reduce body weight and food cravings: A systematic review and meta-analysis</t>
  </si>
  <si>
    <t>CLINICAL OBESITY</t>
  </si>
  <si>
    <t>dorsolateral prefrontal cortex; dTMS; neuromodulation; obesity; rTMS; tDCS</t>
  </si>
  <si>
    <t>TRANSCRANIAL MAGNETIC STIMULATION; DORSOLATERAL PREFRONTAL CORTEX; LESS ACTIVATION; OBESITY; TDCS; DOPAMINE; APPETITE; MEAL; BIAS</t>
  </si>
  <si>
    <t>Several studies demonstrated non-invasive brain stimulation (NIBS) techniques such as transcranial direct current stimulation (tDCS) and transcranial magnetic stimulation (TMS) are safe and simple techniques that can reduce body weight, food cravings, and food consumption in patients with obesity. However, a systematic to evaluate the efficacy of active NIBS versus sham stimulation in reducing body weight and food cravings in patients with obesity is not available. We conducted a systematic review and meta-analysis of randomized controlled trials (RCTs) using PubMed, Embase, MEDLINE, and Cochrane Central Register of Control Trial between January 1990 and February 2022. Mean differences (MDs) for continuous outcome variables with 95% confidence intervals (95% CIs) were used to examine the effects of NIBS on body weight and body mass index (BMI), whereas the hedges's g test was used to measure the effects on food craving. Nineteen RCTs involving 571 participants were included in this study. Active neurostimulation (TMS and tDCS) was significantly more likely than sham stimulation to reduce body weight (TMS: -3.29 kg, 95% CI [-5.32, -1.26]; I-2 = 48%; p &lt; .001; tDCS: -0.82 kg, 95% CI [-1.01, -0.62]; I-2 = 0.0%; p = .00) and BMI (TMS: -0.74, 95% CI [-1.17, -0.31]; I-2 = 0% p = .00; tDCS: MD = -0.55, 95% CI [-2.32, 1.21]; I-2 = 0% p = .54) as well as food cravings (TMS: g = -0.91, 95% CI [-1.68, -0.14]; I-2 = 88 p = .00; tDCS: g = -0.32, 95% CI [-0.62, -0.02]; p = .04). Compared with sham stimulation, our findings indicate that active NIBS can significantly help to reduce body weight and food cravings. Hence, these novel techniques may be used as primary or adjunct tools in treating patients with obesity.</t>
  </si>
  <si>
    <t>[Alhindi, Yousef Abdullah; Idris, Iskandar] Univ Nottingham, Royal Derby Hosp,Clin Metab &amp; Mol Physiol, Natl Inst Hlth Res,Nottingham Biomed Res Ctr, MRC Versus Arthrit Ctr Musculoskeletal Ageing Res, Nottingham, England; [Alhindi, Yousef Abdullah; Idris, Iskandar] Royal Derby Hosp, East Midlands Bariatr Metab Inst, Derby, England; [Alhindi, Yousef Abdullah] Univ Hail, Div Appl Med Sci, Hail, Saudi Arabia; [Al-Khyatt, Waleed] Queens Univ, Dept Psychiat, Kingston, ON, Canada; [Al-Khyatt, Waleed; Idris, Iskandar] Univ Nottingham, Royal Derby Hosp Ctr, Uttoxeter Rd, Derby DE22 3DT, England</t>
  </si>
  <si>
    <t>University of Nottingham; University of Nottingham; University Ha'il; Queens University - Canada; University of Nottingham</t>
  </si>
  <si>
    <t>Al-Khyatt, W; Idris, I (corresponding author), Univ Nottingham, Royal Derby Hosp Ctr, Uttoxeter Rd, Derby DE22 3DT, England.</t>
  </si>
  <si>
    <t>waleed.alkhyatt@nhs.net; iskandar.idris@nottingham.ac.uk</t>
  </si>
  <si>
    <t>alhindi, yousef/0000-0003-1770-0321</t>
  </si>
  <si>
    <t>1758-8103</t>
  </si>
  <si>
    <t>1758-8111</t>
  </si>
  <si>
    <t>CLIN OBES</t>
  </si>
  <si>
    <t>Clin. Obes.</t>
  </si>
  <si>
    <t>2023 AUG 14</t>
  </si>
  <si>
    <t>10.1111/cob.12611</t>
  </si>
  <si>
    <t>P0ZG5</t>
  </si>
  <si>
    <t>WOS:001048001400001</t>
  </si>
  <si>
    <t>Behr, P; Jacob, J</t>
  </si>
  <si>
    <t>Behr, Patrick; Jacob, Jorge</t>
  </si>
  <si>
    <t>Neighbourhood social capital, account usage and savings behaviour in low-income countries: Field experimental evidence from Senegal</t>
  </si>
  <si>
    <t>JOURNAL OF INTERNATIONAL DEVELOPMENT</t>
  </si>
  <si>
    <t>account activity; financial inclusion; neighbourhood social capital; RCT; savings; text message reminders</t>
  </si>
  <si>
    <t>STEREOTYPE THREAT; FINANCIAL INCLUSION; GENDER; WOMEN; ECONOMICS; ACCESS; MICROFINANCE; PERFORMANCE; IMPACT; COMMUNITY</t>
  </si>
  <si>
    <t>Financial inclusion is an important driver of economic growth, but gender gaps persist in financial activity, especially in low-income countries. This study analyses the impact of text messages that make salient neighbours' savings behaviour on account usage and savings behaviour of low-income men and women in Senegal. We performed a randomized field experiment in which 2056 clients of a local financial institution were assigned to one of three experimental conditions. We found gender differences in how these text messages impact savings and account usage. Account usage, account activity and average savings balances of female clients who received weekly savings reminders making their neighbours' savings behaviour salient increased compared to those who received generic savings reminders and those who received no savings reminders. The treatment had no impact on male clients. These results suggest that content-specific text message reminders can create benefits for both the supply and demand side of financial services for women in low-income countries, thereby increasing financial inclusion.</t>
  </si>
  <si>
    <t>[Jacob, Jorge] Univ Lille, Dept Mkt &amp; Sales, CNRS, IESEG Sch Management,UMR 9221 LEM Lille Econ Manag, Lille, France; [Jacob, Jorge] IESEG Sch Management, Dept Mkt &amp; Sales, 1 Promenade Arche, F-92800 Puteaux La Defense, France</t>
  </si>
  <si>
    <t>Centre National de la Recherche Scientifique (CNRS); Universite de Lille - ISITE; Universite de Lille; IESEG School of Management; IESEG School of Management</t>
  </si>
  <si>
    <t>Jacob, J (corresponding author), IESEG Sch Management, Dept Mkt &amp; Sales, 1 Promenade Arche, F-92800 Puteaux La Defense, France.</t>
  </si>
  <si>
    <t>j.jacob@ieseg.fr</t>
  </si>
  <si>
    <t>0954-1748</t>
  </si>
  <si>
    <t>1099-1328</t>
  </si>
  <si>
    <t>J INT DEV</t>
  </si>
  <si>
    <t>J. Int. Dev.</t>
  </si>
  <si>
    <t>10.1002/jid.3806</t>
  </si>
  <si>
    <t>P0OI8</t>
  </si>
  <si>
    <t>WOS:001047716700001</t>
  </si>
  <si>
    <t>Ding, XE; Liu, WK; Wang, CC; Kong, DL; Tang, W; Xu, R; Zhang, CY</t>
  </si>
  <si>
    <t>Ding, Xiaoe; Liu, Wenke; Wang, Chengcheng; Kong, Delan; Tang, Wei; Xu, Run; Zhang, Changyong</t>
  </si>
  <si>
    <t>Trend analysis of traffic management based on literature data mining and graph analysis tools</t>
  </si>
  <si>
    <t>IET INTELLIGENT TRANSPORT SYSTEMS</t>
  </si>
  <si>
    <t>data mining; long term evolution; traffic management and control</t>
  </si>
  <si>
    <t>ROUTE GUIDANCE; BIBLIOMETRIC ANALYSIS; TIME; FLOW; NETWORK; TRANSPORTATION; MODEL; PREDICTION; VEHICLES; RAILWAY</t>
  </si>
  <si>
    <t>Studites on traffic management is crucial for the development of intelligent transportation systems and smart cities. However, identifying the development stages of traffic management field based on bibliometric analysis is still lacking. In this study, CiteSpace and VOSviewer software are used to explore traffic management field by summarizing development process and predicting future research trend. A total of 3,028 relevant documents over the past 40 years were collected from Web of Science. Results show that (1) studies on traffic management were mainly published by researchers from USA (30.55%), China (20.90%), and some European countries; (2) the key traffic management research contents can be classified into four categories, that is, background requirements, traffic problems, method models, and control strategies; (3) the evolution process can be divided into four stages, that is, budding stage (1990-1994), development stage (1995-2003), calm stage (2004-2010), and maturation stage (2011-); (4) machine learning, deep learning and other intelligent algorithms have played more important roles in recent years, and connected vehicle management is also a potential development trend. Results suggest that cooperative vehicle-infrastructure systems or machine learning-based studies might be the hotspots on traffic management studies.</t>
  </si>
  <si>
    <t>[Ding, Xiaoe; Wang, Chengcheng; Xu, Run; Zhang, Changyong] Shandong Prov Commun Planning &amp; Design Inst Grp Co, Jinan, Peoples R China; [Liu, Wenke; Kong, Delan; Tang, Wei] Shandong Hispeed Grp Intelligent Management Ctr, Jinan, Peoples R China</t>
  </si>
  <si>
    <t>Wang, CC (corresponding author), Shandong Prov Commun Planning &amp; Design Inst Grp Co, Jinan, Peoples R China.</t>
  </si>
  <si>
    <t>chengcheng.sdcpdi@foxmail.com</t>
  </si>
  <si>
    <t>Natural Science Youth Foundation of Shandong [ZR202103040494, ZR2021QF137]; Key Technology Projects in the Transportation Industry [2022-ZD6-076]; Shandong Provincial Department of Transportation Science and Technology Plan Project [2022B62]</t>
  </si>
  <si>
    <t>Natural Science Youth Foundation of Shandong; Key Technology Projects in the Transportation Industry; Shandong Provincial Department of Transportation Science and Technology Plan Project</t>
  </si>
  <si>
    <t>This research was funded by the Natural Science Youth Foundation of Shandong (Grant no. ZR202103040494; ZR2021QF137), 2022 Key Technology Projects in the Transportation Industry (2022-ZD6-076) and Shandong Provincial Department of Transportation Science and Technology Plan Project (2022B62).</t>
  </si>
  <si>
    <t>1751-956X</t>
  </si>
  <si>
    <t>1751-9578</t>
  </si>
  <si>
    <t>IET INTELL TRANSP SY</t>
  </si>
  <si>
    <t>IET Intell. Transp. Syst.</t>
  </si>
  <si>
    <t>10.1049/itr2.12416</t>
  </si>
  <si>
    <t>Engineering, Electrical &amp; Electronic; Transportation Science &amp; Technology</t>
  </si>
  <si>
    <t>Engineering; Transportation</t>
  </si>
  <si>
    <t>P2TW8</t>
  </si>
  <si>
    <t>WOS:001049225600001</t>
  </si>
  <si>
    <t>Hevern, V</t>
  </si>
  <si>
    <t>Hevern, Vincent</t>
  </si>
  <si>
    <t>The soul in soulless psychology</t>
  </si>
  <si>
    <t>JOURNAL OF THE HISTORY OF THE BEHAVIORAL SCIENCES</t>
  </si>
  <si>
    <t>[Hevern, Vincent] Le Moyne Coll, Dept Psychol, Syracuse, NY 13214 USA</t>
  </si>
  <si>
    <t>Hevern, V (corresponding author), Le Moyne Coll, Dept Psychol, Syracuse, NY 13214 USA.</t>
  </si>
  <si>
    <t>hevern@lemoyne.edu</t>
  </si>
  <si>
    <t>0022-5061</t>
  </si>
  <si>
    <t>1520-6696</t>
  </si>
  <si>
    <t>J HIST BEHAV SCI</t>
  </si>
  <si>
    <t>J. Hist. Behav. Sci.</t>
  </si>
  <si>
    <t>10.1002/jhbs.22279</t>
  </si>
  <si>
    <t>History Of Social Sciences</t>
  </si>
  <si>
    <t>P1SZ7</t>
  </si>
  <si>
    <t>WOS:001048524000001</t>
  </si>
  <si>
    <t>Kanter, JB; Lannin, DG; McCaig, J; Sprecher, S; Rauer, AJ; Yazedjian, A</t>
  </si>
  <si>
    <t>Kanter, Jeremy B.; Lannin, Daniel G.; McCaig, Jessica; Sprecher, Susan; Rauer, Amy J.; Yazedjian, Ani</t>
  </si>
  <si>
    <t>The impact of specific program components on romantic relationship satisfaction</t>
  </si>
  <si>
    <t>FAMILY RELATIONS</t>
  </si>
  <si>
    <t>couples; longitudinal research; relationship education; relationship satisfaction</t>
  </si>
  <si>
    <t>LOW-INCOME COUPLES; RELATIONSHIP EDUCATION</t>
  </si>
  <si>
    <t>Objective: The goal was to determine if time spent in specific Healthy Marriage Initiative program components (relationship education courses, supplemental activities, and family support services) was associated with future relationship satisfaction and to examine if effects differed depending on the degree of economic disadvantage. Background: Healthy Marriage Initiatives (HMI) generally have small, short-term positive effects on relationship outcomes. It remains unclear, however, which programming components are responsible for those effects and for whom programming is most effective. Method: Using two waves of data from over 2,000 lower-income couples in the Supporting Healthy Marriages study, we conducted path models and a multigroup model to address our research aims. Results: Time spent in family support services was the only component positively associated with future satisfaction, controlling for the influence of other program components, initial relationship satisfaction, and expectations of the program's effectiveness. Economic disadvantage did not moderate any of these associations. Conclusion: Results suggest that many HMI programs may potentially be beneficial to relationship functioning because of the provision of supplementary support services that partially aim to alleviate external stressors and provide personalized assistance to families. Implications: Practitioners should not only consider how relationship education programming may influence intimate bonds, but also how complementary programs may also factor into program efficacy.</t>
  </si>
  <si>
    <t>[Kanter, Jeremy B.; McCaig, Jessica; Rauer, Amy J.] Univ Tennessee, Dept Child &amp; Family Studies, Knoxville, TN USA; [Lannin, Daniel G.] Illinois State Univ, Dept Psychol, Normal, IL USA; [Sprecher, Susan] Illinois State Univ, Dept Sociol &amp; Anthropol, Normal, IL USA; [Yazedjian, Ani] Illinois State Univ, Off Provost, Normal, IL USA; [Kanter, Jeremy B.] 418 Jessie Harris Bldg, Knoxville, TN 37966 USA</t>
  </si>
  <si>
    <t>University of Tennessee System; University of Tennessee Knoxville; Illinois State University; Illinois State University; Illinois State University</t>
  </si>
  <si>
    <t>Kanter, JB (corresponding author), 418 Jessie Harris Bldg, Knoxville, TN 37966 USA.</t>
  </si>
  <si>
    <t>jkanter2@utk.edu</t>
  </si>
  <si>
    <t>Lannin, Daniel/0000-0001-8203-8253</t>
  </si>
  <si>
    <t>U.S. Department of Health and Human Services, Administration for Children and Families [90PR0018-02-00]</t>
  </si>
  <si>
    <t>U.S. Department of Health and Human Services, Administration for Children and Families</t>
  </si>
  <si>
    <t>Funding for this research was provided by the U.S. Department of Health and Human Services, Administration for Children and Families (Grant #90PR0018-02-00). Any opinions, findings, and conclusions or recommendations expressed in this paper are those of the authors and do not necessarily reflect the views of the U.S. Department of Health and Human Services, Administration for Children and Families.</t>
  </si>
  <si>
    <t>0197-6664</t>
  </si>
  <si>
    <t>1741-3729</t>
  </si>
  <si>
    <t>FAM RELAT</t>
  </si>
  <si>
    <t>Fam. Relat.</t>
  </si>
  <si>
    <t>10.1111/fare.12933</t>
  </si>
  <si>
    <t>Family Studies; Social Work</t>
  </si>
  <si>
    <t>P1SJ1</t>
  </si>
  <si>
    <t>WOS:001048507300001</t>
  </si>
  <si>
    <t>Kettle, NP; Trainor, SF; Edwards, R; Antrobus, D; Baranowski, C; Buxbaum, T; Berry, K; Brubaker, M; De Long, KL; Fries, S; Holen, D; Keim, B; Meeker, D; Penn, H; Rosa, C; Thoman, R; Walsh, J; Zhang, J</t>
  </si>
  <si>
    <t>Kettle, Nathan P.; Trainor, Sarah F.; Edwards, Renee; Antrobus, Donald; Baranowski, Curt; Buxbaum, Tina; Berry, Kevin; Brubaker, Michael; De Long, Kristine L.; Fries, Steve; Holen, Davin; Keim, Barry; Meeker, Danielle; Penn, Harry; Rosa, Cheryl; Thoman, Rick; Walsh, John; Zhang, Jian</t>
  </si>
  <si>
    <t>Building resilience to extreme weather and climate events in the rural water and wastewater sectors</t>
  </si>
  <si>
    <t>JOURNAL OF THE AMERICAN WATER RESOURCES ASSOCIATION</t>
  </si>
  <si>
    <t>resilience; weather and climate extremes; rural; water and wastewater systems; vulnerability; social networks; Indigenous and underserved communities</t>
  </si>
  <si>
    <t>ADAPTIVE CAPACITY; DRINKING-WATER; INFORMATION; ADAPTATION; MANAGEMENT; VULNERABILITY; FRAMEWORK; NETWORKS; SYSTEMS; COMMUNITIES</t>
  </si>
  <si>
    <t>Extreme weather and climate events pose significant risks to rural water and wastewater systems. We examine the vulnerability of the water sector to weather and climate extremes in rural, predominantly Indigenous and underserved coastal areas and analyze how networks support resilience. Drawing on the analysis of 39 web-based questionnaire responses and 19 interviews with rural water and wastewater managers and service providers in southern Louisiana and western Alaska, this article reports a range of interrelated historical, environmental, and social factors that influence vulnerability to extreme weather events. Formal and informal social networks serve multiple roles in building resilience. These roles include building technical and financial capacities, supporting emergency response and operational- to long-term planning, fostering data collection and monitoring, supporting information sharing and innovative research, and providing institutional support. Results from this research enrich our understanding of the social, relational, and networking processes that condition community resilience to extreme weather events.</t>
  </si>
  <si>
    <t>[Kettle, Nathan P.; Trainor, Sarah F.; Buxbaum, Tina; Meeker, Danielle; Thoman, Rick; Walsh, John] Univ Alaska, Int Arctic Res Ctr, Fairbanks, AK 99775 USA; [Edwards, Renee; De Long, Kristine L.; Keim, Barry] Louisiana State Univ, Baton Rouge, LA USA; [Brubaker, Michael] Alaska Native Tribal Hlth Consortium, Anchorage, AK USA; [Baranowski, Curt; Fries, Steve] US Environm Protect Agcy, Washington, DC USA; [Berry, Kevin] Univ Alaska Anchorage, Anchorage, AK USA; [Holen, Davin] Univ Alaska, Alaska Sea Grant, Fairbanks, AK USA; [Penn, Harry] Univ Calgary, Arctic Inst North Amer, Calgary, AB, Canada; [Rosa, Cheryl] US Arctic Res Commiss, Anchorage, AK USA; [Zhang, Jian] Water Res Fdn, Denver, CO USA</t>
  </si>
  <si>
    <t>University of Alaska System; University of Alaska Fairbanks; Louisiana State University System; Louisiana State University; Alaska Native Tribal Health Consortium; United States Environmental Protection Agency; University of Alaska System; University of Alaska Anchorage; University of Alaska System; University of Alaska Fairbanks; University of Calgary</t>
  </si>
  <si>
    <t>Kettle, NP (corresponding author), Univ Alaska, Int Arctic Res Ctr, Fairbanks, AK 99775 USA.</t>
  </si>
  <si>
    <t>nkettle@alaska.edu</t>
  </si>
  <si>
    <t>Kettle, Nathan/0000-0002-0871-1099; Holen, Davin/0000-0002-5232-8521</t>
  </si>
  <si>
    <t>Climate Program Office [NA16OAR4310162, NA18OAR4310264, NA18OAR4310337]</t>
  </si>
  <si>
    <t>Climate Program Office</t>
  </si>
  <si>
    <t>Climate Program Office, Grant/Award Number: NA16OAR4310162, NA18OAR4310264 and NA18OAR4310337</t>
  </si>
  <si>
    <t>1093-474X</t>
  </si>
  <si>
    <t>1752-1688</t>
  </si>
  <si>
    <t>J AM WATER RESOUR AS</t>
  </si>
  <si>
    <t>J. Am. Water Resour. Assoc.</t>
  </si>
  <si>
    <t>10.1111/1752-1688.13151</t>
  </si>
  <si>
    <t>Engineering, Environmental; Geosciences, Multidisciplinary; Water Resources</t>
  </si>
  <si>
    <t>Engineering; Geology; Water Resources</t>
  </si>
  <si>
    <t>P1TB0</t>
  </si>
  <si>
    <t>WOS:001048525300001</t>
  </si>
  <si>
    <t>Kim, B; Puthukanoori, RK; Martha, B; Muthyala, NR; Thota, S; Thummala, V; Paraselli, BR; Chen, DYK</t>
  </si>
  <si>
    <t>Kim, Byungjoo; Puthukanoori, Ravi Kumar; Martha, Bhikshapathi; Reddy Muthyala, Nagarjuna; Thota, Srinivas; Thummala, Venkatesham; Rao Paraselli, Bheema; Chen, David Y. -K.</t>
  </si>
  <si>
    <t>Stereo-Controlled Synthesis of Vicinal Tertiary Carbinols: Application in the Synthesis of a Diol Substructure of Zaragozic Acid, Pactamycin and Ryanodol</t>
  </si>
  <si>
    <t>natural product; singlet-oxygen cycloaddition; stereoselective synthesis; tertiary carbinol; total synthesis</t>
  </si>
  <si>
    <t>STEREOSELECTIVE TOTAL-SYNTHESIS; ASYMMETRIC TOTAL-SYNTHESIS; MASKED O-BENZOQUINONES; OXIDATIVE SPIROLACTONIZATION; MEDIATED REACTIONS; MITSUNOBU REACTION; ACETAL 1,2; (+)-RYANODOL; DEAROMATIZATION; COMPLEX</t>
  </si>
  <si>
    <t>A novel and flexible approach for the stereo-controlled synthesis of vicinal tertiary carbinols is reported. The developed strategy featured a highly diastereoselective singlet-oxygen (O-2(1)) [4+2] cycloaddition of rationally designed cyclohexadienones (derived from oxidative dearomatization of the corresponding carboxylic-acid appended phenol precursors), followed by programmed O-O and C-C bond cleavage. In doing so, a highly functionalized and versatile intermediate was identified and prepared in synthetically useful quantity as a plausible precursor to access a variety of designed and naturally occurring vicinal tertiary carbinol containing compounds. Most notably, the developed strategy was successfully applied in the stereo-controlled synthesis of advanced core structures of zaragozic acid, pactamycin and ryanodol.</t>
  </si>
  <si>
    <t>[Kim, Byungjoo; Chen, David Y. -K.] Seoul Natl Univ, Dept Chem, Gwanak-1 Gwanak-ro, Seoul 08826, South Korea; [Puthukanoori, Ravi Kumar; Martha, Bhikshapathi; Reddy Muthyala, Nagarjuna; Thota, Srinivas; Thummala, Venkatesham; Rao Paraselli, Bheema] Chemveda Life Sci Pvt Ltd, Hyderabad 500039, Telangana, India</t>
  </si>
  <si>
    <t>Seoul National University (SNU)</t>
  </si>
  <si>
    <t>Chen, DYK (corresponding author), Seoul Natl Univ, Dept Chem, Gwanak-1 Gwanak-ro, Seoul 08826, South Korea.</t>
  </si>
  <si>
    <t>davidchen@snu.ac.kr</t>
  </si>
  <si>
    <t>National Research Foundation of Korea (NRF) - Korean government (MSIP) [2021R1A5A6002803]; Novartis</t>
  </si>
  <si>
    <t>National Research Foundation of Korea (NRF) - Korean government (MSIP)(National Research Foundation of Korea); Novartis(Novartis)</t>
  </si>
  <si>
    <t>This work was supported by National Research Foundation of Korea (NRF) grant funded by the Korean government (MSIP) (Nos. 2021R1A5A6002803, Center for New Directions in Organic Synthesis) and Novartis. We thank Professor Dongwhan Lee, Department of Chemistry, Seoul National University for supporting single crystal X-ray analysis of compounds 2?b and 39, and W. Park in early synthetic studies.</t>
  </si>
  <si>
    <t>10.1002/chem.202301938</t>
  </si>
  <si>
    <t>P0ZP4</t>
  </si>
  <si>
    <t>WOS:001048010400001</t>
  </si>
  <si>
    <t>Liu, H; Zagler, M; Nase, M; Weber, K; Albrecht, J</t>
  </si>
  <si>
    <t>Liu, Hang; Zagler, Michaela; Nase, Michael; Weber, Katharina; Albrecht, Joachim</t>
  </si>
  <si>
    <t>Creating Hydrophobic Foils From Biopolymer Blends Using Mechanical Microimprinting</t>
  </si>
  <si>
    <t>hydrophobic; biopolymer; microimprinting; anisotropic wettability; tribology</t>
  </si>
  <si>
    <t>WATER-VAPOR PERMEABILITY; CONTACT ANGLES; ROUGH SURFACES; FILMS; WETTABILITY; RESISTANCE</t>
  </si>
  <si>
    <t>The surface topography of biodegradable polymer foils is modified by mechanical imprinting on a submillimeter length scale. The created patterns strongly influence the wetting behavior and allow the preparation of hydrophobic surfaces with controlled solid-liquid interaction. A detailed analysis of anisotropic surface patterns reveals that the observed effect arises from a combination of topographical and compositional changes that are introduced to the surface. As a main result it is found that an individual combination of material and structure is required for the production of water-repellent biopolymer foils that are highly attractive for packaging applications.</t>
  </si>
  <si>
    <t>[Liu, Hang; Weber, Katharina; Albrecht, Joachim] Aalen Univ, Res Inst Innovat Surfaces FINO, Beethovenstr 1, D-73430 Aalen, Germany; [Zagler, Michaela; Nase, Michael] Hof Univ Appl Sci, Inst Biopolymers &amp; Sustainabil Ibp, Alfons Goppel Pl 1, D-95028 Hof, Germany</t>
  </si>
  <si>
    <t>Hochschule Aalen</t>
  </si>
  <si>
    <t>Liu, H; Weber, K; Albrecht, J (corresponding author), Aalen Univ, Res Inst Innovat Surfaces FINO, Beethovenstr 1, D-73430 Aalen, Germany.</t>
  </si>
  <si>
    <t>hang.liu@hs-aalen.de; katharina.weber@hs-aalen.de; joachim.albrecht@hs-aalen.de</t>
  </si>
  <si>
    <t>Albrecht, Joachim/I-7893-2014</t>
  </si>
  <si>
    <t>Albrecht, Joachim/0000-0002-4047-4302; Nase, Michael/0000-0002-8017-4849</t>
  </si>
  <si>
    <t>10.1002/cphc.202300301</t>
  </si>
  <si>
    <t>P0NM6</t>
  </si>
  <si>
    <t>WOS:001047694100001</t>
  </si>
  <si>
    <t>Lu, SY; Wu, G; Niu, FF; Liu, YD; Liu, XS; Xu, W; Chen, ZB</t>
  </si>
  <si>
    <t>Lu, Siyuan; Wu, Gang; Niu, Fangfang; Liu, Yangdong; Liu, Xingsheng; Xu, Wan; Chen, Zhenbin</t>
  </si>
  <si>
    <t>Toughening modification of epoxy resins by epoxy-terminated hyperbranched polyethers fabricated by doping sorbitol with inositol</t>
  </si>
  <si>
    <t>epoxy-terminated hyperbranched polyether; inositol; mechanical properties; mechanisms; sorbitol</t>
  </si>
  <si>
    <t>MECHANICAL-PROPERTIES; DIGLYCIDYL ETHER; BISPHENOL-A; THERMOSETS; TOUGHNESS; ADHESIVES; DUCTILITY; STRENGTH</t>
  </si>
  <si>
    <t>Increasing social awareness concerning the design of excellent performance toughening agents to curb the adverse effects of insufficient toughness on the wide range of applications of epoxy resin (EP). Herein, a small amount of sorbitol was doped into carbocyclic inositol as a core monomer, and bisphenol-A and epichlorohydrin were used to produce epoxide-terminated hyperbranched polyether by one-pot preparation method. After that, the prepared polymer was used as modifier to improve the toughness and strength of petroleum-based EPs. Results demonstrated that after adding the homemade epoxy-terminated hyperbranched polyether (EHBPE) to the EP, the polyether prepared with the ratio of sorbitol and inositol displayed significant advantages compared with the polyether with monomers using only sorbitol and inositol, respectively. In particular, the impact, and tensile strengths of EHBPE-IS/EP cured sample with EHBPE-IS loading at 20% were increased by 197.5%, 139.6%, respectively, compared with those of neat EP. In brief, EHBPE-IS, a member of the family of EHBPEs, provided a facile method for the preparation of bifunctional modifier for tough and strong EP with promising industrial applications.</t>
  </si>
  <si>
    <t>[Lu, Siyuan; Wu, Gang; Niu, Fangfang; Liu, Yangdong; Liu, Xingsheng; Xu, Wan; Chen, Zhenbin] Lanzhou Univ Technol, State Key Lab Gansu Adv Nonferrous Met Mat, Lanzhou, Peoples R China; [Lu, Siyuan; Wu, Gang; Niu, Fangfang; Liu, Yangdong; Liu, Xingsheng; Xu, Wan; Chen, Zhenbin] Lanzhou Univ Technol, Sch Mat Sci &amp; Engn, Lanzhou, Peoples R China; [Chen, Zhenbin] Lanzhou Univ Technol, Sch Mat Sci &amp; Engn, State Key Lab Adv Progressing &amp; Recycling Nonferro, Lanzhou, Peoples R China</t>
  </si>
  <si>
    <t>Lanzhou University of Technology; Lanzhou University of Technology; Lanzhou University of Technology</t>
  </si>
  <si>
    <t>Chen, ZB (corresponding author), Lanzhou Univ Technol, Sch Mat Sci &amp; Engn, State Key Lab Adv Progressing &amp; Recycling Nonferro, Lanzhou, Peoples R China.</t>
  </si>
  <si>
    <t>zhenbinchen@163.com</t>
  </si>
  <si>
    <t>Innovation and Entrepreneurship Talent Project of Lanzhou [2019-RC-53]</t>
  </si>
  <si>
    <t>Innovation and Entrepreneurship Talent Project of Lanzhou</t>
  </si>
  <si>
    <t>The Innovation and EntrepreneurshipTalent Project of Lanzhou, Grant/AwardNumber: 2019-RC-53</t>
  </si>
  <si>
    <t>e54551</t>
  </si>
  <si>
    <t>10.1002/app.54551</t>
  </si>
  <si>
    <t>P1SN5</t>
  </si>
  <si>
    <t>WOS:001048511700001</t>
  </si>
  <si>
    <t>Mendell, JR; Sahenk, Z; Lehman, KJ; Lowes, LP; Reash, NF; Iammarino, MA; Alfano, LN; Lewis, S; Church, K; Shell, R; Potter, RA; Griffin, DA; Hogan, M; Wang, SF; Mason, S; Darton, E; Rodino-Klapac, LR</t>
  </si>
  <si>
    <t>Mendell, Jerry R.; Sahenk, Zarife; Lehman, Kelly J.; Lowes, Linda P.; Reash, Natalie F.; Iammarino, Megan A.; Alfano, Lindsay N.; Lewis, Sarah; Church, Kathleen; Shell, Richard; Potter, Rachael A.; Griffin, Danielle A.; Hogan, Mark; Wang, Shufang; Mason, Stefanie; Darton, Eddie; Rodino-Klapac, Louise R.</t>
  </si>
  <si>
    <t>Long-term safety and functional outcomes of delandistrogene moxeparvovec gene therapy in patients with Duchenne muscular dystrophy: A phase 1/2a nonrandomized trial</t>
  </si>
  <si>
    <t>MUSCLE &amp; NERVE</t>
  </si>
  <si>
    <t>delandistrogene moxeparvovec; Duchenne muscular dystrophy; dystrophin; gene therapy; microdystrophin; rAAVrh74</t>
  </si>
  <si>
    <t>Introduction/AimsDelandistrogene moxeparvovec is indicated in the United States for the treatment of ambulatory pediatric patients aged 4 through 5 years with Duchenne muscular dystrophy (DMD) with a confirmed mutation in the DMD gene. Long-term delandistrogene moxeparvovec microdystrophin protein (a shortened dystrophin that retains key functional domains of the wild-type protein) expression may positively alter disease progression in patients with DMD. We evaluated long-term safety and functional outcomes of delandistrogene moxeparvovec in patients with DMD. MethodsAn open-label, phase 1/2a, nonrandomized controlled trial (Study 101; NCT03375164) enrolled ambulatory males, &amp; GE;4 to &lt;8 years old, with DMD. Patients received a single intravenous infusion (2.0 x 10(14) vg/kg by supercoiled quantitative polymerase chain reaction) of delandistrogene moxeparvovec and prednisone (1 mg/kg/day) 1 day before to 30 days after treatment. The primary endpoint was safety. Functional outcomes were change from baseline in North Star Ambulatory Assessment (NSAA) and timed function tests. ResultsFour patients (mean age, 5.1 years) were enrolled. There were 18 treatment-related adverse events; all occurred within 70 days posttreatment and resolved. Mean NSAA total score increased from 20.5 to 27.5, baseline to year 4, with a mean (standard deviation) change of +7.0 (2.9). Post hoc analysis demonstrated a statistically significant and clinically meaningful 9-point difference in NSAA score, relative to a propensity-score-weighted external control cohort (least-squares mean [standard error] = 9.4 [3.4]; P = .0125). DiscussionGene transfer therapy with delandistrogene moxeparvovec treatment is well tolerated, with a favorable safety profile. Functional improvements are sustained through 4 years, suggesting delandistrogene moxeparvovec may positively alter disease progression.</t>
  </si>
  <si>
    <t>[Mendell, Jerry R.; Sahenk, Zarife; Lehman, Kelly J.; Lowes, Linda P.; Reash, Natalie F.; Iammarino, Megan A.; Alfano, Lindsay N.; Church, Kathleen; Shell, Richard; Hogan, Mark; Mason, Stefanie] Nationwide Childrens Hosp, Ctr Gene Therapy, Columbus, OH USA; [Mendell, Jerry R.; Sahenk, Zarife; Lowes, Linda P.] Ohio State Univ, Dept Pediat, Columbus, OH USA; [Sahenk, Zarife] Ohio State Univ, Dept Pathol &amp; Neurol, Columbus, OH USA; [Lewis, Sarah; Potter, Rachael A.; Griffin, Danielle A.; Wang, Shufang; Mason, Stefanie; Darton, Eddie; Rodino-Klapac, Louise R.] Sarepta Therapeut Inc, Cambridge, MA USA; [Mendell, Jerry R.] Nationwide Childrens Hosp, Ctr Gene Therapy, 700 Childrens Dr, Columbus, OH 43205 USA; [Rodino-Klapac, Louise R.] Sarepta Therapeut Inc, 215 First St, Cambridge, MA 02142 USA</t>
  </si>
  <si>
    <t>University System of Ohio; Ohio State University; Nationwide Childrens Hospital; Research Institute at Nationwide Children's Hospital; University System of Ohio; Ohio State University; University System of Ohio; Ohio State University; Sarepta Therapeutics, Inc.; University System of Ohio; Ohio State University; Nationwide Childrens Hospital; Research Institute at Nationwide Children's Hospital; Sarepta Therapeutics, Inc.</t>
  </si>
  <si>
    <t>Mendell, JR (corresponding author), Nationwide Childrens Hosp, Ctr Gene Therapy, 700 Childrens Dr, Columbus, OH 43205 USA.;Rodino-Klapac, LR (corresponding author), Sarepta Therapeut Inc, 215 First St, Cambridge, MA 02142 USA.</t>
  </si>
  <si>
    <t>jerry.mendell@nationwidechildrens.org; lrodinoklapac@sarepta.com</t>
  </si>
  <si>
    <t>Reash, Natalie/0000-0002-0573-9504</t>
  </si>
  <si>
    <t>0148-639X</t>
  </si>
  <si>
    <t>1097-4598</t>
  </si>
  <si>
    <t>MUSCLE NERVE</t>
  </si>
  <si>
    <t>Muscle Nerve</t>
  </si>
  <si>
    <t>10.1002/mus.27955</t>
  </si>
  <si>
    <t>P0NF4</t>
  </si>
  <si>
    <t>WOS:001047686900001</t>
  </si>
  <si>
    <t>Qi, JK; Hussain, J; Yin, YX; Khan, A</t>
  </si>
  <si>
    <t>Qi, Junkai; Hussain, Jamal; Yin, Yexing; Khan, Anwar</t>
  </si>
  <si>
    <t>Agricultural productivity-environmental sustainability nexus through the lens of digitalization and energy intensity in BRICS countries</t>
  </si>
  <si>
    <t>REVIEW OF DEVELOPMENT ECONOMICS</t>
  </si>
  <si>
    <t>agricultural productivity; BRICS economies; energy intensity; environmental quality; panel data analysis</t>
  </si>
  <si>
    <t>ECONOMIC-GROWTH; KUZNETS CURVE; CO2 EMISSIONS; IMPACT; COINTEGRATION</t>
  </si>
  <si>
    <t>The agricultural sector holds paramount implications in the economies of BRICS (Brazil, Russia, India, China, and South Africa) countries. Nevertheless, the escalating effect of climate change shows a significant and alarming threat to the actual environmental conditions required to sustain agricultural production. This study examines the potential contribution of demographic dividends, digitalization, and energy intensity in facilitating the attainment of environmental sustainability and agricultural productivity by BRICS economies from 1996 to 2020. The study first tested cross-sectional dependence, then unit roots, cointegration, and long-run elasticities using suitable econometric approaches to explore possible links between the study variables. The empirical results from the long-run estimators stated that digitalization improves agricultural production and the environment; contrarily, demographic dividend and energy intensity contribute to environmental degradation. Furthermore, the long-term improvement of agricultural production is supported by demographic dividend, GDP per capita, energy intensity, and digitalization. Also, the study reached a broad inference emphasizing bidirectional causal associations between demographic dividend, energy intensity, GDP per capita, the environment, and agricultural production. In conclusion, the study has identified robust policy options for BRICS economies that can serve as valuable guidance for policymakers in making informed decisions and implementing effective practices.</t>
  </si>
  <si>
    <t>[Qi, Junkai] Southwestern Univ Finance &amp; Econ, West Ctr Econ Res, Chengdu, Peoples R China; [Hussain, Jamal] Karakoram Int Univ, Dept Econ, Gilgit, Pakistan; [Hussain, Jamal] Univ Relig &amp; Denominat, Dept Econ, Qom, Iran; [Yin, Yexing] Sichuan Acad Social Sci, Inst Rural Dev, Chengdu, Peoples R China; [Khan, Anwar] Xiamen Univ, Sch Econ, Xiamen 361005, Fujian, Peoples R China</t>
  </si>
  <si>
    <t>Southwestern University of Finance &amp; Economics - China; Karakoram International University; Xiamen University</t>
  </si>
  <si>
    <t>Hussain, J (corresponding author), Karakoram Int Univ, Dept Econ, Gilgit, Pakistan.;Yin, YX (corresponding author), Sichuan Acad Social Sci, Inst Rural Dev, Chengdu, Peoples R China.;Khan, A (corresponding author), Xiamen Univ, Sch Econ, Xiamen 361005, Fujian, Peoples R China.</t>
  </si>
  <si>
    <t>jamal.hussain@kiu.edu.pk; yinyx@smail.swufe.edu.cn; anwar.khan@xmu.edu.cn</t>
  </si>
  <si>
    <t>Hussain, Jamal/0000-0003-0360-6043; Khan, Anwar/0000-0001-7726-7246</t>
  </si>
  <si>
    <t>1363-6669</t>
  </si>
  <si>
    <t>1467-9361</t>
  </si>
  <si>
    <t>REV DEV ECON</t>
  </si>
  <si>
    <t>Rev. Dev. Econ.</t>
  </si>
  <si>
    <t>10.1111/rode.13045</t>
  </si>
  <si>
    <t>Development Studies; Economics</t>
  </si>
  <si>
    <t>Development Studies; Business &amp; Economics</t>
  </si>
  <si>
    <t>P1SI5</t>
  </si>
  <si>
    <t>WOS:001048506700001</t>
  </si>
  <si>
    <t>Quan, LJ; Ye, L; Li, JT; Yuan, K; Chang, HJ</t>
  </si>
  <si>
    <t>Quan, Lijuan; Ye, Lin; Li, Juntao; Yuan, Kun; Chang, Hongjuan</t>
  </si>
  <si>
    <t>Anxiety, depression, and stress among nurses under the stress of flooding and the COVID-19 pandemic</t>
  </si>
  <si>
    <t>anxiety; COVID-19; depression; flood disaster; nurses; pandemic; stress</t>
  </si>
  <si>
    <t>AimThis study investigated anxiety, depression, and stress and their influencing factors among nurses during the COVID-19 pandemic and after the flood in Henan Province, China. It aimed to provide the theoretical foundation for the management of relevant hospital departments, improvement of nursing quality, implementation of antiepidemic work, and other relevant studies. BackgroundIn December 2019, COVID-19 was reported in Wuhan, China and became a global pandemic. In July 2021, unprecedented flooding occurred in Henan Province, China. Under the dual pressure of COVID-19 and the flood, nurses' mental health problems deteriorated. MethodsIn August 2021, 1229 nurses from various departments of the First Affiliated Hospital of Xinxiang Medical University in Xinxiang City, Henan Province,China were invited to participate in a questionnaire survey using a general condition questionnaire and the Chinese version of the Depression-Anxiety-Stress Scale. Descriptive statistics were used to analyze the status of nurses' anxiety, depression, and stress. Analysis of variance, t-test, and multiple linear regression models were used to analyze the factors influencing anxiety, depression, and stress among nurses. ResultsOf the participants, 36.1%, 10.1%, and 15.5% had moderate to high levels of anxiety, stress, and depression, respectively. Moreover, 42 (3.4%) participants experienced high to severe levels of stress, anxiety, and depression. The scores showed significant differences based on gender, harmonious family relationships, department position, work intensity, sleep quality, physical exercise, participation in leisure activities, health status, involvement in emotion management-related training, and attending self-care-related training (all P &lt; 0.05). Gender, work intensity, harmonious family relationships, health condition, sleep quality, and participation in leisure activities influenced stress, anxiety, and depression scores. Department position influenced anxiety and stress scores, and average monthly earnings influenced anxiety scores. ConclusionAll the nurses experienced various levels of stress, anxiety, and depression. Related departments should pay special attention to male nurses and nurses with high work intensity, unharmonious family relationships, poor health, and sleep quality, and who engage in fewer leisure activities. Implications for nursing and health policyIt is recommended that departments allocate human resources and arrange schedules reasonably, encourage nurses to participate in more recreational activities, and implement emotion management and self-care-related training to relieve emotional distress, and ultimately maintain nurses' mental health.</t>
  </si>
  <si>
    <t>[Quan, Lijuan; Chang, Hongjuan] Wuhan Univ Sci &amp; Technol, Sch Med, Wuhan, Hubei, Peoples R China; [Quan, Lijuan; Ye, Lin; Li, Juntao; Yuan, Kun; Chang, Hongjuan] Xinxiang Med Univ, Sch Nursing, Xinxiang 453000, Henan, Peoples R China; [Chang, Hongjuan] Wuhan Univ Sci &amp; Technol, Sch Med, Wuhan 430000, Hubei, Peoples R China</t>
  </si>
  <si>
    <t>Wuhan University of Science &amp; Technology; Xinxiang Medical University; Wuhan University of Science &amp; Technology</t>
  </si>
  <si>
    <t>Chang, HJ (corresponding author), Wuhan Univ Sci &amp; Technol, Sch Med, Wuhan 430000, Hubei, Peoples R China.</t>
  </si>
  <si>
    <t>changhj0812@126.com</t>
  </si>
  <si>
    <t>Yuan, YuanKun/0000-0002-0225-9214</t>
  </si>
  <si>
    <t>10.1111/inr.12874</t>
  </si>
  <si>
    <t>P2CM2</t>
  </si>
  <si>
    <t>WOS:001048771200001</t>
  </si>
  <si>
    <t>Sun, YR; Wei, ZY; Wang, K; Xu, TY; Duan, R; Zhang, JJ</t>
  </si>
  <si>
    <t>Sun, Yaru; Wei, Zeyu; Wang, Ke; Xu, Tianyue; Duan, Rui; Zhang, Junjie</t>
  </si>
  <si>
    <t>Preparation and comparison of two medical dressings made from the collagens from fish and bovine</t>
  </si>
  <si>
    <t>JOURNAL OF BIOMEDICAL MATERIALS RESEARCH PART B-APPLIED BIOMATERIALS</t>
  </si>
  <si>
    <t>collagen; gel preparation; medical dressing; scald repair</t>
  </si>
  <si>
    <t>HYALURONIC-ACID; RHEOLOGICAL CHARACTERIZATION; SKIN; HYDROGELS; BIOMATERIALS; TEMPERATURE; COMPOSITE; VIVO; GELS</t>
  </si>
  <si>
    <t>Collagen is used in medical dressings because of its high hydrophilicity, low immunogenicity, excellent biocompatibility, and degradability. These features can promote cell proliferation and platelet agglomeration. Herein, we studied the preparation of gel dressing by using silver carp skin collagen and bovine collagen as raw materials. Their properties and the application effects of collagen gel dressing were evaluated and compared. The centrifugal stability, rheology, and water-loss rate of silver carp skin collagen gel (SCG) and bovine tendon collagen gel (CTG) were determined. Results showed that the two gels were stable, and SCG had better rheology and ductility than CTG. However, the denaturation temperature and water-retention rate of SCG were slightly lower than those of CTG. Two collagen gels were used in the burn-repair experiment of KM mice. Results showed that the SCG and CTG were consistent with the wound-repair effect of commercially available products for shallow II-degree scald and deep II-degree scald. In the superficial shallow II scald experiment, SCG had a faster healing rate in the first 8 days and a shorter recovery time than CTG. In the deep II-degree scald experiment, the wound-healing rate of SCG on the 14th day reached 94.24%, which was 2 days faster than the recovery time of CTG. Moreover, the skin after wound healing was shallower than the scar produced after CTG treatment. Therefore, SCG had the potential to be used as the medical dressing.</t>
  </si>
  <si>
    <t>[Sun, Yaru; Wei, Zeyu; Wang, Ke; Xu, Tianyue; Duan, Rui] Jiangsu Ocean Univ, Lianyungang, Peoples R China; [Wei, Zeyu; Duan, Rui; Zhang, Junjie] Jiangsu Ocean Univ, Jiangsu Key Lab Marine Bioresources &amp; Environm, Lianyungang, Peoples R China; [Wang, Ke; Xu, Tianyue; Duan, Rui; Zhang, Junjie] Jiangsu Ocean Univ, Coinnovat Ctr Jiangsu Marine Bioind Technol, Lianyungang, Peoples R China; [Zhang, Junjie] Jiangsu Ocean Univ, Jiangsu Inst Marine Resources Dev, Lianyungang, Peoples R China; [Zhang, Junjie] Jiangsu Ocean Univ, 59 Cangwu Rd, Lianyungang 222005, Peoples R China</t>
  </si>
  <si>
    <t>Jiangsu Ocean University; Jiangsu Ocean University; Jiangsu Ocean University; Jiangsu Ocean University; Jiangsu Ocean University</t>
  </si>
  <si>
    <t>Zhang, JJ (corresponding author), Jiangsu Ocean Univ, 59 Cangwu Rd, Lianyungang 222005, Peoples R China.</t>
  </si>
  <si>
    <t>zjj203204@163.com</t>
  </si>
  <si>
    <t>Wei, Zeyu/0000-0002-8004-1173</t>
  </si>
  <si>
    <t>Postgraduate Research amp; Practice Innovation Program of Jiangsu Province [KYCX2023-123]; Innovation and Entrepreneurship Training Program for College Students in Jiangsu Province [SY202111641638005]; Priority Academic Program Development of Jiangsu Higher Education Institutions (PAPD)</t>
  </si>
  <si>
    <t>Postgraduate Research amp; Practice Innovation Program of Jiangsu Province; Innovation and Entrepreneurship Training Program for College Students in Jiangsu Province; Priority Academic Program Development of Jiangsu Higher Education Institutions (PAPD)</t>
  </si>
  <si>
    <t>Postgraduate Research &amp; amp; Practice Innovation Program of Jiangsu Province, Grant/Award Number: KYCX2023-123; Innovation and Entrepreneurship Training Program for College Students in Jiangsu Province, Grant/Award Number: SY202111641638005; Priority Academic Program Development of Jiangsu Higher Education Institutions (PAPD)</t>
  </si>
  <si>
    <t>1552-4973</t>
  </si>
  <si>
    <t>1552-4981</t>
  </si>
  <si>
    <t>J BIOMED MATER RES B</t>
  </si>
  <si>
    <t>J. Biomed. Mater. Res. Part B</t>
  </si>
  <si>
    <t>10.1002/jbm.b.35307</t>
  </si>
  <si>
    <t>Engineering, Biomedical; Materials Science, Biomaterials</t>
  </si>
  <si>
    <t>P1TJ6</t>
  </si>
  <si>
    <t>WOS:001048534000001</t>
  </si>
  <si>
    <t>Trace, CB; Zhang, Y; Yi, SQ; Williams-Brown, MY</t>
  </si>
  <si>
    <t>Trace, Ciaran B.; Zhang, Yan; Yi, Siqi; Williams-Brown, Marian Yvette</t>
  </si>
  <si>
    <t>Information practices around genetic testing for ovarian cancer patients</t>
  </si>
  <si>
    <t>JOURNAL OF THE ASSOCIATION FOR INFORMATION SCIENCE AND TECHNOLOGY</t>
  </si>
  <si>
    <t>SEEKING BEHAVIOR; HEALTH; AVOIDANCE; NEEDS; STYLES; MODEL; WORK</t>
  </si>
  <si>
    <t>Knowledge of ovarian cancer patients' information practices around cancer genetic testing (GT) is needed to inform interventions that promote patient access to GT-related information. We interviewed 21 ovarian cancer patients and survivors who had GT as part of the treatment process and analyzed the transcripts using the qualitative content analysis method. We found that patients' information practices, manifested in their information-seeking mode, information sources utilized, information assessment, and information use, showed three distinct styles: passive, semi-active, and active. Patients with the passive style primarily received information from clinical sources, encountered information, or delegated information-seeking to family members; they were not inclined to assess information themselves and seldom used it to learn or influence others. Women with semi-active and active styles adopted more active information-seeking modes to approach information, utilized information sources beyond clinical settings, attempted to assess the information found, and actively used it to learn, educate others, or advocate GT to family and friends. Guided by the social ecological model, we found multiple levels of influences, including personal, interpersonal, organizational, community, and societal, acting as motivators or barriers to patients' information practice. Based on these findings, we discussed strategies to promote patient access to GT-related information.</t>
  </si>
  <si>
    <t>[Trace, Ciaran B.; Zhang, Yan; Yi, Siqi] Univ Texas Austin, Sch Informat, Austin, TX USA; [Trace, Ciaran B.; Zhang, Yan] Univ Texas Austin, Moody Coll Commun, Ctr Hlth Commun, Austin, TX USA; [Trace, Ciaran B.; Zhang, Yan] Univ Texas Austin, Dell Med Sch, Austin, TX USA; [Williams-Brown, Marian Yvette] Univ Texas Austin, Dell Med Sch, Dept Womens Hlth, Austin, TX USA; [Williams-Brown, Marian Yvette] Univ Texas Austin, Dell Med Sch, Dept Oncol, Austin, TX USA; [Zhang, Yan] Univ Texas Austin, Sch Informat, 1616 Guadalupe St, Austin, TX 78701 USA</t>
  </si>
  <si>
    <t>University of Texas System; University of Texas Austin; University of Texas System; University of Texas Austin; University of Texas System; University of Texas Austin; University of Texas System; University of Texas Austin; University of Texas System; University of Texas Austin; University of Texas System; University of Texas Austin</t>
  </si>
  <si>
    <t>Zhang, Y (corresponding author), Univ Texas Austin, Sch Informat, 1616 Guadalupe St, Austin, TX 78701 USA.</t>
  </si>
  <si>
    <t>yanz@utexas.edu</t>
  </si>
  <si>
    <t>Trace, Ciaran/0000-0002-7118-6610; Zhang, Yan/0000-0002-1130-0012</t>
  </si>
  <si>
    <t>Humanities Institute; Center for Health Communication; Dell Medical School at the University of Texasat Austin</t>
  </si>
  <si>
    <t>The Humanities Institute, the Center for Health Communication, and the Dell Medical School at the University of Texasat Austin</t>
  </si>
  <si>
    <t>2330-1635</t>
  </si>
  <si>
    <t>2330-1643</t>
  </si>
  <si>
    <t>J ASSOC INF SCI TECH</t>
  </si>
  <si>
    <t>10.1002/asi.24823</t>
  </si>
  <si>
    <t>Computer Science, Information Systems; Information Science &amp; Library Science</t>
  </si>
  <si>
    <t>Computer Science; Information Science &amp; Library Science</t>
  </si>
  <si>
    <t>Q0AS5</t>
  </si>
  <si>
    <t>WOS:001054226200001</t>
  </si>
  <si>
    <t>Alam, MA; Jahan, A; Suzuki, E; Yashiro, H</t>
  </si>
  <si>
    <t>Alam, Md. Ashraful; Jahan, Aklima; Suzuki, Eiichi; Yashiro, Hitoshi</t>
  </si>
  <si>
    <t>Surface morphology and corrosion behavior of pure aluminum and its alloys in aqueous sulfuric acid medium</t>
  </si>
  <si>
    <t>ENGINEERING REPORTS</t>
  </si>
  <si>
    <t>aluminum alloy; atomic force microscopy; corrosion; immersion effect; surface morphology</t>
  </si>
  <si>
    <t>ELECTROCHEMICAL-BEHAVIOR; AL; 8-HYDROXYQUINOLINE; MICROSTRUCTURE; INHIBITION; COATINGS; STEEL</t>
  </si>
  <si>
    <t>Aluminum and aluminum alloys are light materials with some of the preferences such as lightweight, high specific strength, good elasticity, and good workability that play an important role in today's modern and industrial world. The economic loss and environmental and safety problems are also the most concerning aspects of these materials. As a result, numerous studies are performed by the researchers to improve the overall environment throughout the materials world. That is why, in this study, the surface morphology and corrosion behavior of pure aluminum and its alloys, such as 7S10 and 7003H, were investigated in aqueous sulfuric acid medium through immersion process at different temperatures. Open-circuit potential and potentiodynamic polarization techniques were used to evaluate the resistance to corrosion of pure aluminum and its alloys 7S10 and 7003H. The current density increased with increasing temperature in the case of the alloys, and pure aluminum showed the highest corrosion resistance properties. The surface roughness measurement was performed using atomic force microscope to find out the amount of roughness of the used materials before and after the immersion process. Surface roughness was higher on the alloys than in pure Al, which indicates that less corrosion was formed in pure Al than in the alloys. The surface morphology analysis was also carried out using scanning electron microscopic data. The results revealed that the alloy 7003H undergoes more corrosion than pure aluminum and 7S10 in sulfuric acid medium, which clearly indicates that pure aluminum has higher corrosion resistance than the alloys 7S10 and 7003H. The corrosion rate of the test materials decreased with increasing immersion time.</t>
  </si>
  <si>
    <t>[Alam, Md. Ashraful; Suzuki, Eiichi; Yashiro, Hitoshi] Iwate Univ, Fac Sci &amp; Engn, Dept Chem &amp; Biol Sci, Morioka, Iwate, Japan; [Alam, Md. Ashraful] Int Univ Business Agr &amp; Technol IUBAT, Dept Chem, Dhaka, Bangladesh; [Jahan, Aklima; Yashiro, Hitoshi] Iwate Univ, Grad Sch Sci &amp; Engn, Div Fundamental &amp; Appl Sci, Morioka, Iwate, Japan; [Alam, Md. Ashraful] Iwate Univ, Fac Sci &amp; Engn, Dept Chem &amp; Biol Sci, 4-3-5 Ueda, Morioka, Iwate 0208551, Japan</t>
  </si>
  <si>
    <t>Iwate University; International University of Business Agriculture &amp; Technology (IUBAT); Iwate University; Iwate University</t>
  </si>
  <si>
    <t>Alam, MA (corresponding author), Iwate Univ, Fac Sci &amp; Engn, Dept Chem &amp; Biol Sci, 4-3-5 Ueda, Morioka, Iwate 0208551, Japan.</t>
  </si>
  <si>
    <t>sdashraf84@yahoo.com</t>
  </si>
  <si>
    <t>Alam, Md Ashraful/GRX-5282-2022</t>
  </si>
  <si>
    <t>Alam, Md Ashraful/0000-0001-7194-1893</t>
  </si>
  <si>
    <t>Faculty of Science and Engineering, Iwate University, Japan</t>
  </si>
  <si>
    <t>2577-8196</t>
  </si>
  <si>
    <t>ENG REP</t>
  </si>
  <si>
    <t>Eng. Rep.</t>
  </si>
  <si>
    <t>2023 AUG 13</t>
  </si>
  <si>
    <t>10.1002/eng2.12750</t>
  </si>
  <si>
    <t>Computer Science, Interdisciplinary Applications; Engineering, Multidisciplinary; Materials Science, Multidisciplinary</t>
  </si>
  <si>
    <t>Computer Science; Engineering; Materials Science</t>
  </si>
  <si>
    <t>P1TX9</t>
  </si>
  <si>
    <t>WOS:001048548400001</t>
  </si>
  <si>
    <t>Hayashida, S; Ikenaga, N; Nakata, K; Nakamura, S; Abe, T; Ideno, N; Endo, M; Noguchi, S; Oda, Y; Nakamura, M</t>
  </si>
  <si>
    <t>Hayashida, Sayuri; Ikenaga, Naoki; Nakata, Kohei; Nakamura, So; Abe, Toshiya; Ideno, Noboru; Endo, Makoto; Noguchi, Shoko; Oda, Yoshinao; Nakamura, Masafumi</t>
  </si>
  <si>
    <t>Repeated robotic pancreatectomy for recurrent pancreatic metastasis of mesenchymal chondrosarcoma: A case report</t>
  </si>
  <si>
    <t>ASIAN JOURNAL OF ENDOSCOPIC SURGERY</t>
  </si>
  <si>
    <t>mesenchymal chondrosarcoma; robotic distal pancreatectomy; robotic pancreaticoduodenectomy</t>
  </si>
  <si>
    <t>SOFT-TISSUE</t>
  </si>
  <si>
    <t>Mesenchymal chondrosarcoma is a rare subset of sarcomas accounting for 3%-10% of all cases of chondrosarcomas. Radical resection is the only curative strategy, even in patients with metastatic tumors. However, data regarding treatment strategies remain limited owing to the small number of cases. Herein, we report a patient who underwent repeated robotic pancreatectomy for recurrent pancreatic metastasis originating from extraskeletal mesenchymal chondrosarcoma of the pelvis. First, robotic pancreaticoduodenectomy with a reconstruction of pancreaticogastrostomy was performed for synchronous pancreatic metastasis 5 months after the primary resection of mesenchymal chondrosarcoma. Ten months after robotic pancreaticoduodenectomy, tumor recurrence was observed at the tail end of the pancreas, which was removed by reperforming robotic distal pancreatectomy. Given the precise tissue manipulation that can be achieved with robotic articulated forceps, the peripheral splenic artery and pancreas were easily isolated and divided in close proximity to the tumor. The central part of the pancreas was preserved. Robotic surgery allowed safe and effective resection of the reconstructed remnant pancreas. The patient survived for 28 months after primary tumor resection. Repeated pancreatectomy with minimally invasive techniques is a feasible and curative treatment for metastatic mesenchymal chondrosarcoma.</t>
  </si>
  <si>
    <t>[Hayashida, Sayuri; Ikenaga, Naoki; Nakata, Kohei; Nakamura, So; Abe, Toshiya; Ideno, Noboru; Nakamura, Masafumi] Kyushu Univ, Grad Sch Med Sci, Dept Surg, Fukuoka, Japan; [Hayashida, Sayuri; Ikenaga, Naoki; Nakata, Kohei; Nakamura, So; Abe, Toshiya; Ideno, Noboru; Nakamura, Masafumi] Kyushu Univ, Grad Sch Med Sci, Dept Oncol, Fukuoka, Japan; [Endo, Makoto] Kyushu Univ, Grad Sch Med Sci, Dept Orthoped, Fukuoka, Japan; [Noguchi, Shoko; Oda, Yoshinao] Kyushu Univ, Grad Sch Med Sci, Dept Diagnost Pathol, Fukuoka, Japan; [Nakamura, Masafumi] Kyushu Univ, Grad Sch Med Sci, Dept Surg &amp; Oncol, Fukuoka 8128582, Japan</t>
  </si>
  <si>
    <t>Kyushu University; Kyushu University; Kyushu University; Kyushu University; Kyushu University</t>
  </si>
  <si>
    <t>Nakamura, M (corresponding author), Kyushu Univ, Grad Sch Med Sci, Dept Surg &amp; Oncol, Fukuoka 8128582, Japan.</t>
  </si>
  <si>
    <t>nakamura.masafumi.861@m.kyushu-u.ac.jp</t>
  </si>
  <si>
    <t>Endo, Makoto/K-2896-2012</t>
  </si>
  <si>
    <t>Endo, Makoto/0000-0002-7956-2190; Abe, Toshiya/0000-0003-2148-4852</t>
  </si>
  <si>
    <t>1758-5902</t>
  </si>
  <si>
    <t>1758-5910</t>
  </si>
  <si>
    <t>ASIAN J ENDOSC SURG</t>
  </si>
  <si>
    <t>Asian J. Endosc. Surg.</t>
  </si>
  <si>
    <t>10.1111/ases.13240</t>
  </si>
  <si>
    <t>O9LI2</t>
  </si>
  <si>
    <t>WOS:001046957100001</t>
  </si>
  <si>
    <t>Jiang, JW; Kelly, B; Xiu, DC</t>
  </si>
  <si>
    <t>Jiang, Jingwen; Kelly, Bryan; Xiu, Dacheng</t>
  </si>
  <si>
    <t>(Re-)Imag(in)ing Price Trends</t>
  </si>
  <si>
    <t>JOURNAL OF FINANCE</t>
  </si>
  <si>
    <t>TECHNICAL ANALYSIS; INFORMATION; RETURNS</t>
  </si>
  <si>
    <t>We reconsider trend-based predictability by employing flexible learning methods to identify price patterns that are highly predictive of returns, as opposed to testing predefined patterns like momentum or reversal. Our predictor data are stock-level price charts, allowing us to extract the most predictive price patterns using machine learning image analysis techniques. These patterns differ significantly from commonly analyzed trend signals, yield more accurate return predictions, enable more profitable investment strategies, and demonstrate robustness across specifications. Remarkably, they exhibit context independence, as short-term patterns perform well on longer time scales, and patterns learned from U.S. stocks prove effective in international markets.</t>
  </si>
  <si>
    <t>[Jiang, Jingwen; Xiu, Dacheng] Univ Chicago, Chicago, IL USA; [Kelly, Bryan] Yale Univ, AQR Capital Management &amp; NBER, New Haven, CT USA; [Kelly, Bryan] Yale Univ, Sch Management, 165 Whitney Ave, New Haven, CT 06511 USA</t>
  </si>
  <si>
    <t>University of Chicago; Yale University; Yale University</t>
  </si>
  <si>
    <t>Kelly, B (corresponding author), Yale Univ, Sch Management, 165 Whitney Ave, New Haven, CT 06511 USA.</t>
  </si>
  <si>
    <t>bryan.kelly@yale.edu</t>
  </si>
  <si>
    <t>0022-1082</t>
  </si>
  <si>
    <t>1540-6261</t>
  </si>
  <si>
    <t>J FINANC</t>
  </si>
  <si>
    <t>J. Financ.</t>
  </si>
  <si>
    <t>10.1111/jofi.13268</t>
  </si>
  <si>
    <t>P0AH3</t>
  </si>
  <si>
    <t>WOS:001047347400001</t>
  </si>
  <si>
    <t>Letnic, M; Roberts, B; Hodgson, M; Ross, AK; Cuartas, S; Lapwong, Y; Price, O; Sentinella, N; Webb, JK</t>
  </si>
  <si>
    <t>Letnic, Mike; Roberts, Bridget; Hodgson, Mitchell; Ross, Alexandra K.; Cuartas, Santiago; Lapwong, Yingyod; Price, Owen; Sentinella, Nicola; Webb, Jonathan K.</t>
  </si>
  <si>
    <t>Fire severity influences the post-fire habitat structure and abundance of a cool climate lizard</t>
  </si>
  <si>
    <t>AUSTRAL ECOLOGY</t>
  </si>
  <si>
    <t>Black-summer bushfires; fire; fire severity; lizard; mega-fire; reptile</t>
  </si>
  <si>
    <t>EULAMPRUS-TYMPANUM; THERMAL BIOLOGY; WILDFIRE; REPRODUCTION; LANDSCAPES; FOREST; IMPACT</t>
  </si>
  <si>
    <t>In the spring and summer of 2019-2020, the 'Black Summer' bushfires burned more than 97 000 km(2) of predominantly Eucalyptus dominated forest habitat in eastern Australia. The Black Summer bushfires prompted great concern that many species had been imperilled by the fires. Here, we investigate the effects that fire severity had on the habitat and abundance of a cool climate lizard Eulamprus tympanum that was identified as a species of concern because 37% of its habitat was burnt in the Black Summer bushfires. We quantified habitat structure and the abundance of E. tympanum at sites which were unburnt, burnt at low severity and at high severity 10, 15 and 23 months after the fires. Our classification of fire severity based on scorch height and canopy status corresponded well with the Australian Government Google Earth Engine Burnt Area Map (AUS GEEBAM) fire severity layer. Ten months after the fires, sites burnt at high severity had less canopy cover, more bare ground and less fine fuel than sites burnt at low severity or unburnt sites. The abundance of E. tympanum varied with survey occasion and was greatest during the warmest sampling period and lowest during the coolest sampling period. The abundance of E. tympanum was consistently lower on sites burnt at high severity than sites burnt at low severity or unburnt sites. Our findings show that higher severity fires had a greater effect on E. tympanum than low severity fires. Our results suggest that E. tympanum were likely to have persisted in burnt sites, with populations in low severity and unburnt sites facilitating population recovery in areas burnt at high severity. Our results also suggest that wildfire impacts on E. tympanum populations will increase because the frequency and extent of severe fires are expected to increase due to climate change.</t>
  </si>
  <si>
    <t>[Letnic, Mike; Hodgson, Mitchell; Ross, Alexandra K.; Sentinella, Nicola] Univ New South Wales, Evolut &amp; Ecol Res Ctr, Sydney, NSW, Australia; [Letnic, Mike; Hodgson, Mitchell; Ross, Alexandra K.; Sentinella, Nicola] Univ New South Wales, Ctr Ecosyst Sci, Sydney, NSW, Australia; [Roberts, Bridget; Price, Owen] Univ Wollongong, Bushfire Risk Management Res Hub, Wollongong, NSW, Australia; [Hodgson, Mitchell] Univ Sydney, Sch Life &amp; Environm Sci, Sydney, NSW, Australia; [Ross, Alexandra K.] Australian Wildlife Conservancy, Yookamurra Sanctuary, Fisher, SA, Australia; [Cuartas, Santiago; Lapwong, Yingyod; Webb, Jonathan K.] Univ Technol Sydney, Sch Life Sci, Broadway, NSW, Australia; [Lapwong, Yingyod] Prince Songkla Univ, Fac Sci, Div Biol Sci, Hat Yai, Thailand; [Letnic, Mike] Univ New South Wales, Evolut &amp; Ecol Res Ctr, Sydney, NSW 2052, Australia</t>
  </si>
  <si>
    <t>University of New South Wales Sydney; University of New South Wales Sydney; University of Wollongong; University of Sydney; University of Technology Sydney; Prince of Songkla University; University of New South Wales Sydney</t>
  </si>
  <si>
    <t>Letnic, M (corresponding author), Univ New South Wales, Evolut &amp; Ecol Res Ctr, Sydney, NSW 2052, Australia.</t>
  </si>
  <si>
    <t>m.letnic@unsw.edu.au</t>
  </si>
  <si>
    <t>Ross, Alexandra/AAS-6659-2020; Lapwong, Yingyod/AAO-2071-2021; Price, Owen/H-4033-2012</t>
  </si>
  <si>
    <t>Ross, Alexandra/0000-0003-0510-6667; Lapwong, Yingyod/0000-0003-0699-4627; Webb, Jonathan/0000-0003-4822-6829; Price, Owen/0000-0001-5327-568X; Hodgson, Mitchell/0000-0002-8203-0224</t>
  </si>
  <si>
    <t>Australian Government Department of Agriculture, Water; Environment Wildlife and Habitat Bushfire Recovery Program [GA2000634]</t>
  </si>
  <si>
    <t>Australian Government Department of Agriculture, Water; Environment Wildlife and Habitat Bushfire Recovery Program</t>
  </si>
  <si>
    <t>Australian Government Department of Agriculture, Water and the Environment Wildlife and Habitat Bushfire Recovery Program, Grant/Award Number: GA2000634</t>
  </si>
  <si>
    <t>1442-9985</t>
  </si>
  <si>
    <t>1442-9993</t>
  </si>
  <si>
    <t>AUSTRAL ECOL</t>
  </si>
  <si>
    <t>Austral Ecol.</t>
  </si>
  <si>
    <t>10.1111/aec.13410</t>
  </si>
  <si>
    <t>P1UG4</t>
  </si>
  <si>
    <t>WOS:001048557000001</t>
  </si>
  <si>
    <t>Maaravi, Y; Levy, A; Heller, B</t>
  </si>
  <si>
    <t>Maaravi, Yossi; Levy, Aharon; Heller, Ben</t>
  </si>
  <si>
    <t>To Bid or Not to Bid? That is the Question! First- Versus Second-Mover Advantage in Negotiations</t>
  </si>
  <si>
    <t>NEGOTIATION JOURNAL</t>
  </si>
  <si>
    <t>negotiation; information; first offer; power; second offer; strategy</t>
  </si>
  <si>
    <t>MOVING 1ST; POWER; OFFERS; ANCHORS; CULTURE; DISADVANTAGE; ALTERNATIVES; UNCERTAINTY; PERSPECTIVE; ROBUSTNESS</t>
  </si>
  <si>
    <t>For the past two decades, negotiation research has established a first-mover advantage based on the anchoring and adjustment heuristic. Negotiation scholars have argued that first offers serve as anchors that affect both counteroffers and settlement prices. Consequently, management education-including negotiation articles, books, courses, and seminars-often recommends that negotiators move first to anchor their counterparts. Nonetheless, a growing body of recent research contradicts this general advice and points to a second-mover advantage in specific cases. Interestingly, this contradiction was termed the practitioner-researcher paradox, as practitioners and negotiation experts appeared to understand the benefits of moving second in negotiations, which scholars-up until recently-generally have overlooked. The current article offers a solution to this paradox by proposing three key factors that might explain the conditions and circumstances of first- versus second-mover advantage in negotiations. These three factors are central in negotiation research and practice: information, power, and strategy. Given the centrality of first offers in negotiations, the solution to this paradox is crucial for negotiation scholars, businesspeople, managers, and anyone else who finds themselves in a negotiation.</t>
  </si>
  <si>
    <t>[Maaravi, Yossi] Reichman Univ IDC, Adelson Sch Entrepreneurship, Herzliyya, Israel; [Levy, Aharon] McKinsey &amp; Co Inc, Chicago, IL USA; [Heller, Ben] Reichman Univ, Baruch Ivcher Sch Psychol, DICE Judgment &amp; Decis Making Lab, Herzliyya, Israel</t>
  </si>
  <si>
    <t>Reichman University; McKinsey &amp; Company; Reichman University</t>
  </si>
  <si>
    <t>Maaravi, Y (corresponding author), Reichman Univ IDC, Adelson Sch Entrepreneurship, Herzliyya, Israel.</t>
  </si>
  <si>
    <t>myossi@runi.ac.il; admlevy@gmail.com; benhell91@gmail.com</t>
  </si>
  <si>
    <t>Israel Science Foundation [1916/19]</t>
  </si>
  <si>
    <t>Israel Science Foundation(Israel Science Foundation)</t>
  </si>
  <si>
    <t>This study was supported by the Israel Science Foundation grant 1916/19.</t>
  </si>
  <si>
    <t>0748-4526</t>
  </si>
  <si>
    <t>1571-9979</t>
  </si>
  <si>
    <t>NEGOTIATION J</t>
  </si>
  <si>
    <t>Negot. J.</t>
  </si>
  <si>
    <t>10.1111/nejo.12438</t>
  </si>
  <si>
    <t>Management; Social Sciences, Interdisciplinary</t>
  </si>
  <si>
    <t>P0ZD9</t>
  </si>
  <si>
    <t>WOS:001047998800001</t>
  </si>
  <si>
    <t>Mazzuco, R</t>
  </si>
  <si>
    <t>Mazzuco, Rosemarie</t>
  </si>
  <si>
    <t>Answer to the letter Post hoc analysis of clinical and histological comparative outcomes after injections of poly-l-lactic acid and calcium hydroxyapatite in arms: A split side study</t>
  </si>
  <si>
    <t>rosemazzuco@hotmail.com</t>
  </si>
  <si>
    <t>10.1111/jocd.15931</t>
  </si>
  <si>
    <t>P1TF9</t>
  </si>
  <si>
    <t>WOS:001048530300001</t>
  </si>
  <si>
    <t>Qu, YS; Chen, SY; He, JX; Liu, ZZ; Ma, LJ; Wang, S; Zhu, MQ; Li, B; Tan, X; Li, HL; Cai, HB; Wang, C; Liu, Q</t>
  </si>
  <si>
    <t>Qu, Yusong; Chen, Shengyao; He, Juxing; Liu, Zhenzhou; Ma, Lijun; Wang, Shu; Zhu, Mingquan; Li, Bo; Tan, Xiang; Li, Honglang; Cai, Hongbing; Wang, Cong; Liu, Qian</t>
  </si>
  <si>
    <t>Electron-Beam-Assisted Laser-Induced Strain Microfabrication</t>
  </si>
  <si>
    <t>electron beam irradiation; intrinsic wavelength; isolated strain microstructures; laser-induced microstructures</t>
  </si>
  <si>
    <t>WRINKLES</t>
  </si>
  <si>
    <t>Converting the unordered wrinkles generated on a bilayer film into controllable strain microstructures is a focal point of research. However, many existing methods are hindered by their inability to achieve microscale stress fields that align with the designed structure, consequently limiting the manufacturing of desirable microstructures. In recent years, laser-induced strain micro/nanostructure fabrication has emerged as a promising technique due to its advantages, including simple processing, cost-effectiveness, high efficiency, and large-area fabrication. Nevertheless, this technique is limited to fabricating specific periodic structures, thereby constraining its manufacturing capacities. Here, a novel laser-induced strain strategy assisted by electron beam irradiation is proposed, which successfully eliminates secondary structures and unordered wrinkles, realizing the fabrication of arbitrary micro/nanostructures with consistency between design and fabrication. Furthermore, the generation mechanisms of these strain structures are elucidated by a combination of simulations and experiments. The method transcends the limitations stemming from intrinsic wavelength of wrinkles, enabling the fabrication of isolated strain structures. The diverse structures achieved through the approach demonstrate the designability, controllability, and universality of the novel laser-induced strain strategy, establishing it as a reliable method for surface micro/nanostructure fabrication.</t>
  </si>
  <si>
    <t>[Qu, Yusong; Chen, Shengyao; He, Juxing; Liu, Zhenzhou; Ma, Lijun; Wang, Shu; Zhu, Mingquan; Li, Bo; Tan, Xiang; Li, Honglang; Liu, Qian] Natl Ctr Nanosci &amp; Technol, CAS Ctr Excellence Nanosci, Beijing 100190, Peoples R China; [Qu, Yusong; Chen, Shengyao; He, Juxing; Liu, Zhenzhou; Ma, Lijun; Wang, Shu; Zhu, Mingquan; Li, Bo; Tan, Xiang; Li, Honglang; Liu, Qian] Univ Chinese Acad Sci, Beijing 100190, Peoples R China; [Chen, Shengyao; Liu, Qian] Nankai Univ, TEDA Appl Phys Inst, Sch Phys, MOE Key Lab Weak Light Nonlinear Photon, Tianjin 300457, Peoples R China; [He, Juxing] Chinese Acad Sci, Shanghai Inst Microsyst &amp; Informat Technol, Natl Key Lab Mat Integrated Circuits, Shanghai 200050, Peoples R China; [Cai, Hongbing] Nanyang Technol Univ, Sch Phys &amp; Math Sci, Div Phys &amp; Appl Phys, Singapore 637371, Singapore; [Wang, Cong] Beijing Univ Chem Technol, Coll Math &amp; Phys, Beijing 100029, Peoples R China</t>
  </si>
  <si>
    <t>Chinese Academy of Sciences; National Center for Nanoscience &amp; Technology - China; Chinese Academy of Sciences; University of Chinese Academy of Sciences, CAS; Nankai University; Chinese Academy of Sciences; Shanghai Institute of Microsystem &amp; Information Technology, CAS; Nanyang Technological University &amp; National Institute of Education (NIE) Singapore; Nanyang Technological University; Beijing University of Chemical Technology</t>
  </si>
  <si>
    <t>Liu, Q (corresponding author), Natl Ctr Nanosci &amp; Technol, CAS Ctr Excellence Nanosci, Beijing 100190, Peoples R China.;Liu, Q (corresponding author), Univ Chinese Acad Sci, Beijing 100190, Peoples R China.;Liu, Q (corresponding author), Nankai Univ, TEDA Appl Phys Inst, Sch Phys, MOE Key Lab Weak Light Nonlinear Photon, Tianjin 300457, Peoples R China.;Wang, C (corresponding author), Beijing Univ Chem Technol, Coll Math &amp; Phys, Beijing 100029, Peoples R China.</t>
  </si>
  <si>
    <t>wangcongphysics@mail.buct.edu.cn; liuq@nanoctr.cn</t>
  </si>
  <si>
    <t>Wang, Cong/0000-0002-3073-8853</t>
  </si>
  <si>
    <t>National Natural Science Foundation of China [51971070, 10974037, 62205011]; National Key Research and Development Program of China [2016YFA0200403]; CAS Strategy Pilot Program [buctrc202122]; Fundamental Research Funds for the Central Universities [20220401]; Open Research Project of Zhejiang province Key Laboratory of Quantum Technology [2022AJ05001]; Open Research Project of Special Display and Imaging Technology Innovation Center of Anhui Province [247644]; Integrated Circuit Science and Engineering, Tianjin University of Technology; Eu-FP7 Project; [XDA 09020300]</t>
  </si>
  <si>
    <t>National Natural Science Foundation of China(National Natural Science Foundation of China (NSFC)); National Key Research and Development Program of China; CAS Strategy Pilot Program; Fundamental Research Funds for the Central Universities(Fundamental Research Funds for the Central Universities); Open Research Project of Zhejiang province Key Laboratory of Quantum Technology; Open Research Project of Special Display and Imaging Technology Innovation Center of Anhui Province; Integrated Circuit Science and Engineering, Tianjin University of Technology; Eu-FP7 Project(European Union (EU));</t>
  </si>
  <si>
    <t>Y.Q., S.C., and J.H. contributed equally to this work. This work was supported by the National Natural Science Foundation of China (Nos 51971070, 10974037, and 62205011), the National Key Research and Development Program of China (No. 2016YFA0200403), Eu-FP7 Project (No. 247644), CAS Strategy Pilot Program (No. XDA 09020300), Fundamental Research Funds for the Central Universities (No. buctrc202122), the Open Research Project of Zhejiang province Key Laboratory of Quantum Technology and Device (No. 20220401), and the Open Research Project of Special Display and Imaging Technology Innovation Center of Anhui Province (No. 2022AJ05001). The FEA software was supported by assistant professor Lirong Qian, School of Integrated Circuit Science and Engineering, Tianjin University of Technology.</t>
  </si>
  <si>
    <t>10.1002/lpor.202300014</t>
  </si>
  <si>
    <t>P1CN3</t>
  </si>
  <si>
    <t>WOS:001048087100001</t>
  </si>
  <si>
    <t>Sha, J; Shao, J; Lu, S; Yao, W; Deng, YM; Chen, J; Zhang, JF; Feng, YF</t>
  </si>
  <si>
    <t>Sha, Jun; Shao, Jie; Lu, Sheng; Yao, Wei; Deng, Yimai; Chen, Jie; Zhang, Jianfeng; Feng, Yufeng</t>
  </si>
  <si>
    <t>Pyopneumothorax with bronchopleural fistula due to pulmonary infection caused by Porphyromonas gingivalis in a patient with periodontitis</t>
  </si>
  <si>
    <t>CLINICAL RESPIRATORY JOURNAL</t>
  </si>
  <si>
    <t>fistula; infection; periodontitis; Porphyromonas gingivalis; Pyopneumothorax with bronchopleural</t>
  </si>
  <si>
    <t>EFFUSIONS</t>
  </si>
  <si>
    <t>Pyopneumothorax with bronchopleural fistula is a rare complication of lung infection. We herein report a case of pyopneumothorax with bronchopleural fistula caused by Porphyromonas gingivalis infection, a common pathogenic pathogen of periodontitis, in a 49-year-old man with periodontitis. The patient was admitted with respiratory failure. Pleural puncture yielded a lot of gas continually and foul-smelling light brown pus, which was found to be caused due to infection with P. gingivalis by the metagenomic next generation sequencing (mNGS) and anaerobic culture.</t>
  </si>
  <si>
    <t>[Sha, Jun; Shao, Jie; Lu, Sheng; Zhang, Jianfeng; Feng, Yufeng] Changshu 2 Peoples Hosp, Intens Care Unit, Changshu, Peoples R China; [Yao, Wei; Deng, Yimai; Chen, Jie] Changshu Med Examinat Inst, Changshu, Peoples R China; [Feng, Yufeng] Changshu 2 Peoples Hosp, Intens Care Unit, 18 Taishan Rd, Changshu, Jiangsu, Peoples R China</t>
  </si>
  <si>
    <t>Feng, YF (corresponding author), Changshu 2 Peoples Hosp, Intens Care Unit, 18 Taishan Rd, Changshu, Jiangsu, Peoples R China.</t>
  </si>
  <si>
    <t>jiqimaoke@163.com</t>
  </si>
  <si>
    <t>Sha, Jun/HSE-0089-2023</t>
  </si>
  <si>
    <t>Sha, Jun/0000-0002-0239-7377</t>
  </si>
  <si>
    <t>1752-6981</t>
  </si>
  <si>
    <t>1752-699X</t>
  </si>
  <si>
    <t>CLIN RESPIR J</t>
  </si>
  <si>
    <t>Clin. Respir. J.</t>
  </si>
  <si>
    <t>10.1111/crj.13684</t>
  </si>
  <si>
    <t>R7RW8</t>
  </si>
  <si>
    <t>WOS:001047330700001</t>
  </si>
  <si>
    <t>Struben, J; Kapmeier, F</t>
  </si>
  <si>
    <t>Struben, Jeroen; Kapmeier, Florian</t>
  </si>
  <si>
    <t>From low-hanging fruit to high-impact sustainability transformations: unpacking dynamics of intra- and interorganizational capability traps</t>
  </si>
  <si>
    <t>SYSTEM DYNAMICS REVIEW</t>
  </si>
  <si>
    <t>CORPORATE SOCIAL-RESPONSIBILITY; FINANCIAL PERFORMANCE; TRANSITION; EMISSIONS</t>
  </si>
  <si>
    <t>Why are organizations and markets slow to transform toward sustainability despite the abundant well-recognized opportunities it provides? An important subset of the phenomena this question addresses involves decision-makers recognizing the existence of opportunities but failing to undertake ambitious, effective, sufficient, or timely action. Building on existing research on capability traps, market formation, and managing sustainability, we focus on the forces constraining organizations from developing the capabilities and market infrastructures required for sustainability transformations. We characterize types of sustainability initiatives and, using causal loop diagramming, visualize structures that enable and constrain how organizations can navigate individually and collectively worse-before-better dynamics resulting from uncertain, nonlinear, and delayed returns. Being under day-to-day pressures and deeply intertwined within their environment, organizational actors find it difficult to recognize, undertake, maintain, and coordinate necessary efforts internally and externally. We discuss research implications and directions for future research on avoiding these traps and accelerating sustainability transformations. Copyright (c) 2023 The Authors. System Dynamics Review published by John Wiley &amp; Sons Ltd on behalf of System Dynamics Society.</t>
  </si>
  <si>
    <t>[Struben, Jeroen] Emlyon Business Sch, Ecully, France; [Kapmeier, Florian] Reutlingen Univ, ESB Business Sch, Reutlingen, Germany; [Struben, Jeroen] Emlyon Business Sch, 23 Ave Guy Collongue, F-69130 Ecully, Rhone Alpes, France</t>
  </si>
  <si>
    <t>EMLYON Business School; EMLYON Business School</t>
  </si>
  <si>
    <t>Struben, J (corresponding author), Emlyon Business Sch, 23 Ave Guy Collongue, F-69130 Ecully, Rhone Alpes, France.</t>
  </si>
  <si>
    <t>struben@em-lyon.com</t>
  </si>
  <si>
    <t>Struben, Jeroen/0000-0003-3289-7951</t>
  </si>
  <si>
    <t>0883-7066</t>
  </si>
  <si>
    <t>1099-1727</t>
  </si>
  <si>
    <t>SYST DYNAM REV</t>
  </si>
  <si>
    <t>Syst. Dyn. Rev.</t>
  </si>
  <si>
    <t>10.1002/sdr.1742</t>
  </si>
  <si>
    <t>Management; Social Sciences, Mathematical Methods</t>
  </si>
  <si>
    <t>P1TZ9</t>
  </si>
  <si>
    <t>WOS:001048550400001</t>
  </si>
  <si>
    <t>Verbena, S; Procentese, F; Gatti, F; Ciavolino, E; Mannarini, T</t>
  </si>
  <si>
    <t>Verbena, Serena; Procentese, Fortuna; Gatti, Flora; Ciavolino, Enrico; Mannarini, Terri</t>
  </si>
  <si>
    <t>Immigrant collective civic action: Integrating group resilience into the social identity model of collective action</t>
  </si>
  <si>
    <t>JOURNAL OF COMMUNITY &amp; APPLIED SOCIAL PSYCHOLOGY</t>
  </si>
  <si>
    <t>collective civic action; group resilience; immigrants; PLS-SEM; SIMCA</t>
  </si>
  <si>
    <t>POLITICAL-PARTICIPATION; COMMUNITY RESILIENCE; POLITICIZATION; EMPOWERMENT; RETHINKING; ENGAGEMENT; MIGRANTS; YOUTH</t>
  </si>
  <si>
    <t>Based on the social identity model of collective action (SIMCA), this study examined factors associated with immigrant collective civic action, while also testing the role of group resilience. A convenience sample of 226 first-generation immigrants (58.6% female) of different nationalities completed a self-report questionnaire. Partial least squares path modelling was used to test a model assessing the relationship between national and ethnic identity and collective civic action, mediated by collective efficacy, perceptions of collective unfair treatment, and group resilience. Results confirmed the identity-efficacy pathway to collective civic action for both national and ethnic identity, but not the ethnic identity-injustice or the ethnic identity-group resilience pathways. Implications for research and practice are discussed.</t>
  </si>
  <si>
    <t>[Verbena, Serena; Ciavolino, Enrico; Mannarini, Terri] Univ Salento, Dept Hist Soc &amp; Human Studies, Lab Appl Psychol, Lecce, Italy; [Procentese, Fortuna; Gatti, Flora] Univ Naples Federico II, Dept Humanities, Naples, Italy; [Verbena, Serena] Univ Salento, Dept Hist Soc &amp; Human Studies, Via Valesio, I-73100 Lecce, Italy</t>
  </si>
  <si>
    <t>University of Salento; University of Naples Federico II; University of Salento</t>
  </si>
  <si>
    <t>Verbena, S (corresponding author), Univ Salento, Dept Hist Soc &amp; Human Studies, Via Valesio, I-73100 Lecce, Italy.</t>
  </si>
  <si>
    <t>serena.verbena@unisalento.it</t>
  </si>
  <si>
    <t>; Ciavolino, Enrico/D-8904-2011</t>
  </si>
  <si>
    <t>PROCENTESE, Fortuna/0000-0002-1617-0165; Gatti, Flora/0000-0003-2149-6570; Ciavolino, Enrico/0000-0003-3955-4310</t>
  </si>
  <si>
    <t>1052-9284</t>
  </si>
  <si>
    <t>1099-1298</t>
  </si>
  <si>
    <t>J COMMUNITY APPL SOC</t>
  </si>
  <si>
    <t>J. Community Appl. Soc. Psychol.</t>
  </si>
  <si>
    <t>10.1002/casp.2736</t>
  </si>
  <si>
    <t>P1TJ9</t>
  </si>
  <si>
    <t>WOS:001048534300001</t>
  </si>
  <si>
    <t>Young, LB; Johnsen, DC; Shi, W</t>
  </si>
  <si>
    <t>Young, Lance Brendan; Johnsen, David C. C.; Shi, Wei</t>
  </si>
  <si>
    <t>Student empathy in standardized patient experiences: Applying concepts from a critical thinking emulation model</t>
  </si>
  <si>
    <t>assessment; behavioral sciences; critical thinking; education methodology; empathy; patient-provider interaction; standardized patients</t>
  </si>
  <si>
    <t>PERFORMANCE</t>
  </si>
  <si>
    <t>IntroductionClinician empathy can improve patient outcomes, but the literature is scant on patient-based, student-led experiences to demonstrate the projection of empathy in patient interactions. Purpose/objectives(1) Develop a learning guide for observable behaviors communicating emotional and cognitive empathy and (2) determine whether the learning guide can be used as a rubric for assessing empathy in a standardized patient experience. MethodsEleven standardized patients assessed 80 D3 students using a 4-point interval scale on 19 behavioral criteria in four domains: Initiation (four criteria); Health History and Caries Risk (four criteria); Treatment Planning (six criteria); and Communication Skills (five criteria). Standardized patients also provided qualitative feedback. ResultsStandardized patients completed all 1520 interval scales on the rubric and 94% of 320 open-ended entries. Students performed well. Of the 1520 criterion interval scales, 1242 (81.7%) were rated excellent. Wilcoxon signed-rank tests revealed Initiation scores (Mean [M] = 3.82, Standard deviation [SD] = 0.28) and Treatment Planning scores (M = 3.82, SD = 0.36) were significantly higher than Health History Scores (M = 3.75, SD = 0.34; p &lt; 0.05). Qualitative feedback also was overwhelmingly positive for Treatment Planning and more equivocal for Health History. ConclusionsThe emulation model for students to demonstrate observable aspects of empathy is viable as both a learning guide and evaluation rubric in a standardized patient format. The next steps include the development of a succinct skillset for reinforcement in the patient setting and continued discussion on what best captures core observable aspects of empathy.</t>
  </si>
  <si>
    <t>[Young, Lance Brendan; Johnsen, David C. C.; Shi, Wei] Iowa Oral Hlth Res Inst, Dept Prevent &amp; Community Dent, Iowa City, IA USA; [Johnsen, David C. C.] Univ Iowa, Coll Dent, Dept Pediat Dent, Dent Sci Bldg, Iowa City, IA 52242 USA</t>
  </si>
  <si>
    <t>University of Iowa</t>
  </si>
  <si>
    <t>Johnsen, DC (corresponding author), Univ Iowa, Coll Dent, Dept Pediat Dent, Dent Sci Bldg, Iowa City, IA 52242 USA.</t>
  </si>
  <si>
    <t>david-johnsen@uiowa.edu</t>
  </si>
  <si>
    <t>Young, Lance Brendan/F-9934-2014</t>
  </si>
  <si>
    <t>Young, Lance Brendan/0000-0003-2821-4863</t>
  </si>
  <si>
    <t>10.1002/jdd.13352</t>
  </si>
  <si>
    <t>P0NE9</t>
  </si>
  <si>
    <t>WOS:001047686400001</t>
  </si>
  <si>
    <t>Bohm, D; Wienzek-Lischka, S; Cooper, N; Berghofer, H; Muller, K; Bayat, B; Bein, G; Sachs, UJ</t>
  </si>
  <si>
    <t>Boehm, David; Wienzek-Lischka, Sandra; Cooper, Nina; Berghoefer, Heike; Mueller, Katja; Bayat, Behnaz; Bein, Gregor; Sachs, Ulrich J.</t>
  </si>
  <si>
    <t>Fetal and neonatal alloimmune thrombocytopenia: No evidence of systemic inflammation as a modulator of disease severity. Could placental inflammation be key?</t>
  </si>
  <si>
    <t>fetal; neonatal alloimmune thrombocytopenia; placental inflammation; sFlt-1</t>
  </si>
  <si>
    <t>SOLUBLE CD14; PROTEIN; MARKER; LIPOPOLYSACCHARIDE; PREGNANCY; PLASMA</t>
  </si>
  <si>
    <t>In fetal/neonatal alloimmune thrombocytopenia (FNAIT), maternal alloantibodies against paternal human platelet antigens (HPA) cross the placenta and lead to platelet destruction. The extent of thrombocytopenia varies among neonates, and inflammation may constitute an important trigger. A set of stable inflammatory markers was measured in serum samples from neonates with low platelet counts, of which n = 50 were diagnosed with FNAIT due to anti-HPA-1a antibodies and n = 50 were thrombocytopenic without detectable maternal HPA antibodies. Concentrations of C-reactive protein, soluble CD14, procalcitonin, and sFlt-1 did not differ between the two cohorts. There was no correlation between C-reactive protein or soluble CD14 and the platelet count, but a negative correlation between procalcitonin concentrations and the neonatal platelet count in both cohorts. sFlt-1 concentration and the platelet count were correlated in FNAIT cases exclusively. None of the inflammatory markers was statistically different between cases with and without intracranial haemorrhage. We were unable to identify systemic inflammation as a relevant factor for thrombocytopenia in FNAIT. The antiangiogenic enzyme sFlt-1, released by the placenta, did correlate with the platelet count in FNAIT cases. Our findings may give rise to the hypothesis that placental inflammation rather than systemic inflammation modulates disease severity in FNAIT.</t>
  </si>
  <si>
    <t>[Boehm, David; Wienzek-Lischka, Sandra; Cooper, Nina; Berghoefer, Heike; Mueller, Katja; Bayat, Behnaz; Bein, Gregor; Sachs, Ulrich J.] Justus Liebig Univ, Inst Clin Immunol Transfus Med &amp; Haemostasis, Giessen, Germany; [Wienzek-Lischka, Sandra; Cooper, Nina; Bein, Gregor; Sachs, Ulrich J.] Univ Hosp Giessen &amp; Marburg, German Ctr Fetomaternal Incompatibil DZFI, Giessen, Germany; [Sachs, Ulrich J.] Univ Hosp Giessen &amp; Marburg, Dept Thrombosis &amp; Haemostasis, Giessen, Germany; [Sachs, Ulrich J.] Univ Hosp Giessen &amp; Marburg, Dept Thrombosis &amp; Haemostasis, Langhansstr 2, D-35392 Giessen, Germany</t>
  </si>
  <si>
    <t>Justus Liebig University Giessen; University Hospital of Giessen &amp; Marburg; University Hospital of Giessen &amp; Marburg; University Hospital of Giessen &amp; Marburg</t>
  </si>
  <si>
    <t>Sachs, UJ (corresponding author), Univ Hosp Giessen &amp; Marburg, Dept Thrombosis &amp; Haemostasis, Langhansstr 2, D-35392 Giessen, Germany.</t>
  </si>
  <si>
    <t>ulrich.sachs@med.uni-giessen.de</t>
  </si>
  <si>
    <t>Bein, Gregor/0000-0002-7571-8362; Sachs, Ulrich/0000-0001-5486-5542</t>
  </si>
  <si>
    <t>2023 AUG 12</t>
  </si>
  <si>
    <t>10.1111/bjh.19009</t>
  </si>
  <si>
    <t>O8CD6</t>
  </si>
  <si>
    <t>WOS:001046023500001</t>
  </si>
  <si>
    <t>Grey, A; Portch, R; Gaby, A; Grey, H; Bolland, M</t>
  </si>
  <si>
    <t>Grey, A.; Portch, R.; Gaby, A.; Grey, H.; Bolland, M.</t>
  </si>
  <si>
    <t>Synbiotic food consumption reduces levels of triacylglycerols and VLDL, but not cholesterol, LDL, or HDL in plasma from pregnant women (vol 49, pg 155, 2014)</t>
  </si>
  <si>
    <t>LIPIDS</t>
  </si>
  <si>
    <t>0024-4201</t>
  </si>
  <si>
    <t>1558-9307</t>
  </si>
  <si>
    <t>Lipids</t>
  </si>
  <si>
    <t>10.1002/lipd.12378</t>
  </si>
  <si>
    <t>Biochemistry &amp; Molecular Biology; Nutrition &amp; Dietetics</t>
  </si>
  <si>
    <t>P0AL1</t>
  </si>
  <si>
    <t>WOS:001047351200001</t>
  </si>
  <si>
    <t>Harvey, MB; Giroux, M; Price, HL</t>
  </si>
  <si>
    <t>Harvey, Madison B. B.; Giroux, Megan; Price, Heather L. L.</t>
  </si>
  <si>
    <t>Lineup size influences voice identification accuracy</t>
  </si>
  <si>
    <t>APPLIED COGNITIVE PSYCHOLOGY</t>
  </si>
  <si>
    <t>decision making; earwitness; memory; voice identification</t>
  </si>
  <si>
    <t>EYEWITNESS; CONFIDENCE; SPEAKER; FACE; METAANALYSIS; WITNESSES; SHOWUPS</t>
  </si>
  <si>
    <t>We investigated the effects of lineup size, target presence, and target sex on voice identification accuracy. In Study 1, participants identified a female target from 1-, 6-, or 10-voice target present or target absent lineups. Results demonstrated increasing accuracy with smaller target absent lineups. One-voice lineups led to higher rates of innocent suspect identifications than 10-voice lineups. In Study 2, participants identified a male or female target from 1-, 6-, or 10-voice target present or target absent lineups. Results revealed increased correct identifications in 1- and 6-voice and increased innocent suspect identifications in 1-voice lineups, compared to 10-voice lineups. Female lineups resulted in higher accuracy in target present lineups yet increased rates of innocent suspect identifications. Our findings indicate 1-voice lineups result in both increased accuracy and increased innocent suspect identifications, a trade-off which may not be advisable. Future research should further explore the impact of multi-voice lineups on accuracy.</t>
  </si>
  <si>
    <t>[Harvey, Madison B. B.; Giroux, Megan] Simon Fraser Univ, Psychol Dept, Burnaby, BC, Canada; [Price, Heather L. L.] Thompson Rivers Univ, Psychol Dept, Kamloops, BC, Canada</t>
  </si>
  <si>
    <t>Simon Fraser University</t>
  </si>
  <si>
    <t>Harvey, MB (corresponding author), Simon Fraser Univ, Psychol Dept, Burnaby, BC, Canada.</t>
  </si>
  <si>
    <t>madisonh@sfu.ca</t>
  </si>
  <si>
    <t>Price, Heather/0000-0001-6109-6198</t>
  </si>
  <si>
    <t>Thompson Rivers University; Social Sciences and Humanities Research Council Canadian Doctoral Graduate Scholarship; Vanier Canadian Graduate Scholarship awarded; Canada Research Chairs Program; Social Sciences and Humanities Research Council Canadian Graduate Scholarship; Vanier Canadian Graduate Scholarship</t>
  </si>
  <si>
    <t>Thompson Rivers University; Social Sciences and Humanities Research Council Canadian Doctoral Graduate Scholarship; Vanier Canadian Graduate Scholarship awarded; Canada Research Chairs Program(Canada Research Chairs); Social Sciences and Humanities Research Council Canadian Graduate Scholarship(Social Sciences and Humanities Research Council of Canada (SSHRC)); Vanier Canadian Graduate Scholarship</t>
  </si>
  <si>
    <t>Thompson Rivers University; Social Sciences and Humanities Research Council Canadian Doctoral Graduate Scholarship; Vanier Canadian Graduate Scholarship awarded; Canada Research Chairs ProgramThis work is supported by a Social Sciences and Humanities Research Council Canadian Graduate Scholarship -Doctoral awarded to the first author, a Vanier Canadian Graduate Scholarship awarded to the second author, and the Canada Research Chairs Program for the third author, as well as Internal Funding from Thompson Rivers University.</t>
  </si>
  <si>
    <t>0888-4080</t>
  </si>
  <si>
    <t>1099-0720</t>
  </si>
  <si>
    <t>APPL COGNITIVE PSYCH</t>
  </si>
  <si>
    <t>Appl. Cogn. Psychol.</t>
  </si>
  <si>
    <t>10.1002/acp.4124</t>
  </si>
  <si>
    <t>Psychology, Experimental</t>
  </si>
  <si>
    <t>O9ZM8</t>
  </si>
  <si>
    <t>WOS:001047326800001</t>
  </si>
  <si>
    <t>Illes, K; Horvath, T</t>
  </si>
  <si>
    <t>Illes, Kata; Horvath, Tamas</t>
  </si>
  <si>
    <t>Reply to Mastoid Obliteration Decreases the Recurrent and Residual Disease: Systematic Review and Meta-Analysis</t>
  </si>
  <si>
    <t>LARYNGOSCOPE</t>
  </si>
  <si>
    <t>[Horvath, Tamas] Bajcsy Zsilinszky Hosp, Dept Otorhinolaryngol Head &amp; Neck Surg, Budapest, Hungary; Semmelweis Univ, Ctr Translat Med, Budapest, Hungary</t>
  </si>
  <si>
    <t>Horvath, T (corresponding author), Bajcsy Zsilinszky Hosp, Dept Otorhinolaryngol Head &amp; Neck Surg, Budapest, Hungary.</t>
  </si>
  <si>
    <t>horvath.tamas@bajcsy.hu</t>
  </si>
  <si>
    <t>0023-852X</t>
  </si>
  <si>
    <t>1531-4995</t>
  </si>
  <si>
    <t>Laryngoscope</t>
  </si>
  <si>
    <t>10.1002/lary.30946</t>
  </si>
  <si>
    <t>Medicine, Research &amp; Experimental; Otorhinolaryngology</t>
  </si>
  <si>
    <t>Research &amp; Experimental Medicine; Otorhinolaryngology</t>
  </si>
  <si>
    <t>P0CV1</t>
  </si>
  <si>
    <t>WOS:001047413400001</t>
  </si>
  <si>
    <t>Kang, N; Yu, ES</t>
  </si>
  <si>
    <t>Kang, Namgu; Yu, Eun-Seung</t>
  </si>
  <si>
    <t>Is digital intervention for fear of cancer recurrence beneficial to cancer patients?: A systematic review and meta-analysis</t>
  </si>
  <si>
    <t>PSYCHO-ONCOLOGY</t>
  </si>
  <si>
    <t>cancer; digital; face-to-face; fear of cancer recurrence; oncology; psycho-oncology; psychotherapy</t>
  </si>
  <si>
    <t>COGNITIVE-BEHAVIOR; BREAST-CANCER; SURVIVORS; DEPRESSION; SYMPTOMS; THERAPY; TRIAL</t>
  </si>
  <si>
    <t>ObjectiveThis study aimed to compare the effectiveness of digital and face-to-face interventions in reducing fear of cancer recurrence (FCR) among individuals with cancer. MethodsThis study was conducted in accordance with the Preferred Reporting Items for Systematic Reviews and Meta-Analyses (PRISMA) guidelines for evaluating the efficacy of psychological interventions for FCR published between July 2018 and December 2021. We searched for research papers using PubMed, Embase, and Cochrane and assessed their quality using the Revised Cochrane risk-of-bias tool for randomized trials. ResultsOf the 2113 identified studies, we analyzed 17 samples (N = 1482) from 14 studies, of which 13 were RCTs. The overall sample showed a moderate effect size (Hedges' g = 0.607; 0.356 to 0.858; p I-2 = 81.29%) in FCR reduction. The overall effect size was 0.621 (95% CI, 0.276 to 0.966; p I-2 = 81.78%) for face-to-face interventions and 0.517 (95% CI, 0.093 to 0.941; p = 0.017; I-2 = 83.19%) for digital interventions. The difference between the two effect sizes was not statistically significant. ConclusionOur meta-analysis suggests that digital interventions are moderately effective in reducing FCR, similar to face-to-face interventions. However, given the high degree of heterogeneity, this conclusion should be interpreted with caution. Further studies are required to identify the most effective digital interventions and the populations that may benefit from them.</t>
  </si>
  <si>
    <t>[Kang, Namgu] Korea Univ, Dept Psychol, Seoul, South Korea; [Yu, Eun-Seung] Cyber Univ Korea, Dept Counseling Psychol, Seoul, South Korea; [Yu, Eun-Seung] 106 Bukcheon-ro, Seoul 03051, South Korea</t>
  </si>
  <si>
    <t>Korea University</t>
  </si>
  <si>
    <t>Yu, ES (corresponding author), 106 Bukcheon-ro, Seoul 03051, South Korea.</t>
  </si>
  <si>
    <t>psyesyu@gmail.com</t>
  </si>
  <si>
    <t>Yu, Eun-Seung/0000-0001-7388-9195; Kang, Namgu/0009-0007-9887-8792</t>
  </si>
  <si>
    <t>National Ramp;D Program for Cancer Control, Ministry of Health and Welfare, Republic of Korea [HA21C0100]</t>
  </si>
  <si>
    <t>National Ramp;D Program for Cancer Control, Ministry of Health and Welfare, Republic of Korea</t>
  </si>
  <si>
    <t>ACKNOWLEDGMENTS This study was supported by the National R&amp;D Program for Cancer Control, Ministry of Health and Welfare, Republic of Korea (grant number HA21C0100).</t>
  </si>
  <si>
    <t>1057-9249</t>
  </si>
  <si>
    <t>1099-1611</t>
  </si>
  <si>
    <t>Psycho-Oncol.</t>
  </si>
  <si>
    <t>10.1002/pon.6199</t>
  </si>
  <si>
    <t>Oncology; Psychology; Psychology, Multidisciplinary; Social Sciences, Biomedical</t>
  </si>
  <si>
    <t>Oncology; Psychology; Biomedical Social Sciences</t>
  </si>
  <si>
    <t>R3CI4</t>
  </si>
  <si>
    <t>WOS:001046127100001</t>
  </si>
  <si>
    <t>Lassell, RKF; Lin, SY; Convery, K; Fletcher, J; Chippendale, T; Jones, T; Durga, A; Galvin, JE; Rupper, RW; Brody, AA</t>
  </si>
  <si>
    <t>Lassell, Rebecca K. F.; Lin, Shih-Yin; Convery, Kimberly; Fletcher, Jason; Chippendale, Tracy; Jones, Tessa; Durga, Aditi; Galvin, James E.; Rupper, Randall W.; Brody, Abraham A.</t>
  </si>
  <si>
    <t>Neuropsychiatric symptoms in people living with dementia receiving home health services</t>
  </si>
  <si>
    <t>JOURNAL OF THE AMERICAN GERIATRICS SOCIETY</t>
  </si>
  <si>
    <t>Alzheimer's disease; behavioral and psychological symptoms; community-dwelling; dementia care; health disparities</t>
  </si>
  <si>
    <t>ALZHEIMERS-DISEASE; PSYCHOLOGICAL SYMPTOMS; OLDER-ADULTS; PREVALENCE; MANAGEMENT</t>
  </si>
  <si>
    <t>BackgroundWe sought to describe neuropsychiatric symptoms (NPS) among people living with dementia (PLWD) from diverse racial and ethnic groups receiving home health services while accounting for dementia severity, individual symptom prevalence, and neighborhood disadvantage. MethodsA prospective study using cross-sectional data from n = 192 PLWD receiving skilled home healthcare in New Jersey enrolled in the Dementia Symptom Management at Home Program trial. We prospectively measured symptom prevalence with the Neuropsychiatric Inventory Questionnaire and dementia severity using the Quick Dementia Rating System. A one-way ANOVA determined NPS prevalence by dementia severity (mild, moderate, severe). Fisher's exact tests were used to assess the association of individual symptom prevalence with race and ethnicity and cross tabs to descriptively stratify individual symptom prevalence by dementia severity among groups. A Pearson correlation was performed to determine if a correlation existed among neighborhood disadvantages measured by the Area Deprivation Index (ADI) state decile scores and NPS prevalence and severity. ResultsParticipants identified as non-Hispanic White (50%), non-Hispanic Black (30%), or Hispanic (13%). NPS were prevalent in 97% of participants who experienced 5.4 &amp; PLUSMN; 2.6 symptoms with increased severity (10.8 &amp; PLUSMN; 6.6) and care partner distress (13.8 &amp; PLUSMN; 10.8). NPS increased with dementia severity (p = 0.004) with the greatest difference seen between individuals with mild dementia (4.3 &amp; PLUSMN; 2.3) versus severe dementia (5.9 &amp; PLUSMN; 2.3; p = 0.002). Few differences were found in symptom prevalence by racial and ethnic sub-groups. Nighttime behaviors were higher in non-Hispanic Black (78%), compared with non-Hispanic Whites (46%) with moderate dementia, p = 0.042. State ADI scores were not correlated with the number of NPS reported, or severity. ConclusionsNPS were prevalent and increased with dementia severity with commonalities among racial and ethnic groups with varying levels of neighborhood disadvantage. There is a need for effective methods for improving NPS identification, assessment, and management broadly for homebound PLWD.</t>
  </si>
  <si>
    <t>[Lassell, Rebecca K. F.] Indiana Univ, Sch Publ Hlth, Dept Hlth &amp; Wellness Design, Bloomington, IN USA; [Lassell, Rebecca K. F.; Lin, Shih-Yin; Convery, Kimberly; Fletcher, Jason; Durga, Aditi; Brody, Abraham A.] NYU, Rory Meyers Coll Nursing, Hartford Inst Geriatr Nursing, New York, NY USA; [Chippendale, Tracy] NYU, Dept Occupat Therapy, New York, NY USA; [Jones, Tessa] NYU, Silver Sch Social Work, New York, NY USA; [Galvin, James E.] Univ Miami, Comprehens Ctr Brain Hlth, Dept Neurol, Miller Sch Med, Miami, FL USA; [Rupper, Randall W.] Salt Lake VA GRECC, Salt Lake City, UT USA; [Brody, Abraham A.] NYU, Grossman Sch Med, Div Geriatr Med &amp; Palliat Care, New York, NY USA; [Lassell, Rebecca K. F.] Sch Publ Hlth, Dept Hlth &amp; Wellness Design, 2719 E 10th St, 130N, Bloomington, IN 47401 USA</t>
  </si>
  <si>
    <t>Indiana University System; Indiana University Bloomington; New York University; New York University; New York University; University of Miami; New York University</t>
  </si>
  <si>
    <t>Lassell, RKF (corresponding author), Sch Publ Hlth, Dept Hlth &amp; Wellness Design, 2719 E 10th St, 130N, Bloomington, IN 47401 USA.</t>
  </si>
  <si>
    <t>blassell@iu.edu</t>
  </si>
  <si>
    <t>Brody, Abraham/0000-0002-3405-7043</t>
  </si>
  <si>
    <t>National Institute on Aging [R01AG056610]</t>
  </si>
  <si>
    <t>National Institute on Aging(United States Department of Health &amp; Human ServicesNational Institutes of Health (NIH) - USANIH National Institute on Aging (NIA))</t>
  </si>
  <si>
    <t>National Institute on Aging, Grant/Award Number: R01AG056610</t>
  </si>
  <si>
    <t>0002-8614</t>
  </si>
  <si>
    <t>1532-5415</t>
  </si>
  <si>
    <t>J AM GERIATR SOC</t>
  </si>
  <si>
    <t>J. Am. Geriatr. Soc.</t>
  </si>
  <si>
    <t>10.1111/jgs.18548</t>
  </si>
  <si>
    <t>O9BG6</t>
  </si>
  <si>
    <t>WOS:001046693700001</t>
  </si>
  <si>
    <t>McCormick, EM; Keller, K; Taylor, JP; Coffey, AJ; Shen, LS; Krotoski, D; Harding, B; Gai, XW; Falk, MJ; Zolkipli-Cunningham, Z; Rahman, S</t>
  </si>
  <si>
    <t>McCormick, Elizabeth; Keller, Kierstin P.; Taylor, Julie J.; Coffey, Alison; Shen, Lishuang; Krotoski, Danuta; Harding, Brian; Gai, Xiaowu J.; Falk, Marni; Zolkipli-Cunningham, Zarazuela; Rahman, Shamima</t>
  </si>
  <si>
    <t>Expert Panel Curation of 113 Primary Mitochondrial Disease Genes for the Leigh Syndrome Spectrum</t>
  </si>
  <si>
    <t>ANNALS OF NEUROLOGY</t>
  </si>
  <si>
    <t>COMPLEX-I DEFICIENCY; NECROTIZING ENCEPHALOPATHY; BIOTINIDASE DEFICIENCY; CLINICAL-FEATURES; DNA MUTATION; COMMON-CAUSE; PHENOTYPES; DISORDERS; PATIENT; MTDNA</t>
  </si>
  <si>
    <t>Objective Primary mitochondrial diseases (PMDs) are heterogeneous disorders caused by inherited mitochondrial dysfunction. Classically defined neuropathologically as subacute necrotizing encephalomyelopathy, Leigh syndrome spectrum (LSS) is the most frequent manifestation of PMD in children, but may also present in adults. A major challenge for accurate diagnosis of LSS in the genomic medicine era is establishing gene-disease relationships (GDRs) for this syndrome with &gt;100 monogenic causes across both nuclear and mitochondrial genomes.Methods The Clinical Genome Resource (ClinGen) Mitochondrial Disease Gene Curation Expert Panel (GCEP), comprising 40 international PMD experts, met monthly for 4 years to review GDRs for LSS. The GCEP standardized gene curation for LSS by refining the phenotypic definition, modifying the ClinGen Gene-Disease Clinical Validity Curation Framework to improve interpretation for LSS, and establishing a scoring rubric for LSS.Results The GDR with LSS across the nuclear and mitochondrial genomes was classified as definitive for 31 of 114 GDRs curated (27%), moderate for 38 (33%), limited for 43 (38%), and disputed for 2 (2%). Ninety genes were associated with autosomal recessive inheritance, 16 were maternally inherited, 5 were autosomal dominant, and 3 were X-linked.Interpretation GDRs for LSS were established for genes across both nuclear and mitochondrial genomes. Establishing these GDRs will allow accurate variant interpretation, expedite genetic diagnosis of LSS, and facilitate precision medicine, multisystem organ surveillance, recurrence risk counseling, reproductive choice, natural history studies, and determination of eligibility for interventional clinical trials.</t>
  </si>
  <si>
    <t>[Rahman, Shamima] UCL Great Ormond St Inst Child Hlth, Mitochondrial Res Grp, London, England; [Falk, Marni] Childrens Hosp Philadelphia, ClinGen Mitochondrial Dis Gene Curat Expert Panel, ARC 1002c,3615 Civ Ctr Blvd, Philadelphia, PA 19104 USA; [McCormick, Elizabeth; Falk, Marni; Zolkipli-Cunningham, Zarazuela] Childrens Hosp Philadelphia, Dept Pediat, Mitochondrial Med Frontier Program, Div Human Genet, Philadelphia, PA USA; [Keller, Kierstin P.] Childrens Hosp Philadelphia, Ctr Mitochondrial &amp; Epigen Med, Dept Pathol, Philadelphia, PA USA; [Taylor, Julie J.; Coffey, Alison] Illumina, Illumina Clin Serv Lab, San Diego, CA USA; [Shen, Lishuang; Gai, Xiaowu J.] Childrens Hosp Los Angeles, Ctr Personalized Med, Dept Pathol &amp; Lab Med, Los Angeles, CA USA; [Krotoski, Danuta] NICHHD, Intellectual &amp; Dev Disabil Branch, NIH, Bethesda, MD USA; [Harding, Brian] Childrens Hosp Philadelphia, Dept Pathol &amp; Lab Med Neuropathol, Philadelphia, PA USA; [Harding, Brian; Falk, Marni; Zolkipli-Cunningham, Zarazuela] Univ Penn, Perelman Sch Med, Philadelphia, PA USA; [Gai, Xiaowu J.] Univ Southern Calif, Keck Sch Med, Los Angeles, CA USA; [Rahman, Shamima] Great Ormond St Hosp Children NHS Fdn Trust, UCL Great Ormond St Inst Child Hlth, Genet &amp; Genom Med, Mitochondrial Res Grp, London, England; [Rahman, Shamima] Great Ormond St Hosp Children NHS Fdn Trust, Metab Unit, London, England</t>
  </si>
  <si>
    <t>University of London; University College London; University of Pennsylvania; Pennsylvania Medicine; Childrens Hospital of Philadelphia; University of Pennsylvania; Pennsylvania Medicine; Childrens Hospital of Philadelphia; University of Pennsylvania; Pennsylvania Medicine; Childrens Hospital of Philadelphia; Illumina; Children's Hospital Los Angeles; National Institutes of Health (NIH) - USA; NIH Eunice Kennedy Shriver National Institute of Child Health &amp; Human Development (NICHD); University of Pennsylvania; Pennsylvania Medicine; Childrens Hospital of Philadelphia; University of Pennsylvania; Pennsylvania Medicine; University of Southern California; University of London; University College London; Great Ormond Street Hospital for Children NHS Foundation Trust; University of London; University College London; Great Ormond Street Hospital for Children NHS Foundation Trust</t>
  </si>
  <si>
    <t>Rahman, S (corresponding author), UCL Great Ormond St Inst Child Hlth, Mitochondrial Res Grp, London, England.;Falk, MJ (corresponding author), Childrens Hosp Philadelphia, ClinGen Mitochondrial Dis Gene Curat Expert Panel, ARC 1002c,3615 Civ Ctr Blvd, Philadelphia, PA 19104 USA.</t>
  </si>
  <si>
    <t>falkm@chop.edu; shamima.rahman@ucl.ac.uk</t>
  </si>
  <si>
    <t>Gai, Xiaowu/ISA-3238-2023; ALVES, CESAR/V-5958-2019</t>
  </si>
  <si>
    <t>Gai, Xiaowu/0000-0001-8679-9703; ALVES, CESAR/0000-0001-5877-9086; Shen, Lishuang/0000-0002-0436-0199</t>
  </si>
  <si>
    <t>NIH [U24-HD093483]; MSeqDR; NIH; Great Ormond Street Hospital Children's Charity [U24-HD093483]; Lily Foundation; National Institute of Health Research (NIHR) Great Ormond Street Hospital Biomedical Research Centre; Victorian government's; Royal Children's Hospital Foundation</t>
  </si>
  <si>
    <t>NIH(United States Department of Health &amp; Human ServicesNational Institutes of Health (NIH) - USA); MSeqDR; NIH(United States Department of Health &amp; Human ServicesNational Institutes of Health (NIH) - USA); Great Ormond Street Hospital Children's Charity; Lily Foundation; National Institute of Health Research (NIHR) Great Ormond Street Hospital Biomedical Research Centre; Victorian government's; Royal Children's Hospital Foundation</t>
  </si>
  <si>
    <t>We thank the ClinGen Gene Curation Working Group and Clinical Domain Working Group Oversight Committee for their detailed review, suggestions, and approval of this Mito GCEP. We are grateful to the United Mitochondrial Disease Foundation for their organizational and administrative support, their partnership in MSeqDR Consortium activities, and funding of MSeqDR. This work was supported by NIH grant U24-HD093483 (to M.J.F. and X.G.), as well as Great Ormond Street Hospital Children's Charity, the Lily Foundation, and the National Institute of Health Research (NIHR) Great Ormond Street Hospital Biomedical Research Centre (to S.R.). The views expressed are those of the authors and not necessarily those of the funding agencies, including the NIH, National Health Service, and NIHR. The research conducted at the Murdoch Children's Research Institute was supported by the Victorian government's operational infrastructure support program. The Chair in Genomic Medicine awarded to J.C. is generously supported by the Royal Children's Hospital Foundation. We are grateful to the Crane, Perkins, and Miller families for their generous financial support. We thank Dr. James Nurse for his contribution to the visual abstract.</t>
  </si>
  <si>
    <t>0364-5134</t>
  </si>
  <si>
    <t>1531-8249</t>
  </si>
  <si>
    <t>ANN NEUROL</t>
  </si>
  <si>
    <t>Ann. Neurol.</t>
  </si>
  <si>
    <t>10.1002/ana.26716</t>
  </si>
  <si>
    <t>P0DD5</t>
  </si>
  <si>
    <t>WOS:001047421800001</t>
  </si>
  <si>
    <t>Ng, E; Gwini, SM; Stowasser, M; Young, MJ; Fuller, PJ; Singh, GR; Yang, J</t>
  </si>
  <si>
    <t>Ng, Elisabeth; Gwini, Stella M.; Stowasser, Michael; Young, Morag J.; Fuller, Peter J.; Singh, Gurmeet R.; Yang, Jun</t>
  </si>
  <si>
    <t>Aldosterone and renin concentrations and blood pressure in young Indigenous and non-Indigenous adults in the Northern Territory: a cross-sectional study</t>
  </si>
  <si>
    <t>Hypertension; Adrenal gland diseases; Endocrinology; Public health; Diagnostic tests and procedures; Preventive medicine; Rural health services; Indigenous health</t>
  </si>
  <si>
    <t>PLASMA-RENIN; RATIO; EVENTS</t>
  </si>
  <si>
    <t>ObjectivesTo evaluate aldosterone and renin levels and aldosterone-to-renin ratios (ARRs) in young Indigenous and non-Indigenous adults in the Northern Territory, and their association with blood pressure levels. DesignCross-sectional study; single time point sub-study of two prospective birth cohort studies. Setting, participantsParticipants in the Aboriginal Birth Cohort (ABC) - born to Indigenous mothers at the Royal Darwin Hospital during 1987-1990 - and the Top End Cohort (TEC) - people born to non-Indigenous mothers in Darwin, recruited during 2007-2009 - aged 32-35 years at the time of this sub-study. Main outcome measuresPlasma aldosterone and direct renin concentrations; ARRs (positive screening test result for primary aldosteronism defined as &gt; 70 pmol/mU); systolic and diastolic blood pressure. ResultsA total of 255 ABC (205 in remote, 50 in urban locations) and 76 TEC members participated. Median aldosterone concentration was similar for all three groups. The median renin concentration was 7.5 mU/L (interquartile range [IQR], 4.1-12.4 mU/L) in the TEC group, 12.4 mU/L (IQR, 5.1-19 mU/L) in the urban ABC group, and 29.3 mU/L (IQR, 15.0-52.9 mU/L) in the remote ABC group. The median ARR was 10 pmol/mU (IQR, 6-19 pmol/mU) in the remote ABC group, 28 pmol/mU (IQR, 16-70 pmol/mU) in the urban ABC group, and 43 pmol/mU (IQR, 26-74 pmol/mU) in the TEC group. Thirteen urban ABC participants (26%), 21 TEC participants (28%), and six people in the remote ABC group (3%) had ARR values above 70 pmol/mU. Adjusted for age and body mass index (BMI), mean systolic and diastolic blood pressure were lower for women than men in all participant groups; after adjusting for age, sex, and BMI, larger ARR was associated with higher systolic blood pressure in the TEC group but not the two ABC groups. ConclusionScreening test results for primary aldosteronism were positive for about one-quarter of urban Indigenous and non-Indigenous participants. A prospective study that includes confirmatory testing would more accurately assess the prevalence of primary aldosteronism among Indigenous Australians in the Northern Territory.</t>
  </si>
  <si>
    <t>[Ng, Elisabeth; Fuller, Peter J.; Yang, Jun] Monash Hlth, Melbourne, Vic, Australia; [Ng, Elisabeth; Gwini, Stella M.; Fuller, Peter J.; Yang, Jun] Hudson Inst Med Res, Ctr Endocrinol &amp; Metab, Vic, Spain; [Gwini, Stella M.] Monash Univ, Melbourne, Vic, Australia; [Stowasser, Michael] Princess Alexandra Hosp, Brisbane, Qld, Australia; [Young, Morag J.] Baker Heart &amp; Diabet Inst, Melbourne, Vic, Australia; [Singh, Gurmeet R.] Menzies Sch Hlth Res, Darwin, NT, Australia</t>
  </si>
  <si>
    <t>Monash University; Baker Heart and Diabetes Institute; Charles Darwin University; Menzies School of Health Research</t>
  </si>
  <si>
    <t>Yang, J (corresponding author), Monash Hlth, Melbourne, Vic, Australia.;Yang, J (corresponding author), Hudson Inst Med Res, Ctr Endocrinol &amp; Metab, Vic, Spain.</t>
  </si>
  <si>
    <t>jun.yang@hudson.org.au</t>
  </si>
  <si>
    <t>Yang, Jun/0000-0003-4620-4976; Ng, Elisabeth/0000-0001-6649-032X</t>
  </si>
  <si>
    <t>National Health and Medical Research Council [APP1138609]; Alice Baker and Eleanor Shaw Gender Equity Fellowship; NHMRC; Heart Foundation PhD Scholarship; Royal Australasian College of Physicians Vincent Fairfax Family Foundation Research Entry Scholarship; Operational Infrastructure Scheme of the Victorian government</t>
  </si>
  <si>
    <t>National Health and Medical Research Council(National Health and Medical Research Council (NHMRC) of Australia); Alice Baker and Eleanor Shaw Gender Equity Fellowship; NHMRC(National Health and Medical Research Council (NHMRC) of Australia); Heart Foundation PhD Scholarship; Royal Australasian College of Physicians Vincent Fairfax Family Foundation Research Entry Scholarship; Operational Infrastructure Scheme of the Victorian government</t>
  </si>
  <si>
    <t>The aldosterone and renin test kits were provided by DiaSorin. The Aboriginal Birth Cohort study is funded by an National Health and Medical Research Council project grant (APP1138609). Jun Yang is supported by an NHMRC Investigator Grant. Morag J Young is supported by an Alice Baker and Eleanor Shaw Gender Equity Fellowship. Elisabeth Ng is supported by an NHMRC and Heart Foundation PhD Scholarship and a Royal Australasian College of Physicians Vincent Fairfax Family Foundation Research Entry Scholarship. The Hudson Institute of Medical Research and Baker Heart and Diabetes Institute are supported by the Operational Infrastructure Scheme of the Victorian government. Funders did not have any role in study design, data collection, analysis or interpretation, reporting or publication. We acknowledge Monash Pathology for determining plasma aldosterone and direct renin concentrations.</t>
  </si>
  <si>
    <t>10.5694/mja2.52062</t>
  </si>
  <si>
    <t>WOS:001046842500001</t>
  </si>
  <si>
    <t>Sheng, Y; Liu, J; Zheng, S</t>
  </si>
  <si>
    <t>Sheng, Yu; Liu, Jing; Zheng, Shuyun</t>
  </si>
  <si>
    <t>Identification of distinct gene co-expression modules and specific hub genes in skin lesions of atopic dermatitis and psoriasis by WGCNA</t>
  </si>
  <si>
    <t>atopic dermatitis; psoriasis; WGCNA</t>
  </si>
  <si>
    <t>ADHESION MOLECULES</t>
  </si>
  <si>
    <t>Atopic dermatitis (AD) and psoriasis are among the most common chronic inflammatory skin diseases. Although AD and psoriasis are distinguished using clinical criteria, the lesions of these two diseases are sometimes highly similar, making diagnosis difficult. In addition, the mechanisms underlying these two diseases are not fully clear. Here, we aimed to identify potential genes and regulatory mechanisms in AD and psoriasis patients to aid in the diagnosis and treatment of AD and psoriasis. The GSE121212 dataset was obtained from the NCBI Gene Expression Omnibus database and weighted gene co-expression network analysis (WGCNA) was applied. The functions of genes in modules of interest were determined using Gene Ontology enrichment analysis and Kyoto Encyclopedia of Genes and Genomes analysis with the ggplot2 package of r. The hub genes were obtained using the Search Tool for the Retrieval of Interacting Genes database and then visualized using cytoscape. The MEgreen and MEbrown modules were identified to associate with AD and psoriasis, respectively, and the biological functions and pathways of genes in clinically significant modules were detected and analyzed. Hub genes in these two modules and details on potential protein interactions were also revealed. The genes and modules identified by WGCNA might contribute to our understanding of the molecular mechanisms of AD and psoriasis and aid in their diagnosis and treatment.</t>
  </si>
  <si>
    <t>[Sheng, Yu; Liu, Jing; Zheng, Shuyun] Harbin Med Univ, Affiliated Hosp 1, Dept Dermatol, Harbin, Peoples R China; [Sheng, Yu] Harbin Med Univ, Affiliated Hosp 1, Dept Dermatol, 23 Youzheng Str, Harbin 150001, Peoples R China</t>
  </si>
  <si>
    <t>Harbin Medical University; Harbin Medical University</t>
  </si>
  <si>
    <t>Sheng, Y (corresponding author), Harbin Med Univ, Affiliated Hosp 1, Dept Dermatol, 23 Youzheng Str, Harbin 150001, Peoples R China.</t>
  </si>
  <si>
    <t>zheng@hrbmu.edu.cn</t>
  </si>
  <si>
    <t>Sheng, Yu/0000-0002-1264-3711</t>
  </si>
  <si>
    <t>10.1002/2211-5463.13686</t>
  </si>
  <si>
    <t>O9TO4</t>
  </si>
  <si>
    <t>WOS:001047171600001</t>
  </si>
  <si>
    <t>Soon, PS; Lim, WM; Gaur, SS</t>
  </si>
  <si>
    <t>Soon, Pei-Shan; Lim, Weng Marc; Gaur, Sanjaya Singh</t>
  </si>
  <si>
    <t>The role of emotions in augmented reality</t>
  </si>
  <si>
    <t>augmented reality; desire; emotion; valence</t>
  </si>
  <si>
    <t>ANTICIPATED EMOTIONS; CONSUMER RESPONSES; TECHNOLOGY; IMPACT; MODEL; INFORMATION; EXPERIENCE; BEHAVIORS; BRAND; SEM</t>
  </si>
  <si>
    <t>Augmented reality (AR) can induce emotions among its users. However, emotional valence is often studied with a singular focus (e.g., enjoyment), which disregards and overlooks the multifaceted nature of emotional valence. Taking a multifaceted perspective of emotional valence, this study aims to broaden understanding of how induced emotions can drive consumers' inclination to use AR. A multifaceted emotion measurement scale was modified and utilized (n(Study1): 224), followed by two experimental studies (n(Study2): 214; n(Study3): 200). These experiments entailed a design wherein the experimental group explored products using an AR app while the control group navigated the mobile website of the same company devoid of any AR features. Our findings indicate that the use of AR instigates expressive emotions, further eliciting emotion components spanning both affective and physiological dimensions. In instances of positive emotions, at least two out of the three elicited emotion components consistently led to a heightened desire to engage with AR. Negative emotions produce no significant effects. Taken collectively, the principal theoretical contribution of this study lies in its elucidation of the components and elicitation patterns of emotions tied to AR, whereas the practical standpoint of these findings underscores the necessity for both developers and marketers to comprehend the pivotal role that the induction of positive expressive emotions plays in designing effective AR apps. These insights should therefore pave the way for more intuitively engaging and emotionally satisfying AR experiences for consumers.</t>
  </si>
  <si>
    <t>[Soon, Pei-Shan; Lim, Weng Marc] Sunway Univ, Sunway Business Sch, Sunway City 47500, Selangor, Malaysia; [Lim, Weng Marc] Swinburne Univ Technol, Sch Business Law &amp; Entrepreneurship, Hawthorn, Vic, Australia; [Lim, Weng Marc] Swinburne Univ Technol, Fac Business Design &amp; Arts, Kuching, Sarawak, Malaysia; [Gaur, Sanjaya Singh] NYU, Sch Profess Studies, Dept Integrated Mkt, Div Programs Business, New York, NY USA</t>
  </si>
  <si>
    <t>Sunway University; Swinburne University of Technology; Swinburne University of Technology; New York University</t>
  </si>
  <si>
    <t>Lim, WM (corresponding author), Sunway Univ, Sunway Business Sch, Sunway City 47500, Selangor, Malaysia.</t>
  </si>
  <si>
    <t>lim@wengmarc.com</t>
  </si>
  <si>
    <t>Lim, Weng Marc/I-1723-2019</t>
  </si>
  <si>
    <t>Lim, Weng Marc/0000-0001-7196-1923; Soon, Pei-Shan/0000-0003-0914-1232</t>
  </si>
  <si>
    <t>10.1002/mar.21884</t>
  </si>
  <si>
    <t>O9GG7</t>
  </si>
  <si>
    <t>WOS:001046825100001</t>
  </si>
  <si>
    <t>Zhang, LL; Zhao, QH</t>
  </si>
  <si>
    <t>Zhang, Linlin; Zhao, Qinghua</t>
  </si>
  <si>
    <t>Chinese adolescents' attitudes and beliefs about shy, unsociable, and socially avoidant peers</t>
  </si>
  <si>
    <t>SOCIAL DEVELOPMENT</t>
  </si>
  <si>
    <t>avoidance; gender; peer relationships; shyness; unsociability</t>
  </si>
  <si>
    <t>SHYNESS-SENSITIVITY; WITHDRAWAL; ADJUSTMENT; CHILDHOOD; SUBTYPES; PERCEPTIONS; SOLITUDE; CHILDREN; SCHOOL; 1ST</t>
  </si>
  <si>
    <t>Peers play an important role in socially withdrawn adolescents' adjustment. Using a dyadic peer-rating approach, this study examined adolescents' attitudes and beliefs about real-world, rather than hypothetical, subtypes of socially withdrawn peers. Data were drawn from 274 adolescents (M-age = 13.23 years, SD = .68; 52% boys) from rural China. Adolescents rated each classmate's withdrawal motivation (shyness, unsociability, and social avoidance) and attitudes and beliefs about each classmate, including affiliative preference, social acceptance, prosocial orientation, teacher liking, negative impact, and learning problems. Results indicated that adolescents had pervasive negative perceptions of socially avoidant peers on all the outcomes except for teacher liking, and occasionally negative perceptions of shy peers, including low social acceptance and more learning problems. In contrast, adolescents did not perceive unsociable peers differently compared to non-withdrawn peers. Gender differences were found only for social avoidance with avoidant girls occasionally eliciting more negative perceptions than avoidant boys. These findings uncovered the complexity of young adolescents' perceptions of socially withdrawn peers in rural China and highlight the need for more efforts to support the healthy development of socially avoidant adolescents.</t>
  </si>
  <si>
    <t>[Zhang, Linlin; Zhao, Qinghua] Capital Normal Univ, Sch Psychol, Key Lab Learning &amp; Cognit, Beijing, Peoples R China; [Zhang, Linlin] Capital Normal Univ, Sch Psychol, Beijing, Peoples R China</t>
  </si>
  <si>
    <t>Capital Normal University; Capital Normal University</t>
  </si>
  <si>
    <t>Zhang, LL (corresponding author), Capital Normal Univ, Sch Psychol, Beijing, Peoples R China.</t>
  </si>
  <si>
    <t>linlin.zhang@cnu.edu.cn</t>
  </si>
  <si>
    <t>Science and Technology Foundation of Beijing Municipal Commission of Education [KM202110028005]</t>
  </si>
  <si>
    <t>Science and Technology Foundation of Beijing Municipal Commission of Education</t>
  </si>
  <si>
    <t>ACKNOWLEDGMENTS This study was supported by the funding from Science and Technology Foundation of Beijing Municipal Commission of Education (KM202110028005). We thank the participating students, schools, and research assistants for the support.</t>
  </si>
  <si>
    <t>0961-205X</t>
  </si>
  <si>
    <t>1467-9507</t>
  </si>
  <si>
    <t>SOC DEV</t>
  </si>
  <si>
    <t>Soc. Dev.</t>
  </si>
  <si>
    <t>10.1111/sode.12704</t>
  </si>
  <si>
    <t>O8TB0</t>
  </si>
  <si>
    <t>WOS:001046475700001</t>
  </si>
  <si>
    <t>Zhu, Y; Wang, LM; Liu, R; Ding, XR; Yin, S; Chen, YK; Zhu, CL; Wang, Z; Li, WT</t>
  </si>
  <si>
    <t>Zhu, Yu; Wang, Longmei; Liu, Rui; Ding, Xiurong; Yin, Song; Chen, Yuankun; Zhu, Chuanlong; Wang, Zheng; Li, Wenting</t>
  </si>
  <si>
    <t>Inhibition of PRMT1 alleviates sepsis-induced acute kidney injury in mice by blocking the TGF-beta 1 and IL-6 trans-signaling pathways</t>
  </si>
  <si>
    <t>acute kidney injury; IL-6; protein arginine methyltransferase-1; sepsis; TGF-beta 1</t>
  </si>
  <si>
    <t>PROTEIN ARGININE METHYLTRANSFERASE; MESENCHYMAL TRANSITION; RENAL FIBROSIS; TISSUE-REPAIR; INTERLEUKIN-6; INFLAMMATION; ACTIVATION; EXPRESSION; METHYLATION; DAMAGE</t>
  </si>
  <si>
    <t>Sepsis-induced acute kidney injury (SI-AKI) causes renal dysfunction and has a high mortality rate. Protein arginine methyltransferase-1 (PRMT1) is a key regulator of renal insufficiency. In the present study, we explored the potential involvement of PRMT1 in SI-AKI. A murine model of SI-AKI was induced by cecal ligation and perforation. The expression and localization of PRMT1 and molecules involved in the transforming growth factor (TGF)-beta 1/Smad3 and interleukin (IL)-6/signal transducer and activator of transcription 3 (STAT3) signaling pathways were detected in mouse kidney tissues by western blot analysis, immunofluorescence, and immunohistochemistry. The association of PRMT1 with downstream molecules of the TGF-beta 1/Smad3 and IL-6/STAT3 signaling pathways was further verified in vitro in mouse renal tubular epithelial cells. Cecal ligation and perforation caused epithelial-mesenchymal transition, apoptosis, and inflammation in renal tissues, and this was alleviated by inhibition of PRMT1. Inhibition of PRMT1 in SI-AKI mice decreased the expression of TGF-beta 1 and phosphorylation of Smad3 in the renal cortex, and downregulated the expression of soluble IL-6R and phosphorylation of STAT3 in the medulla. Knockdown of PRMT1 in mouse renal tubular epithelial cells restricted the expression of Cox-2, E-cadherin, Pro-caspase3, and phosphorylated Smad3 (involved in the TGF-beta 1-mediated signaling pathway), and also blocked IL-6/soluble IL-6R, inducing the expression of Cox-2 and phosphorylated-STAT3. In conclusion, our findings suggest that inhibition of PRMT1 mitigates SI-AKI by inactivating the TGF-beta 1/Smad3 pathway in the cortex and the IL-6/STAT3 pathway in the medulla. Our findings may aid in the identification of potential therapeutic target molecules for SI-AKI.</t>
  </si>
  <si>
    <t>[Zhu, Yu] Univ Chinese Acad Sci Guangming, Shenzhen Hosp, Nephrol Dept, Shenzhen, Peoples R China; [Wang, Longmei] Enze Med Ctr, Dept Infect Dis, Linhai, Peoples R China; [Liu, Rui; Chen, Yuankun; Zhu, Chuanlong; Li, Wenting] Hainan Med Univ, Affiliated Hosp 2, Dept Infect &amp; Trop Dis, Haikou 570100, Peoples R China; [Liu, Rui; Chen, Yuankun; Li, Wenting] Hainan Med Univ, Natl Hlth Commiss, Key Lab Trop Dis Control, Haikou, Peoples R China; [Ding, Xiurong] Bengbu Med Coll, Grad Sch, Bengbu, Peoples R China; [Yin, Song] Univ Sci &amp; Technol China, Affiliated Hosp USTC 1, Dept Infect Dis, Div Life Sci &amp; Med, Hefei, Peoples R China; [Yin, Song] Wannan Med Coll, Wuhu, Peoples R China; [Zhu, Chuanlong] Nanjing Med Univ, Affiliated Hosp 1, Dept Infect Dis, Nanjing, Peoples R China; [Wang, Zheng] Zhengzhou Univ, Dept Resp &amp; Crit Med, Peoples Hosp, Zhengzhou 450003, Peoples R China; [Li, Wenting] Anhui Med Univ, Affiliated Hosp 1, Dept Infect Dis, Hefei, Peoples R China</t>
  </si>
  <si>
    <t>Hainan Medical University; Hainan Medical University; Bengbu Medical College; Chinese Academy of Sciences; University of Science &amp; Technology of China, CAS; Wannan Medical College; Nanjing Medical University; Zhengzhou University; Anhui Medical University</t>
  </si>
  <si>
    <t>Li, WT (corresponding author), Hainan Med Univ, Affiliated Hosp 2, Dept Infect &amp; Trop Dis, Haikou 570100, Peoples R China.;Wang, Z (corresponding author), Zhengzhou Univ, Dept Resp &amp; Crit Med, Peoples Hosp, Zhengzhou 450003, Peoples R China.</t>
  </si>
  <si>
    <t>santawang99@163.com; wtl9911002@163.com</t>
  </si>
  <si>
    <t>National Science Foundation of China [82260125]; Hainan Provincial Natural Science Foundation of China [822MS181, 823RC591]; Key Project of Anhui Province [S202104j07020097]; Hainan Province Clinical Medical Center</t>
  </si>
  <si>
    <t>National Science Foundation of China(National Natural Science Foundation of China (NSFC)); Hainan Provincial Natural Science Foundation of China; Key Project of Anhui Province; Hainan Province Clinical Medical Center</t>
  </si>
  <si>
    <t>Acknowledgments This study was supported by National Science Foundation of China (No. 82260125), Hainan Provincial Natural Science Foundation of China (Nos 822MS181, 823RC591), and Key Project of Anhui Province (No. S202104j07020097), and the project was supported by Hainan Province Clinical Medical Center. Western blot analysis and other experiments were partially supported by Associate Professor Yuxue Wang from the Hubei Tongen Biotechnology Co., Ltd.</t>
  </si>
  <si>
    <t>10.1002/2211-5463.13684</t>
  </si>
  <si>
    <t>O9EU2</t>
  </si>
  <si>
    <t>WOS:001046786400001</t>
  </si>
  <si>
    <t>Zong, ZH; Xie, W; Gao, FX; Shen, JY; Pan, ZC; Liang, LL</t>
  </si>
  <si>
    <t>Zong, Zhihui; Xie, Wen; Gao, Fangxin; Shen, Jingyi; Pan, Zhicheng; Liang, Lili</t>
  </si>
  <si>
    <t>Tumor microenvironment-activatable oridonin-loaded iron-based metal-organic frameworks for targeting cancer therapy</t>
  </si>
  <si>
    <t>APPLIED ORGANOMETALLIC CHEMISTRY</t>
  </si>
  <si>
    <t>anticancer; drug delivery; metal-organic frameworks; nanoparticles; oridonin</t>
  </si>
  <si>
    <t>DRUG-DELIVERY; NANOPARTICLES</t>
  </si>
  <si>
    <t>Oridonin (Ori) is a natural active component with superior anticancer properties; however, its clinical application is severely limited by the inherent properties of short half-life, limited bioavailability, and low water solubility. Some metal-organic frameworks (MOFs) materials have unique porous structure and appropriate nanometer particle size that are attractive in drug delivery. Herein, a folic acid (FA)-functionalized Fe-MOF was designed to efficiently incorporate Ori for targeting delivery to cancer cells and improve anticancer effects. The synthesized Fe-MOF-FA@Ori showed an average particle size of 200 nm with a loading capacity of 12.57%. The cytotoxicity assay confirmed that Fe-MOF-FA@Ori was effective in inhibiting the proliferation of SMMC-7721 cells. Mechanistically, the synthesized nanoparticle induced apoptosis and blocked the progression of the G0/G1 phase cell cycle on SMMC-7721 cells. Cell metastasis and invasion assays demonstrated that Fe-MOF-FA@Ori had good anti-metastatic ability against SMMC-7721 cells. Overall, Fe-MOF-FA is a potent drug carrier for targeting cancer therapy.</t>
  </si>
  <si>
    <t>[Zong, Zhihui; Xie, Wen; Gao, Fangxin; Shen, Jingyi; Pan, Zhicheng; Liang, Lili] Bengbu Med Coll, Dept Chem, Anhui Prov Key Lab Translat Canc Res, Bengbu, Peoples R China; [Liang, Lili] Bengbu Med Coll, Anhui Prov Key Lab Translat Canc Res, Dept Chem, Donghai Ave, Bengbu 233030, Anhui, Peoples R China</t>
  </si>
  <si>
    <t>Bengbu Medical College; Bengbu Medical College</t>
  </si>
  <si>
    <t>Liang, LL (corresponding author), Bengbu Med Coll, Anhui Prov Key Lab Translat Canc Res, Dept Chem, Donghai Ave, Bengbu 233030, Anhui, Peoples R China.</t>
  </si>
  <si>
    <t>0200166@bbmc.edu.cn</t>
  </si>
  <si>
    <t>Bengbu Medical College [51201201, 2020byzd046]; Anhui Education Department [2022AH051465]</t>
  </si>
  <si>
    <t>Bengbu Medical College; Anhui Education Department</t>
  </si>
  <si>
    <t>ACKNOWLEDGMENTS This work was supported by the Bengbu Medical College under grants 51201201 and 2020byzd046 and Anhui Education Department under grant 2022AH051465.</t>
  </si>
  <si>
    <t>0268-2605</t>
  </si>
  <si>
    <t>1099-0739</t>
  </si>
  <si>
    <t>APPL ORGANOMET CHEM</t>
  </si>
  <si>
    <t>Appl. Organomet. Chem.</t>
  </si>
  <si>
    <t>10.1002/aoc.7217</t>
  </si>
  <si>
    <t>Chemistry, Applied; Chemistry, Inorganic &amp; Nuclear</t>
  </si>
  <si>
    <t>S1PW5</t>
  </si>
  <si>
    <t>WOS:001046134500001</t>
  </si>
  <si>
    <t>Chen, ZY; Yue, ZQ; Yang, KQ; Shen, CR; Cheng, Z; Zhou, XF; Li, SL</t>
  </si>
  <si>
    <t>Chen, Ziyin; Yue, Ziqi; Yang, Kaiqi; Shen, Congrong; Cheng, Zhe; Zhou, Xiaofeng; Li, Shenglong</t>
  </si>
  <si>
    <t>Four Ounces Can Move a Thousand Pounds: The Enormous Value of Nanomaterials in Tumor Immunotherapy</t>
  </si>
  <si>
    <t>anti-tumors; inorganics; immunotherapy; nanomaterials; organics</t>
  </si>
  <si>
    <t>MEMBRANE-COATED NANOPARTICLES; EPITHELIAL-MESENCHYMAL TRANSITION; POLYMER HYBRID NANOPARTICLES; CAR-T-CELLS; DRUG-DELIVERY; BREAST-CANCER; CHECKPOINT BLOCKADE; DENDRITIC CELLS; MICELLAR NANOPARTICLES; PHOTODYNAMIC THERAPY</t>
  </si>
  <si>
    <t>The application of nanomaterials in healthcare has emerged as a promising strategy due to their unique structural diversity, surface properties, and compositional diversity. In particular, nanomaterials have found a significant role in improving drug delivery and inhibiting the growth and metastasis of tumor cells. Moreover, recent studies have highlighted their potential in modulating the tumor microenvironment (TME) and enhancing the activity of immune cells to improve tumor therapy efficacy. Various types of nanomaterials are currently utilized as drug carriers, immunosuppressants, immune activators, immunoassay reagents, and more for tumor immunotherapy. Necessarily, nanomaterials used for tumor immunotherapy can be grouped into two categories: organic and inorganic nanomaterials. Though both have shown the ability to achieve the purpose of tumor immunotherapy, their composition and structural properties result in differences in their mechanisms and modes of action. Organic nanomaterials can be further divided into organic polymers, cell membranes, nanoemulsion-modified, and hydrogel forms. At the same time, inorganic nanomaterials can be broadly classified as nonmetallic and metallic nanomaterials. The current work aims to explore the mechanisms of action of these different types of nanomaterials and their prospects for promoting tumor immunotherapy.</t>
  </si>
  <si>
    <t>[Chen, Ziyin; Shen, Congrong; Zhou, Xiaofeng] China Japan Friendship Hosp, Dept Urol, Beijing 100029, Peoples R China; [Yue, Ziqi; Cheng, Zhe] Harbin Med Univ, Dept Forens Med, Harbin 150001, Peoples R China; [Yang, Kaiqi] Harbin Med Univ, Clin Med, Harbin 150001, Peoples R China; [Li, Shenglong] China Med Univ, Dalian Univ Technol, Canc Hosp, Liaoning Canc Hosp &amp; Inst,Ward Bone &amp; Soft Tissue, Shenyang 110042, Peoples R China; [Li, Shenglong] Liaoning Prov Key Lab Interdisciplinary Res Gastro, Shenyang 110042, Peoples R China</t>
  </si>
  <si>
    <t>China-Japan Friendship Hospital; Harbin Medical University; Harbin Medical University; Dalian University of Technology; China Medical University</t>
  </si>
  <si>
    <t>Zhou, XF (corresponding author), China Japan Friendship Hosp, Dept Urol, Beijing 100029, Peoples R China.;Li, SL (corresponding author), China Med Univ, Dalian Univ Technol, Canc Hosp, Liaoning Canc Hosp &amp; Inst,Ward Bone &amp; Soft Tissue, Shenyang 110042, Peoples R China.;Li, SL (corresponding author), Liaoning Prov Key Lab Interdisciplinary Res Gastro, Shenyang 110042, Peoples R China.</t>
  </si>
  <si>
    <t>zrUrologyZxf@yzjg.pumc.edu.cn; slli@cmu.edu.cn</t>
  </si>
  <si>
    <t>Li, Shenglong/W-4929-2019</t>
  </si>
  <si>
    <t>Li, Shenglong/0000-0003-2244-1184</t>
  </si>
  <si>
    <t>National Natural Science Foundation of China [81972403]</t>
  </si>
  <si>
    <t>Acknowledgements Z.C., Z.Y., and K.Y. contributed equally to this work. This work was financially supported by the National Natural Science Foundation of China (81972403).</t>
  </si>
  <si>
    <t>2023 AUG 11</t>
  </si>
  <si>
    <t>10.1002/adhm.202300882</t>
  </si>
  <si>
    <t>O7HY1</t>
  </si>
  <si>
    <t>WOS:001045488400001</t>
  </si>
  <si>
    <t>Fancher, RE</t>
  </si>
  <si>
    <t>Fancher, Raymond E.</t>
  </si>
  <si>
    <t>Harvard's quixotic pursuit of a new science: The rise and fall of the Department of Social Relations</t>
  </si>
  <si>
    <t>[Fancher, Raymond E.] York Univ, Dept Psychol, Toronto, ON, Canada</t>
  </si>
  <si>
    <t>York University - Canada</t>
  </si>
  <si>
    <t>Fancher, RE (corresponding author), York Univ, Dept Psychol, Toronto, ON, Canada.</t>
  </si>
  <si>
    <t>fancher@YORKU.CA</t>
  </si>
  <si>
    <t>10.1002/jhbs.22281</t>
  </si>
  <si>
    <t>O8YZ4</t>
  </si>
  <si>
    <t>WOS:001046633600001</t>
  </si>
  <si>
    <t>Hirschler, L; Sollmann, N; Schmitz-Abecassis, B</t>
  </si>
  <si>
    <t>Hirschler, L.; Sollmann, N.; Schmitz-Abecassis, B.</t>
  </si>
  <si>
    <t>Advanced MR Techniques for Preoperative Glioma Characterization: Part 1 (vol 57, pg 1655, 2023)</t>
  </si>
  <si>
    <t>10.1002/jmri.28933</t>
  </si>
  <si>
    <t>O8RL9</t>
  </si>
  <si>
    <t>WOS:001046431800001</t>
  </si>
  <si>
    <t>Kotha, S; Chaurasia, UN; Jena, K</t>
  </si>
  <si>
    <t>Kotha, Sambasivarao; Chaurasia, Usha Nandan; Jena, Kunkumita</t>
  </si>
  <si>
    <t>Ring-Rearrangement Metathesis Approach to Fused [5/5/6/5/5] and [6/5/5/5/5/6] Carbocyclic Derivatives.</t>
  </si>
  <si>
    <t>Cyclohexadiene; Grignard reaction; norbornene; oxacycles; ring-rearrangement metathesis</t>
  </si>
  <si>
    <t>CLOSING METATHESIS; NATURAL-PRODUCTS; (+/-)-HIRSUTENE; CONSTRUCTION; DESIGN</t>
  </si>
  <si>
    <t>Here, we have developed a simple synthetic approach towards synthesis of [5/6/5] and [5/5/5] fused carbocyclic frameworks from bis-adducts of norbornadiene and cyclohexadiene derivatives with 1,2,3,4-tetrachloro-5,5-dimethoxycyclopentadiene by employing atom-economic ring-rearrangement metathesis as a key step and these ring systems are core units in natural products. Here, we have designed highly congested polycyclic frameworks and introduced molecular complexity in a minimum number of steps. These targets contain up to seven stereo centres. Hence, this strategy can be used to design many different drug-like molecules valuable in medicinal chemistry.</t>
  </si>
  <si>
    <t>[Kotha, Sambasivarao; Chaurasia, Usha Nandan; Jena, Kunkumita] Indian Inst Technol, Dept Chem, Mumbai 400076, India</t>
  </si>
  <si>
    <t>Indian Institute of Technology System (IIT System); Indian Institute of Technology (IIT) - Bombay</t>
  </si>
  <si>
    <t>Kotha, S (corresponding author), Indian Inst Technol, Dept Chem, Mumbai 400076, India.</t>
  </si>
  <si>
    <t>srk@chem.iitb.ac.in</t>
  </si>
  <si>
    <t>Kotha, Sambasivarao/F-7822-2011</t>
  </si>
  <si>
    <t>Kotha, Sambasivarao/0000-0002-7173-0233</t>
  </si>
  <si>
    <t>AUG 11</t>
  </si>
  <si>
    <t>e202302094</t>
  </si>
  <si>
    <t>10.1002/slct.202302094</t>
  </si>
  <si>
    <t>O3VN9</t>
  </si>
  <si>
    <t>WOS:001043129000001</t>
  </si>
  <si>
    <t>Lee, JY</t>
  </si>
  <si>
    <t>Lee, J. Y.</t>
  </si>
  <si>
    <t>Teaching &amp; Learning Guide for: Relational Approaches to Personal Autonomy</t>
  </si>
  <si>
    <t>PHILOSOPHY COMPASS</t>
  </si>
  <si>
    <t>[Lee, J. Y.] Univ Copenhagen, Dept Publ Hlth, Copenhagen, Denmark</t>
  </si>
  <si>
    <t>University of Copenhagen</t>
  </si>
  <si>
    <t>Lee, JY (corresponding author), Univ Copenhagen, Dept Publ Hlth, Copenhagen, Denmark.</t>
  </si>
  <si>
    <t>ji.young.lee@sund.ku.dk</t>
  </si>
  <si>
    <t>Lee, J. Y./0000-0003-1573-7139</t>
  </si>
  <si>
    <t>Velux foundation grant [00026589]</t>
  </si>
  <si>
    <t>Velux foundation grant</t>
  </si>
  <si>
    <t>I am grateful to receive funding from a Velux foundation grant [Project number: 00026589].</t>
  </si>
  <si>
    <t>1747-9991</t>
  </si>
  <si>
    <t>PHILOS COMPASS</t>
  </si>
  <si>
    <t>Philos. Compass</t>
  </si>
  <si>
    <t>10.1111/phc3.12943</t>
  </si>
  <si>
    <t>R4CH8</t>
  </si>
  <si>
    <t>WOS:001045999600001</t>
  </si>
  <si>
    <t>Liu, W; Wang, SY; Shi, P</t>
  </si>
  <si>
    <t>Liu, Wei; Wang, Shuoyu; Shi, Peng</t>
  </si>
  <si>
    <t>Nonlinear control design for walking assistance training robotic systems</t>
  </si>
  <si>
    <t>control input; nonlinear dynamical system; state feedback control; tilt angle; walking assistance training robot</t>
  </si>
  <si>
    <t>EXOSKELETON; CRUTCHES; WALKER; AID</t>
  </si>
  <si>
    <t>In this paper, the control problem for a novel walking assistance training robot is considered where the main objective is utilizing the robot to control the tilt angle and the position of a user. First, the novel walking assistance training robot together with a user is modeled as a nonlinear dynamical system in state space form with control input where the control input includes two elements standing for pulling forces on two straps which attach to the chest and back, respectively, of the user. Then, based on the nonlinear dynamical system and some results proposed in this paper, a feedback control system is developed, and a nonlinear state feedback control algorithm is designed where the control input includes two parts, namely, a dynamical part and a constant part. By doing this, it is ensured that the feedback control system is stable, and achieves the main objective under some limits for the control input. A simulation example is given to illustrate the effectiveness and performance of the proposed nonlinear state feedback control algorithm.</t>
  </si>
  <si>
    <t>[Liu, Wei] Kochi Univ Technol, Res Inst, Kochi, Japan; [Liu, Wei] Zhejiang Gongshang Univ, Sch Informat &amp; Elect Engn, Hangzhou, Peoples R China; [Wang, Shuoyu] Kochi Univ Technol, Sch Syst Engn, Kochi, Japan; [Shi, Peng] Univ Adelaide, Sch Elect &amp; Elect Engn, Adelaide, SA, Australia; [Shi, Peng] Obuda Univ, Res &amp; Innovat Centr, Budapest, Hungary; [Liu, Wei] Kochi Univ Technol, Res Inst, Kochi 7828502, Japan</t>
  </si>
  <si>
    <t>Kochi University Technology; Zhejiang Gongshang University; Kochi University Technology; University of Adelaide; Obuda University; Kochi University Technology</t>
  </si>
  <si>
    <t>Liu, W (corresponding author), Kochi Univ Technol, Res Inst, Kochi 7828502, Japan.</t>
  </si>
  <si>
    <t>intervalm@163.com</t>
  </si>
  <si>
    <t>Liu, Wei/0000-0001-7116-510X</t>
  </si>
  <si>
    <t>National Nature Science Foundation of China [62073125]; Australian Research Council [DP170102644]</t>
  </si>
  <si>
    <t>National Nature Science Foundation of China(National Natural Science Foundation of China (NSFC)); Australian Research Council(Australian Research Council)</t>
  </si>
  <si>
    <t>ACKNOWLEDGMENTS This work was partially supported by the National Nature Science Foundation of China (62073125), and the Australian Research Council (DP170102644). The authors would like to thank the Editor, and the anonymous reviewers for their constructive comments and suggestions, which helped to improve the quality of the manuscript.</t>
  </si>
  <si>
    <t>10.1002/rnc.6939</t>
  </si>
  <si>
    <t>O6RH6</t>
  </si>
  <si>
    <t>WOS:001045051600001</t>
  </si>
  <si>
    <t>MacDonald, T; Beggs, MR; O'Neill, D; Kozuka, K; Dimke, H; Alexander, RT</t>
  </si>
  <si>
    <t>MacDonald, Tate; Beggs, Megan R.; O'Neill, Debbie; Kozuka, Kenji; Dimke, Henrik; Alexander, R. Todd</t>
  </si>
  <si>
    <t>Increased Slc34a2 expression and paracellular phosphate permeability contribute to high intestinal phosphate absorption in young mice</t>
  </si>
  <si>
    <t>ACTA PHYSIOLOGICA</t>
  </si>
  <si>
    <t>claudins; NaPiIIb; phosphate</t>
  </si>
  <si>
    <t>VITAMIN-D; ALKALINE-PHOSPHATASE; I COTRANSPORTER; TRANSPORT; CALCIUM; IIA; HOMEOSTASIS; PHOSPHORUS; MUTATIONS; ONTOGENY</t>
  </si>
  <si>
    <t>AimPhosphorus is a critical constituent of bone as a component of hydroxyapatite. Bone mineral content accrues rapidly early in life necessitating a positive phosphorus balance, which could be established by a combination of increased renal reabsorption and intestinal absorption. Intestinal absorption can occur via a transcellular pathway mediated by the apical sodium-phosphate cotransporter, Slc34a2/NaPiIIb or via the paracellular pathway. We sought to determine how young mammals increase dietary phosphorus absorption from the small intestine to establish a positive phosphorus balance, a prerequisite for rapid bone growth. MethodsThe developmental expression profile of genes mediating phosphate absorption from the small intestine was determined in mice by qPCR and immunohistochemistry. Additionally, Ussing chamber studies were performed on small bowel of young (p7-p14) and older (8- to 17-week-old) mice to examine developmental changes in paracellular Pi permeability and transcellular Pi transport. ResultsBlood and urinary Pi levels were higher in young mice. Intestinal paracellular phosphate permeability of young mice was significantly increased relative to older mice across all intestinal segments. NaPiIIb expression was markedly increased in juvenile mice, in comparison to adult animals. Consistent with this, young mice had increased transcellular phosphate flux across the jejunum and ileum relative to older animals. Moreover, transcellular phosphate transport was attenuated by the NaPiIIb inhibitor NTX1942 in the jejunum and ileum of young mice. ConclusionOur results are consistent with young mice increasing phosphate absorption via increasing paracellular permeability and the NaPiIIb-mediated transcellular pathway.</t>
  </si>
  <si>
    <t>[MacDonald, Tate; Beggs, Megan R.; O'Neill, Debbie; Alexander, R. Todd] Univ Alberta, Dept Physiol, Edmonton, AB, Canada; [MacDonald, Tate; Beggs, Megan R.; Alexander, R. Todd] Women &amp; Childrens Hlth Res Inst, Edmonton, AB, Canada; [Kozuka, Kenji] Ardelyx Inc, Fremont, CA USA; [Dimke, Henrik] Univ Southern Denmark, Inst Mol Med, Dept Cardiovasc &amp; Renal Res, Odense, Denmark; [Dimke, Henrik] Odense Univ Hosp, Dept Nephrol, Odense, Denmark; [Alexander, R. Todd] Univ Alberta, Dept Pediat, Edmonton, AB, Canada; [Alexander, R. Todd] Univ Alberta, Edmonton Clin Hlth Acad, Dept Pediat, 4-585, 11405-87 Ave, Edmonton, AB T6G 2R7, Canada</t>
  </si>
  <si>
    <t>University of Alberta; University of Southern Denmark; University of Southern Denmark; Odense University Hospital; University of Alberta; University of Alberta</t>
  </si>
  <si>
    <t>Alexander, RT (corresponding author), Univ Alberta, Edmonton Clin Hlth Acad, Dept Pediat, 4-585, 11405-87 Ave, Edmonton, AB T6G 2R7, Canada.</t>
  </si>
  <si>
    <t>todd2@ualberta.ca</t>
  </si>
  <si>
    <t>Beggs, Megan/S-7030-2019; Dimke, Henrik/G-7970-2011</t>
  </si>
  <si>
    <t>Beggs, Megan/0000-0002-2690-1785; Dimke, Henrik/0000-0002-9170-2168</t>
  </si>
  <si>
    <t>Canadian Institutes of Health Research; Danmarks Frie Forskningsfond; Kidney Foundation of Canada; Natural Sciences and Engineering Research Council of Canada; Women and Children's Health Research Institute</t>
  </si>
  <si>
    <t>Canadian Institutes of Health Research(Canadian Institutes of Health Research (CIHR)); Danmarks Frie Forskningsfond; Kidney Foundation of Canada; Natural Sciences and Engineering Research Council of Canada(Natural Sciences and Engineering Research Council of Canada (NSERC)CGIAR); Women and Children's Health Research Institute</t>
  </si>
  <si>
    <t>1748-1708</t>
  </si>
  <si>
    <t>1748-1716</t>
  </si>
  <si>
    <t>ACTA PHYSIOL</t>
  </si>
  <si>
    <t>Acta Physiol.</t>
  </si>
  <si>
    <t>10.1111/apha.14029</t>
  </si>
  <si>
    <t>O7HU1</t>
  </si>
  <si>
    <t>WOS:001045484400001</t>
  </si>
  <si>
    <t>Nanaji, K; Rao, TN</t>
  </si>
  <si>
    <t>Nanaji, Katchala; Rao, Tata N. N.</t>
  </si>
  <si>
    <t>A High-Performance Dual-Carbon Na-Ion Capacitor Fabricated from a Single Biowaste Precursor</t>
  </si>
  <si>
    <t>carbon sheets; dual carbon; energy storage; hard carbon; sodium-ion capacitors</t>
  </si>
  <si>
    <t>HIGH-ENERGY; PETROLEUM COKE; LITHIUM; SUPERCAPACITOR; ELECTRODES; NANOSHEETS; CATHODE; BIOMASS; STORAGE; WELL</t>
  </si>
  <si>
    <t>A major limitation of sodium-ion capacitors (NIC) lies in their dissimilar charge storage mechanism of ion adsorption cathodes with fast reaction kinetics, versus battery-like anodes, having slow kinetics. It is possible to address this concern by designing NIC architecture with effective electrode strategies. In this study, a dual carbon NIC is constructed from a single bio-waste precursor (pistachio shell) by employing a facile approach to achieve a graphene sheet-like activated carbon cathode and disordered hard carbon anode as respective positive and negative electrodes. Detailed textural analysis of the activated carbon material indicates a highly ordered sp(2) carbon composition and a sheet-like morphology. The dual carbon NIC delivers a specific capacity of 71 mAh g(-1) and yields an excellent energy density of 141 Wh kg(-1) at 198 W kg(-1) (based on total active material mass) whereas the activated carbon-based supercapacitor exhibits an energy density of 24 Wh kg(-1) at 675 W kg(-1). Hence, the pistachios shell derived carbon sheets with large effective surface area possess sufficient porosity for facile ion transfer kinetics resulting in high adsorption capacity, while hard carbon anode with disordered structure facilitates Na-ion intercalation, thus balancing the electrode kinetics of both the electrode materials in NIC device.</t>
  </si>
  <si>
    <t>[Nanaji, Katchala; Rao, Tata N. N.] Int Adv Res Ctr Powder Met &amp; New Mat ARCI, Ctr Nanomat, Hyderabad 500005, India; [Nanaji, Katchala] Indian Inst Technol Bhilai, Dept Chem, Chhattisgarh 491001, India</t>
  </si>
  <si>
    <t>Department of Science &amp; Technology (India); International Advanced Research Centre for Powder Metallurgy &amp; New Materials (ARCI); Indian Institute of Technology System (IIT System); Indian Institute of Technology (IIT) Bhilai</t>
  </si>
  <si>
    <t>Nanaji, K (corresponding author), Int Adv Res Ctr Powder Met &amp; New Mat ARCI, Ctr Nanomat, Hyderabad 500005, India.;Nanaji, K (corresponding author), Indian Inst Technol Bhilai, Dept Chem, Chhattisgarh 491001, India.</t>
  </si>
  <si>
    <t>nanaji@iitbhilai.ac.in</t>
  </si>
  <si>
    <t>Department of Science and Technology (DST), Government of India [AI/1/65/ARCI/2014 (c)]</t>
  </si>
  <si>
    <t>Department of Science and Technology (DST), Government of India(Department of Science &amp; Technology (India))</t>
  </si>
  <si>
    <t>Acknowledgements To conduct this research, the financial assistance received as part of ARCI-TRC (reference number: AI/1/65/ARCI/2014 (c)) funded by the Department of Science and Technology (DST), Government of India, is highly acknowledged.</t>
  </si>
  <si>
    <t>10.1002/ente.202300493</t>
  </si>
  <si>
    <t>O7ZY4</t>
  </si>
  <si>
    <t>WOS:001045965500001</t>
  </si>
  <si>
    <t>Qu, LL; Min, YY; Hu, J; Hong, L</t>
  </si>
  <si>
    <t>Qu, Linlin; Min, Yuanyuan; Hu, Jin; Hong, Ling</t>
  </si>
  <si>
    <t>Design, Fabrication, and Performance Analysis of Fire-resistant Damping Polyurethane</t>
  </si>
  <si>
    <t>composites; damping property; fire resistance; mechanical properties; polyurethane</t>
  </si>
  <si>
    <t>CROSS-LINKING; COMPOSITES; DENSITY</t>
  </si>
  <si>
    <t>To improve the noise reduction and fire resistance of marine coating materials, some fire-resistant polyurethane damping materials were prepared by varying the ratio of esterified branched polyols (EBP) and the 1,4 butanediol (1,4 BD), the content, and the particle size of the mica filler. The effects of branch chain, mica filler content, and particle size in polyurethane structure on the mechanical, dynamic mechanical properties, and fire resistance of polyurethane and its polymerization process were studied. The experimental results showed that the effective damping temperature range of polyurethane material widened from 42.1 &amp; DEG;C to 76.6 &amp; DEG;C, and then narrowed to 31.2 &amp; DEG;C with the increase in EBP ratio. And the maximum loss factor (tan &amp; delta;(max)) of these samples is 0.989. The increase of mica content and the decrease of mica particle size in polyurethane damping materials make the dynamic mechanical properties of polyurethane damping materials present a trend of first improving and then impairing. Moreover, the mechanical properties of polyurethane enhanced with the increase of EBP and weakened with the increase of mica mass fraction. This research is expected to advance the development of marine coatings and address noise reduction and fire protection challenges for marine materials.</t>
  </si>
  <si>
    <t>[Qu, Linlin; Min, Yuanyuan; Hu, Jin; Hong, Ling] Shanghai Univ, Coll Sci, Dept Chem, Shanghai 200444, Peoples R China</t>
  </si>
  <si>
    <t>Shanghai University</t>
  </si>
  <si>
    <t>Hong, L (corresponding author), Shanghai Univ, Coll Sci, Dept Chem, Shanghai 200444, Peoples R China.</t>
  </si>
  <si>
    <t>HongL99@shu.edu.cn</t>
  </si>
  <si>
    <t>Hong, Ling/0000-0002-5415-027X</t>
  </si>
  <si>
    <t>Shanghai Huoke New Material Co. Ltd [21H01483]</t>
  </si>
  <si>
    <t>Shanghai Huoke New Material Co. Ltd</t>
  </si>
  <si>
    <t>Acknowledgments Funding: This work was funded by Shanghai Huoke New Material Co. Ltd (grant number 21H01483).</t>
  </si>
  <si>
    <t>e202204814</t>
  </si>
  <si>
    <t>10.1002/slct.202204814</t>
  </si>
  <si>
    <t>O3VM1</t>
  </si>
  <si>
    <t>WOS:001043127200001</t>
  </si>
  <si>
    <t>Tetsch, L</t>
  </si>
  <si>
    <t>Tetsch, Larissa</t>
  </si>
  <si>
    <t>Pretty calcified!</t>
  </si>
  <si>
    <t>CHEMIE IN UNSERER ZEIT</t>
  </si>
  <si>
    <t>German</t>
  </si>
  <si>
    <t>0009-2851</t>
  </si>
  <si>
    <t>1521-3781</t>
  </si>
  <si>
    <t>CHEM UNSERER ZEIT</t>
  </si>
  <si>
    <t>Chem. Unserer Zeit</t>
  </si>
  <si>
    <t>10.1002/ciuz.202300029</t>
  </si>
  <si>
    <t>O9XD2</t>
  </si>
  <si>
    <t>WOS:001047264800001</t>
  </si>
  <si>
    <t>Wang, HL; Chen, CJ; Yuan, H; Xu, QN; Liang, JP; Li, SS; Wang, WC; Yang, DZ</t>
  </si>
  <si>
    <t>Wang, Hong-Li; Chen, Chao-Jun; Yuan, Hao; Xu, Qing-Nan; Liang, Jian-Ping; Li, Si-Si; Wang, Wen-Chun; Yang, De-Zheng</t>
  </si>
  <si>
    <t>Efficient removal of Ni(II) by nanosecond pulsed discharge-modified resins: Characterization, capacity, and kinetics</t>
  </si>
  <si>
    <t>PLASMA PROCESSES AND POLYMERS</t>
  </si>
  <si>
    <t>functional groups; kinetic; nanosecond pulsed discharge; surface modification</t>
  </si>
  <si>
    <t>NONTHERMAL PLASMA; ADSORPTION; ACID; ION; CHROMIUM; CARBON</t>
  </si>
  <si>
    <t>A porous functionalized resin was produced using nanosecond pulsed discharge for the purpose of removing Ni(II). The implications of discharge time, O-2 concentration, and solution pH on adsorption capacity were explored. Studies indicated that nanosecond pulsed discharge-modified resins in 5 min of discharge time and 8% of O-2 concentration had a removal efficiency of 97.2%, and an increase of 36% compared to the raw. Furthermore, the residual Ni(II) concentration (0.3 mg/L) is well below the national permitted emission standard (0.5 mg/L). The rise in Ni(II) removal efficiency is associated with the increased specific surface area and oxygen-containing functional groups. Chemisorption played an important role in the removal of Ni(II) by raw and modified resins.</t>
  </si>
  <si>
    <t>[Wang, Hong-Li; Chen, Chao-Jun; Yuan, Hao; Xu, Qing-Nan; Liang, Jian-Ping; Li, Si-Si; Wang, Wen-Chun; Yang, De-Zheng] Dalian Univ Technol, Minist Educ, Key Lab Mat Modificat Laser Ion &amp; Electron Beams, Dalian, Peoples R China; [Yuan, Hao; Yang, De-Zheng] Dalian Univ Technol, Minist Educ, Key Lab Mat Modificat Laser Ion &amp; Electron Beams, Dalian 116024, Peoples R China</t>
  </si>
  <si>
    <t>Dalian University of Technology; Dalian University of Technology</t>
  </si>
  <si>
    <t>Yuan, H; Yang, DZ (corresponding author), Dalian Univ Technol, Minist Educ, Key Lab Mat Modificat Laser Ion &amp; Electron Beams, Dalian 116024, Peoples R China.</t>
  </si>
  <si>
    <t>yuanhao@dlut.edu.cn; yangdz@dlut.edu.cn</t>
  </si>
  <si>
    <t>National Natural Science Foundations of China [11965018, 52077026]; Science and Technology Development Fund of Xinjiang Production and Construction [2019BC009]; Fundamental Research Funds for the Central Universities [DUT21LK31]; China Postdoctoral Science Foundation [2022M710590]</t>
  </si>
  <si>
    <t>National Natural Science Foundations of China(National Natural Science Foundation of China (NSFC)); Science and Technology Development Fund of Xinjiang Production and Construction; Fundamental Research Funds for the Central Universities(Fundamental Research Funds for the Central Universities); China Postdoctoral Science Foundation(China Postdoctoral Science Foundation)</t>
  </si>
  <si>
    <t>ACKNOWLEDGMENTS This work is supported by the National Natural Science Foundations of China (Grant Nos. 11965018, 52077026), the Science and Technology Development Fund of Xinjiang Production and Construction (2019BC009), and the Fundamental Research Funds for the Central Universities (DUT21LK31), the China Postdoctoral Science Foundation (2022M710590).</t>
  </si>
  <si>
    <t>1612-8850</t>
  </si>
  <si>
    <t>1612-8869</t>
  </si>
  <si>
    <t>PLASMA PROCESS POLYM</t>
  </si>
  <si>
    <t>Plasma Process. Polym.</t>
  </si>
  <si>
    <t>10.1002/ppap.202300033</t>
  </si>
  <si>
    <t>Physics, Applied; Physics, Fluids &amp; Plasmas; Physics, Condensed Matter; Polymer Science</t>
  </si>
  <si>
    <t>Physics; Polymer Science</t>
  </si>
  <si>
    <t>O7HQ8</t>
  </si>
  <si>
    <t>WOS:001045481100001</t>
  </si>
  <si>
    <t>Wang, Q; Liu, Q; Jiang, Y; Xu, LW; Chen, Y; Li, JD; Zhu, LS; Chen, LW</t>
  </si>
  <si>
    <t>Wang, Qin; Liu, Qing; Jiang, Yong; Xu, Luwei; Chen, Yan; Li, Jindong; Zhu, Lusha; Chen, Linwei</t>
  </si>
  <si>
    <t>Synergistic mechanism of processing method for Qixue Shuangbu prescription in the treatment of chronic heart failure based on plasma metabolomics-Systematic bioinformatics</t>
  </si>
  <si>
    <t>molecular docking; network pharmacology; plasma metabolomics; Qixue Shuangbu prescription; synergistic mechanism</t>
  </si>
  <si>
    <t>TINCTURE</t>
  </si>
  <si>
    <t>Previous clinical studies have found that the efficacy of processed Qixue Shuangbu Prescription has been significantly improved in the treatment of chronic heart failure. However, the absorbed constituents and synergistic mechanisms of processed Qixue Shuangbu Prescription to enhance the therapeutic effect of chronic heart failure remain unclear. In this study, we propose an integrated strategy combining plasma metabolomics, network pharmacology, and molecular docking to study the absorbed constituents and synergistic mechanisms of processed Qixue Shuangbu Prescription. A total of 34 prototype constituents and 24 metabolites were identified in rat plasma after administration of crude and processed Qixue Shuangbu Prescription. As a result, six potential absorbed constituents and six potential targets for the treatment of chronic heart failure were identified. In addition, the result of molecular docking indicated that the key constituents exhibited good affinity to hub targets. This study showed that the multiomics approach could effectively clarify absorbed constituents and synergistic mechanisms of traditional Chinese medicine processing from a new perspective.</t>
  </si>
  <si>
    <t>[Wang, Qin; Liu, Qing; Jiang, Yong; Xu, Luwei; Chen, Yan; Li, Jindong; Zhu, Lusha; Chen, Linwei] Nanjing Med Univ, Affiliated Taizhou Peoples Hosp, Dept Pharm, Taizhou, Peoples R China; [Liu, Qing] Nanjing Univ Chinese Med, Sch Pharm, Nanjing, Peoples R China; [Zhu, Lusha; Chen, Linwei] Nanjing Med Univ, Affiliated Taizhou Peoples Hosp, Dept Pharm, Taizhou 225300, Peoples R China</t>
  </si>
  <si>
    <t>Nanjing Medical University; Nanjing University of Chinese Medicine; Nanjing Medical University</t>
  </si>
  <si>
    <t>Zhu, LS; Chen, LW (corresponding author), Nanjing Med Univ, Affiliated Taizhou Peoples Hosp, Dept Pharm, Taizhou 225300, Peoples R China.</t>
  </si>
  <si>
    <t>zhulusha0618@163.com; chenlinwei89@126.com</t>
  </si>
  <si>
    <t>zhang, shuai/IVU-7877-2023</t>
  </si>
  <si>
    <t>Chen, Linwei/0000-0002-7702-5738</t>
  </si>
  <si>
    <t>National Natural Science Foundation of China [81903802]; Postgraduate Research amp; Practice Innovation Program of Jiangsu Province [KYCX22_2028]; Jiangsu Administration of traditional Chinese Medicine [JD2019SZXYB18, JD2019SZXYB19, YB2020090]; Taizhou Science and Technology Bureau [TN202112]; Taizhou fifth 311 Project scientific research project [RCPY202126]; Taizhou Municipal Health Commission [TZ202115]</t>
  </si>
  <si>
    <t>National Natural Science Foundation of China(National Natural Science Foundation of China (NSFC)); Postgraduate Research amp; Practice Innovation Program of Jiangsu Province; Jiangsu Administration of traditional Chinese Medicine; Taizhou Science and Technology Bureau; Taizhou fifth 311 Project scientific research project; Taizhou Municipal Health Commission</t>
  </si>
  <si>
    <t>National Natural Science Foundation of China, Grant/Award Number: 81903802; Postgraduate Research &amp; amp; Practice Innovation Program of Jiangsu Province, Grant/Award Number: KYCX22_2028; Jiangsu Administration of traditional Chinese Medicine, Grant/Award Numbers: JD2019SZXYB18, JD2019SZXYB19, YB2020090; Taizhou Science and Technology Bureau, Grant/Award Number: TN202112; Taizhou fifth 311 Project scientific research project, Grant/Award Number: RCPY202126; Taizhou Municipal Health Commission, Grant/Award Number: TZ202115</t>
  </si>
  <si>
    <t>10.1002/jssc.202300175</t>
  </si>
  <si>
    <t>O8VR7</t>
  </si>
  <si>
    <t>WOS:001046547000001</t>
  </si>
  <si>
    <t>Wang, XW; Liu, HR; Shu, LX; Yao, YQ; Xu, YY; Wei, JX; Li, YB</t>
  </si>
  <si>
    <t>Wang, Xiaowen; Liu, Huiru; Shu, Lexin; Yao, Yaqi; Xu, Yanyan; Wei, Jinxia; Li, Yubo</t>
  </si>
  <si>
    <t>Rapid identification of chemical constituents in Hugan tablets by ultra-performance liquid chromatography-quadrupole-exactive orbitrap mass spectrometry</t>
  </si>
  <si>
    <t>Chinese medicine preparations; component analysis; Hugan Tablet; mass spectrometry; ultra-performance liquid chromatography</t>
  </si>
  <si>
    <t>SCHISANDRA-CHINENSIS; ANTIOXIDANT; EXTRACT; MS/MS; METABOLITES; GERMINATION; ACIDS; L.</t>
  </si>
  <si>
    <t>Hugan tablet is a Chinese medicine preparation. It is composed of Bupleuri Radix, Artemisiae Scopariae Herba, Isatidis Radix, Schisandrae Chinensis Fructus, Suis Fellis Pulvis, and Vigna radiata L. It has the effects of dispersing stagnated liver qi, strengthening the spleen and eliminating food to be used for the treatment of chronic hepatitis and early cirrhosis. However, the chemical composition of Hugan tablet is complex and not fully understood, which hampers the research in pharmacology. In this study, a reliable method for the rapid analysis and identification of the chemical components in Hugan tablet by their characteristic fragments and neutral losses using ultra-performance liquid chromatography-quadrupole-exactive orbitrap mass spectrometry was developed. A total of 144 chemical components were tentatively identified, including 57 organic acids, 19 flavonoids, 23 alkaloids, 18 lignans, 7 saponins, and 20 others. These components may be the active ingredients of Hugan tablet. The established method can systematically and rapidly analyze the chemical components in Hugan tablet, which provides a basis for the pharmacodynamic substance study and is meaningful for the quality control of Hugan tablet.</t>
  </si>
  <si>
    <t>[Wang, Xiaowen; Liu, Huiru; Shu, Lexin; Yao, Yaqi; Xu, Yanyan; Wei, Jinxia; Li, Yubo] Tianjin Univ Tradit Chinese Med, Sch Chinese Mat Med, Tianjin, Peoples R China; [Li, Yubo] Tianjin Univ Tradit Chinese Med, 10 Poyang Lake Rd, West Zone,Tuanbo New City, Tianjin 301617, Peoples R China</t>
  </si>
  <si>
    <t>Tianjin University of Traditional Chinese Medicine; Tianjin University of Traditional Chinese Medicine</t>
  </si>
  <si>
    <t>Li, YB (corresponding author), Tianjin Univ Tradit Chinese Med, 10 Poyang Lake Rd, West Zone,Tuanbo New City, Tianjin 301617, Peoples R China.</t>
  </si>
  <si>
    <t>yaowufenxi001@sina.com</t>
  </si>
  <si>
    <t>10.1002/jssc.202300302</t>
  </si>
  <si>
    <t>O7YT8</t>
  </si>
  <si>
    <t>WOS:001045933600001</t>
  </si>
  <si>
    <t>Zhang, L; Zhang, XF; Han, DD; Zhai, LP; Mi, LW</t>
  </si>
  <si>
    <t>Zhang, Lin; Zhang, Xiaofei; Han, Diandian; Zhai, Lipeng; Mi, Liwei</t>
  </si>
  <si>
    <t>Recent Progress in Design Principles of Covalent Organic Frameworks for Rechargeable Metal-Ion Batteries</t>
  </si>
  <si>
    <t>SMALL METHODS</t>
  </si>
  <si>
    <t>covalent organic frameworks; metal-ion batteries; rational design; working mechanisms</t>
  </si>
  <si>
    <t>CATHODE MATERIALS; ELECTRODE MATERIALS; ENERGY-STORAGE; LITHIUM STORAGE; CRYSTALLINE; POLYMER</t>
  </si>
  <si>
    <t>Covalent organic frameworks (COFs) are acknowledged as a new generation of crystalline organic materials and have garnered tremendous attention owing to their unique advantages of structural tunability, frameworks diversity, functional versatility, and diverse applications in drug delivery, adsorption/separation, catalysis, optoelectronics, and sensing, etc. Recently, COFs is proven to be promising candidates for electrochemical energy storage materials. Their chemical compositions and structures can be precisely tuned and functionalized at the molecular level, allowing a comprehensive understanding of COFs that helps to make full use of their features and addresses the inherent drawback based on the components and functions of the devices. In this review, the working mechanisms and the distinguishing advantages of COFs as electrodes for rechargeable Li-ion batteries are discussed in detail. Especially, principles and strategies for the rational design of COFs as advanced electrode materials in Li-ion batteries are systematically summarized. Finally, this review is structured to cover recent explorations and applications of COF electrode materials in other rechargeable metal-ion batteries.</t>
  </si>
  <si>
    <t>[Zhang, Lin; Zhang, Xiaofei; Han, Diandian; Zhai, Lipeng; Mi, Liwei] Zhongyuan Univ Technol, Ctr Adv Mat Res, Henan Key Lab Funct Salt Mat, Zhengzhou 450007, Peoples R China</t>
  </si>
  <si>
    <t>Zhai, LP; Mi, LW (corresponding author), Zhongyuan Univ Technol, Ctr Adv Mat Res, Henan Key Lab Funct Salt Mat, Zhengzhou 450007, Peoples R China.</t>
  </si>
  <si>
    <t>zhailp@zut.edu.cn; liwei_mi@zut.edu.cn</t>
  </si>
  <si>
    <t>National Natural Science Foundation of China [22101309, 52103277, U1804126]; Program for Science amp; Technology Innovation Talents in Universities of Henan Province [23HASTIT015]; Key Projects of Science and Technology of Henan Province [222102240098]; Key Scientific Research Project of Henan Universities [21A150061]</t>
  </si>
  <si>
    <t>National Natural Science Foundation of China(National Natural Science Foundation of China (NSFC)); Program for Science amp; Technology Innovation Talents in Universities of Henan Province; Key Projects of Science and Technology of Henan Province; Key Scientific Research Project of Henan Universities</t>
  </si>
  <si>
    <t>Acknowledgements This work was supported financially by the National Natural Science Foundation of China (grant numbers 22101309, 52103277, and U1804126), the Program for Science &amp; Technology Innovation Talents in Universities of Henan Province (23HASTIT015), the Key Projects of Science and Technology of Henan Province (222102240098), and the Key Scientific Research Project of Henan Universities (21A150061).</t>
  </si>
  <si>
    <t>2366-9608</t>
  </si>
  <si>
    <t>Small Methods</t>
  </si>
  <si>
    <t>10.1002/smtd.202300687</t>
  </si>
  <si>
    <t>O8AV8</t>
  </si>
  <si>
    <t>WOS:001045988900001</t>
  </si>
  <si>
    <t>Zhao, YM; Zhou, ZH; Liu, XL; Ren, A; Ji, SY; Guan, YW; Liu, Z; Liu, HD; Li, PH; Hu, FQ; Zhao, YS</t>
  </si>
  <si>
    <t>Zhao, Yiman; Zhou, Zhonghao; Liu, Xiaolong; Ren, Ang; Ji, Shiyang; Guan, Yuwei; Liu, Zhen; Liu, Haidi; Li, Penghao; Hu, Fengqin; Zhao, Yong Sheng</t>
  </si>
  <si>
    <t>Chiral 2D/Quasi-2D Perovskite Heterojunction Nanowire Arrays for High-Performance Full-Stokes Polarization Detection</t>
  </si>
  <si>
    <t>chiral perovskites; full-Stokes; heterojunction; nanowire arrays; photodetectors</t>
  </si>
  <si>
    <t>LIGHT</t>
  </si>
  <si>
    <t>The realization of Stokes photodetectors accelerates the development of various modern optoelectronic applications. Chiral 2D perovskites with intrinsic chiral optical activity and superior carrier mobility are promising for next-generation full-Stokes polarization detection. So far, most of the chiral 2D metal-halide perovskite-based photodetectors suffer from limited discrimination of circularly polarized light due to the high exciton recombination rate in single-phase perovskite, impeding the accurate measurement for Stokes parameters. Here, an on-chip Stokes photodetector based on chiral 2D/quasi-2D perovskite lateral heterojunction nanowire (NW) arrays with high polarization selectivity and photoresponsiveness is reported. The highly-aligned heterojunction NW arrays not only build up a built-in electric field for enhanced chiral discrimination, but also possess intrinsic anisotropy that enables outstanding linear polarization response. On this basis, the device exhibits reliable ability for polarization detection with a high anisotropy factor of 0.38, an outstanding polarized ratio of 1.5, and an excellent responsivity of 22.14 A W-1. These results will provide useful enlightenment for direct full-Stokes polarization detection in optoelectronic integrated circuits.</t>
  </si>
  <si>
    <t>[Zhao, Yiman; Guan, Yuwei; Liu, Zhen; Hu, Fengqin] Beijing Normal Univ, China Coll Chem, Beijing 100875, Peoples R China; [Zhao, Yiman; Liu, Xiaolong; Ren, Ang; Ji, Shiyang; Liu, Haidi; Li, Penghao; Zhao, Yong Sheng] Chinese Acad Sci, Inst Chem, Key Lab Photochem, Beijing 100190, Peoples R China; [Liu, Xiaolong; Ren, Ang; Ji, Shiyang; Liu, Haidi; Li, Penghao; Zhao, Yong Sheng] Univ Chinese Acad Sci, Beijing 100049, Peoples R China</t>
  </si>
  <si>
    <t>Beijing Normal University; Chinese Academy of Sciences; Institute of Chemistry, CAS; Chinese Academy of Sciences; University of Chinese Academy of Sciences, CAS</t>
  </si>
  <si>
    <t>Zhao, YS (corresponding author), Chinese Acad Sci, Inst Chem, Key Lab Photochem, Beijing 100190, Peoples R China.;Zhao, YS (corresponding author), Univ Chinese Acad Sci, Beijing 100049, Peoples R China.</t>
  </si>
  <si>
    <t>yszhao@iccas.ac.cn</t>
  </si>
  <si>
    <t>National Natural Science Foundation of China [21973007, 22090023, 22103091]; Ministry of Science and Technology of China [2017YFA0204502]; Postdoctoral Innovation Talent Support Project [BX2021318]</t>
  </si>
  <si>
    <t>National Natural Science Foundation of China(National Natural Science Foundation of China (NSFC)); Ministry of Science and Technology of China(Ministry of Science and Technology, China); Postdoctoral Innovation Talent Support Project</t>
  </si>
  <si>
    <t>Acknowledgements Y.Z. and Z.Z. contributed equally to this work. This work was supported financially by the National Natural Science Foundation of China (Grant nos. 21973007, 22090023, and 22103091), the Ministry of Science and Technology of China (Grant no. 2017YFA0204502), and the Postdoctoral Innovation Talent Support Project (Grant no. BX2021318).</t>
  </si>
  <si>
    <t>10.1002/adom.202301239</t>
  </si>
  <si>
    <t>O6UU9</t>
  </si>
  <si>
    <t>WOS:001045143100001</t>
  </si>
  <si>
    <t>Aida, T; Haruki, K; Akaoka, M; Furukawa, K; Onda, S; Shirai, Y; Shiozaki, H; Takahashi, K; Oikawa, T; Ikegami, T</t>
  </si>
  <si>
    <t>Aida, Takashi; Haruki, Koichiro; Akaoka, Munetoshi; Furukawa, Kenei; Onda, Shinji; Shirai, Yoshihiro; Shiozaki, Hironori; Takahashi, Keita; Oikawa, Tsunekazu; Ikegami, Toru</t>
  </si>
  <si>
    <t>A novel combined C-reactive protein-albumin ratio and modified albumin-bilirubin score can predict long-term outcomes in patients with hepatocellular carcinoma after hepatic resection</t>
  </si>
  <si>
    <t>ALBI; hepatic functional reserve; hepatic resection; hepatocellular carcinoma; systemic inflammatory response</t>
  </si>
  <si>
    <t>TO-LYMPHOCYTE RATIO; LIVER RESECTION; CANCER; PROGNOSIS; INDEX; GRADE; ALBI; HEPATECTOMY; COMBINATION; VALIDATION</t>
  </si>
  <si>
    <t>BackgroundSystemic inflammatory response represented by C-reactive protein and albumin ratio (CAR) and modified albumin-bilirubin (mALBI) grade both have been associated with long-term outcome in patients with hepatocellular carcinoma (HCC). In this study, we investigated the prognostic utility of combined score of CAR and mALBI score to predict the prognosis of HCC patients after hepatic resection.MethodsThis study included 214 patients who had undergone primary hepatic resection for HCC between 2008 and 2018. Systemic inflammatory response and mALBI were evaluated preoperatively and patients were classified into three groups based on the combination of CAR and mALBI score: low CAR and low mALBI grade (score 0), either high CAR or high mALBI grade (score 1), and both high CAR and high mALBI grade &amp; GE;2b (score 2). Multivariate Cox proportional hazard models were conducted to assess disease-free and overall survival.ResultsIn multivariate analysis, sex (p &lt; 0.01), HBsAg positivity (p &lt; 0.01), serum AFP level = 20 ng/mL (p &lt; 0.01), microvascular invasion (p = 0.02), multiple tumors (p &lt; 0.01), type of resection (p &lt; 0.01), and CAR-mALBI score = 2 (HR 2.19, 95% CI 1.39-3.44, p &lt; 0.01) were independent prognostic factors of disease-free survival, while sex (p = 0.01), HBsAg positivity (p &lt; 0.01), poor tumor differentiation (p = 0.03), multiple tumors (p &lt; 0.01), CAR-mALBI score = 2 (HR 2.70, 95% CI 1.51-4.83, p &lt; 0.01) were independent prognostic factors of overall survival.ConclusionsCAR-mALBI score is associated with disease-free and overall survival in patients with HCC after hepatic resection, suggesting the importance of evaluating both hepatic functional reserve and host-inflammatory state in the risk assessment of HCC patients.</t>
  </si>
  <si>
    <t>[Aida, Takashi; Haruki, Koichiro; Akaoka, Munetoshi; Furukawa, Kenei; Onda, Shinji; Shirai, Yoshihiro; Shiozaki, Hironori; Takahashi, Keita; Ikegami, Toru] Jikei Univ, Sch Med, Dept Surg, Div Hepatobiliary &amp; Pancreat Surg, Tokyo, Japan; [Oikawa, Tsunekazu] Jikei Univ, Sch Med, Dept Internal Med, Div Gastroenterol &amp; Hepatol, Tokyo, Japan; [Haruki, Koichiro] Jikei Univ, Sch Med, Dept Surg, Div Hepatobiliary &amp; Pancreat Surg, 3-25-8, Nishi Shinbashi,Minato ku, Tokyo 1058461, Japan</t>
  </si>
  <si>
    <t>Jikei University; Jikei University; Jikei University</t>
  </si>
  <si>
    <t>Haruki, K (corresponding author), Jikei Univ, Sch Med, Dept Surg, Div Hepatobiliary &amp; Pancreat Surg, 3-25-8, Nishi Shinbashi,Minato ku, Tokyo 1058461, Japan.</t>
  </si>
  <si>
    <t>haruki@jikei.ac.jp</t>
  </si>
  <si>
    <t>Haruki, Koichiro/0000-0002-1686-3228; Shirai, Yoshihiro/0000-0002-4907-0101; Furukawa, Kenei/0000-0002-5081-6417</t>
  </si>
  <si>
    <t>Japan Society for the Promotion of Science [JP21K08718, JP21K08805]; Takeda Science Foundation; Yakult Bio-Science Foundation</t>
  </si>
  <si>
    <t>Japan Society for the Promotion of Science(Ministry of Education, Culture, Sports, Science and Technology, Japan (MEXT)Japan Society for the Promotion of Science); Takeda Science Foundation(Takeda Science Foundation (TSF)); Yakult Bio-Science Foundation</t>
  </si>
  <si>
    <t>Japan Society for the Promotion of Science, Grant/Award Number: JP21K08718 and JP21K08805; Takeda Science Foundation; Yakult Bio-Science Foundation</t>
  </si>
  <si>
    <t>2023 AUG 10</t>
  </si>
  <si>
    <t>10.1002/ags3.12727</t>
  </si>
  <si>
    <t>O8GA8</t>
  </si>
  <si>
    <t>WOS:001046125500001</t>
  </si>
  <si>
    <t>Chikhalkar, S; Vishwanath, T; Shende, A</t>
  </si>
  <si>
    <t>Chikhalkar, Siddhi; Vishwanath, Tejas; Shende, Aditi</t>
  </si>
  <si>
    <t>Reply to comment to Chemical peel recipe-Caution. Phenol is not safe for use for chemo-exfoliation</t>
  </si>
  <si>
    <t>[Chikhalkar, Siddhi; Vishwanath, Tejas; Shende, Aditi] Seth GS Med Coll, Dept Dermatol, KEM Hosp, Mumbai, India; King Edward Mem Hosp, Bombay, India</t>
  </si>
  <si>
    <t>Seth Gordhandas Sunderdas Medical College &amp; King Edward Memorial Hospital; Seth Gordhandas Sunderdas Medical College &amp; King Edward Memorial Hospital</t>
  </si>
  <si>
    <t>Shende, A (corresponding author), Seth GS Med Coll, Dept Dermatol, KEM Hosp, Mumbai, India.</t>
  </si>
  <si>
    <t>draditishende@gmail.com</t>
  </si>
  <si>
    <t>10.1111/jocd.15939</t>
  </si>
  <si>
    <t>O8GA7</t>
  </si>
  <si>
    <t>WOS:001046125400001</t>
  </si>
  <si>
    <t>Du, HW; Du, YD; Zeng, XW; Shu, W</t>
  </si>
  <si>
    <t>Du, Hai-Wu; Du, Yi-Dan; Zeng, Xian-Wang; Shu, Wei</t>
  </si>
  <si>
    <t>Access to Trifluoromethylketones from Alkyl Bromides and Trifluoroacetic Anhydride by Photocatalysis</t>
  </si>
  <si>
    <t>Anhydrides; Halogen Atom Transfer; Photocatalysis; Radical-Radical Coupling; Trifluoroacetylation</t>
  </si>
  <si>
    <t>KETONES; FLUORINE; DERIVATIVES; GENERATION; INHIBITORS; CATALYSIS; RADICALS; ALCOHOLS; STRATEGY; ALKENES</t>
  </si>
  <si>
    <t>Aliphatic trifluoromethyl ketones are a type of unique fluorine-containing subunit which play a significant role in altering the physical and biological properties of molecules. Catalytic methods to provide direct access to aliphatic trifluoromethyl ketones are highly desirable yet remain underdeveloped, partially owing to the high reactivity and instability of trifluoroacetyl radical. Herein, we report a photocatalytic synthesis of trifluoromethyl ketones from alkyl bromides with trifluoroacetic anhydride. The reaction features dual visible-light and halogen-atom-transfer catalysis, followed by an enabling radical-radical cross-coupling of an alkyl radical with a stabilized trifluoromethyl radical. The reaction provides straightforward access to aliphatic trifluoromethyl ketones from readily available and cost-effective alkyl halides and trifluoroacetic anhydride (TFAA).</t>
  </si>
  <si>
    <t>[Du, Hai-Wu; Du, Yi-Dan; Zeng, Xian-Wang; Shu, Wei] Southern Univ Sci &amp; Technol, Shenzhen Grubbs Inst, Dept Chem, Shenzhen 518055, Guangdong, Peoples R China; [Shu, Wei] Nankai Univ, State Key Lab Elementoorgan Chem, Tianjin 300071, Peoples R China</t>
  </si>
  <si>
    <t>Southern University of Science &amp; Technology; Nankai University</t>
  </si>
  <si>
    <t>Shu, W (corresponding author), Southern Univ Sci &amp; Technol, Shenzhen Grubbs Inst, Dept Chem, Shenzhen 518055, Guangdong, Peoples R China.;Shu, W (corresponding author), Nankai Univ, State Key Lab Elementoorgan Chem, Tianjin 300071, Peoples R China.</t>
  </si>
  <si>
    <t>shuw@sustech.edu.cn</t>
  </si>
  <si>
    <t>Shu, Wei/0000-0003-0890-2634</t>
  </si>
  <si>
    <t>National Natural Science Foundation of China [21971101, 22171127]; Guangdong Basic and Applied Basic Research Foundation [2022A1515011806]; Department of Education of Guangdong Province [2022JGXM054, 2021KTSCX106]; Pearl River Talent Recruitment Program [2019QN01Y261]; Shenzhen Science and Technology Innovation Committee [JCYJ20220519201425001]; Guangdong Provincial Key Laboratory of Catalysis [2020B121201002]</t>
  </si>
  <si>
    <t>National Natural Science Foundation of China(National Natural Science Foundation of China (NSFC)); Guangdong Basic and Applied Basic Research Foundation; Department of Education of Guangdong Province(National Natural Science Foundation of Guangdong Province); Pearl River Talent Recruitment Program; Shenzhen Science and Technology Innovation Committee; Guangdong Provincial Key Laboratory of Catalysis</t>
  </si>
  <si>
    <t>Financial support from the National Natural Science Foundation of China (21971101 and 22171127), the Guangdong Basic and Applied Basic Research Foundation (2022A1515011806), Department of Education of Guangdong Province (2022JGXM054 and 2021KTSCX106), The Pearl River Talent Recruitment Program (2019QN01Y261), Shenzhen Science and Technology Innovation Committee (JCYJ20220519201425001), and Guangdong Provincial Key Laboratory of Catalysis (no. 2020B121201002) is sincerely acknowledged. We acknowledge the assistance of the SUSTech Core Research Facilities. We thank Dr. Lin Min (SUSTech) for reproducing the results of 3?e, 3?r, 4?a, and 4?m.</t>
  </si>
  <si>
    <t>10.1002/anie.202308732</t>
  </si>
  <si>
    <t>O6PU5</t>
  </si>
  <si>
    <t>WOS:001045012500001</t>
  </si>
  <si>
    <t>Fernandez, E; Lari, I; Puerto, J; Ricca, F; Scozzari, A</t>
  </si>
  <si>
    <t>Fernandez, Elena; Lari, Isabella; Puerto, Justo; Ricca, Federica; Scozzari, Andrea</t>
  </si>
  <si>
    <t>Connected graph partitioning with aggregated and non-aggregated gap objective functions</t>
  </si>
  <si>
    <t>NETWORKS</t>
  </si>
  <si>
    <t>aggregated gap objective functions; balance criteria; connected graph partitioning; flow-based connectivity constraints; integer programming formulations</t>
  </si>
  <si>
    <t>SHIFTING ALGORITHM; FORMULATIONS; CONTIGUITY; COMPLEXITY; UNIFORM; SEARCH; MODEL</t>
  </si>
  <si>
    <t>This article deals with the problem of partitioning a graph into p connected components by optimizing some balancing objective functions related to the vertex weights. Objective functions based on the gap or range of the partition's components, that is, the difference between the maximum and minimum weight of a vertex in the component, have been already introduced in the literature. Here we introduce the notion of aggregated gap, defined as the sum of the differences between the weights of the vertices and the minimum weight of a vertex in the component. We study new connected p- partitioning problems whose objective is a function of the components' aggregated gap, and give NP-hardness results for these problems on general graphs. Mathematical programming formulations are proposed for these problems adopting flow-based constraints for modeling connectivity in a partition. Even if they are introduced for the new aggregated gap problems, such formulations are rather general and apply also to the classical non-aggregated gap problems. Extensive computational tests, both for aggregated and non-aggregated gap problems, are performed on a set of squared grids and randomly generated graphs with up to 120 vertices, and a number of components ranging from 2 to 9. In our experiments, we test several alternative formulations for our problems providing a comparative analysis of their performance.</t>
  </si>
  <si>
    <t>[Fernandez, Elena] Univ Cadiz, Dept Estadist Investigacioln Operat, Cadiz, Spain; [Lari, Isabella; Ricca, Federica] Univ Roma Sapienza, Dept Sci Stat, Dept Metodi &amp; Modelli Econ Terr &amp; Finanza, Rome, Italy; [Puerto, Justo] Univ Seville, Inst Math Univ Seville IMUS, Seville, Spain; [Scozzari, Andrea] Univ Niccolo Cusano, Fac Econ, Rome, Italy</t>
  </si>
  <si>
    <t>Universidad de Cadiz; Sapienza University Rome; University of Sevilla; Niccolo Cusano Online University</t>
  </si>
  <si>
    <t>Ricca, F (corresponding author), Univ Roma Sapienza, Dept Sci Stat, Dept Metodi &amp; Modelli Econ Terr &amp; Finanza, Rome, Italy.</t>
  </si>
  <si>
    <t>federica.ricca@uniroma1.it</t>
  </si>
  <si>
    <t>; SCOZZARI, Andrea/I-6888-2018; Puerto, Justo/K-3430-2014</t>
  </si>
  <si>
    <t>Ricca, Federica/0000-0002-7925-7911; SCOZZARI, Andrea/0000-0003-3038-3957; Puerto, Justo/0000-0003-4079-8419; Lari, Isabella/0000-0002-3207-2493</t>
  </si>
  <si>
    <t>Agencia Estatal de Investigacion and Fondos Europeos de Desarrollo Regional (FEDER) [MTM2019-105824GB-I00, PID2020-114594GB-C21, FEDER-US-1256951, CEI-3-FQM331, FQM-331, C26V16M9NH]; Ayudas Fundacion BBVA a equipos de investigacion cientifica; Sapienza Universita di Roma [C26V20SPJ5, P2022NK39A]; Italian Ministry of University and Research (MUR) - PRIN PNRR; [P18-FR-422]</t>
  </si>
  <si>
    <t>Agencia Estatal de Investigacion and Fondos Europeos de Desarrollo Regional (FEDER)(Marie Curie Actions); Ayudas Fundacion BBVA a equipos de investigacion cientifica(BBVA Foundation); Sapienza Universita di Roma; Italian Ministry of University and Research (MUR) - PRIN PNRR(Ministry of Education, Universities and Research (MIUR));</t>
  </si>
  <si>
    <t>Agencia Estatal de Investigacion and Fondos Europeos de Desarrollo Regional (FEDER), Grant/Award Numbers: MTM2019-105824GB-I00, PID2020-114594GB-C21, FEDER-US-1256951, P18-FR-422, CEI-3-FQM331, FQM-331; Ayudas Fundacion BBVA a equipos de investigacion cientifica 2019; Sapienza Universita di Roma, Grant/Award Numbers: C26V16M9NH, C26V20SPJ5; Italian Ministry of University and Research (MUR) - PRIN PNRR 2022, Grant/Award Number: prot. P2022NK39A.</t>
  </si>
  <si>
    <t>0028-3045</t>
  </si>
  <si>
    <t>1097-0037</t>
  </si>
  <si>
    <t>Networks</t>
  </si>
  <si>
    <t>10.1002/net.22181</t>
  </si>
  <si>
    <t>Computer Science, Hardware &amp; Architecture; Operations Research &amp; Management Science</t>
  </si>
  <si>
    <t>Computer Science; Operations Research &amp; Management Science</t>
  </si>
  <si>
    <t>O7GD6</t>
  </si>
  <si>
    <t>WOS:001045441400001</t>
  </si>
  <si>
    <t>Fu, YC; Zhao, S; Fan, YL; Ho, YYL; Wang, YF; Lei, DY; Gu, PY; Russell, TP; Chai, Y</t>
  </si>
  <si>
    <t>Fu, Yuchen; Zhao, Sai; Fan, Yulong; Ho, Yannis Yan Lum; Wang, Yufeng; Lei, Dangyuan; Gu, Peiyang; Russell, Thomas P.; Chai, Yu</t>
  </si>
  <si>
    <t>Using Aggregation to Chaperone Nanoparticles Across Fluid Interfaces</t>
  </si>
  <si>
    <t>Aggregation; Assembly; Gold Nanoparticles; Interfaces; Transfer</t>
  </si>
  <si>
    <t>DEPENDENT PHASE-TRANSFER; GOLD NANOPARTICLES; FUNCTIONALIZATION; MEDIA; WATER</t>
  </si>
  <si>
    <t>Nanoparticles (NPs) transfer is usually induced by adding ligands to modify NP surfaces, but aggregation of NPs oftentimes hampers the transfer. Here, we show that aggregation during NP phase transfer does not necessarily result in transfer failure. Using a model system comprising gold NPs and amphiphilic polymers, we demonstrate an unusual mechanism by which NPs can undergo phase transfer from the aqueous phase to the organic phase via a single-aggregation-single pathway. Our discovery challenges the conventional idea that aggregation inhibits NP transfer and provides an unexpected pathway for transferring larger-sized NPs (&gt;20 nm). The charged amphiphilic polymers effectively act as chaperons for the NP transfer and offer a unique way to manipulate the dispersion and distribution of NPs in two immiscible liquids. Moreover, by intentionally jamming the NP-polymer assembly at the liquid/liquid interface, the transfer process can be inhibited.</t>
  </si>
  <si>
    <t>[Fu, Yuchen; Zhao, Sai; Chai, Yu] City Univ Hong Kong, Dept Phys, 83 Tat Chee Ave, Hong Kong, Peoples R China; [Fu, Yuchen; Zhao, Sai; Chai, Yu] City Univ Hong Kong, Shenzhen Res Inst, 8 Yuexing 1st Rd, Shenzhen, Peoples R China; [Fan, Yulong; Lei, Dangyuan] City Univ Hong Kong, Dept Mat Sci &amp; Engn, 83 Tat Chee Ave, Hong Kong, Peoples R China; [Ho, Yannis Yan Lum; Wang, Yufeng] Univ Hong Kong, Dept Chem, Pokfulam Rd, Hong Kong, Peoples R China; [Gu, Peiyang] Changzhou Univ, Sch Petrochem Engn, Jiangsu Key Lab Adv Catalyt Mat &amp; Technol, Changzhou 213164, Peoples R China; [Russell, Thomas P.] Lawrence Berkeley Natl Lab, Mat Sci Div, 1 Cyclotron Rd, Berkeley, CA 94720 USA; [Russell, Thomas P.] Univ Massachusetts, Conte Ctr Polymer Res, Polymer Sci &amp; Engn Dept, 120 Governors Dr, Amherst, MA 01003 USA; [Russell, Thomas P.] Beijing Univ Chem Technol, Beijing Adv Innovat Ctr Soft Matter Sci &amp; Engn, Beijing 100029, Peoples R China; [Russell, Thomas P.] Tohoku Univ, Adv Inst Mat Res WPI AIMR, 2-1-1 Katahira, Sendai 9808577, Japan</t>
  </si>
  <si>
    <t>City University of Hong Kong; City University of Hong Kong; Shenzhen Research Institute, City University of Hong Kong; City University of Hong Kong; University of Hong Kong; Changzhou University; United States Department of Energy (DOE); Lawrence Berkeley National Laboratory; University of Massachusetts System; University of Massachusetts Amherst; Beijing University of Chemical Technology; Tohoku University</t>
  </si>
  <si>
    <t>Chai, Y (corresponding author), City Univ Hong Kong, Dept Phys, 83 Tat Chee Ave, Hong Kong, Peoples R China.;Chai, Y (corresponding author), City Univ Hong Kong, Shenzhen Res Inst, 8 Yuexing 1st Rd, Shenzhen, Peoples R China.;Russell, TP (corresponding author), Lawrence Berkeley Natl Lab, Mat Sci Div, 1 Cyclotron Rd, Berkeley, CA 94720 USA.;Russell, TP (corresponding author), Univ Massachusetts, Conte Ctr Polymer Res, Polymer Sci &amp; Engn Dept, 120 Governors Dr, Amherst, MA 01003 USA.;Russell, TP (corresponding author), Beijing Univ Chem Technol, Beijing Adv Innovat Ctr Soft Matter Sci &amp; Engn, Beijing 100029, Peoples R China.;Russell, TP (corresponding author), Tohoku Univ, Adv Inst Mat Res WPI AIMR, 2-1-1 Katahira, Sendai 9808577, Japan.</t>
  </si>
  <si>
    <t>russell@mail.pse.umass.edu; yuchai@cityu.edu.hk</t>
  </si>
  <si>
    <t>; Lei, Dangyuan/B-9812-2011</t>
  </si>
  <si>
    <t>FU, Yuchen/0000-0002-0070-9621; ZHAO, Sai/0000-0001-9362-6835; Lei, Dangyuan/0000-0002-8963-0193; Chai, Yu/0000-0001-6085-4321</t>
  </si>
  <si>
    <t>National Natural Science Foundation of China [22003053]; Research Grants Council of Hong Kong [21304421]; U.S. Department of Energy, Office of Science, Office of Basic Energy Sciences, Materials Sciences and Engineering Division [KCTR16]; Army Research Office [DE-AC02-05-CH11231]; [W911NF-20-0093]</t>
  </si>
  <si>
    <t>National Natural Science Foundation of China(National Natural Science Foundation of China (NSFC)); Research Grants Council of Hong Kong(Hong Kong Research Grants Council); U.S. Department of Energy, Office of Science, Office of Basic Energy Sciences, Materials Sciences and Engineering Division(United States Department of Energy (DOE)); Army Research Office;</t>
  </si>
  <si>
    <t>We acknowledge financial support from the National Natural Science Foundation of China (Project No. 22003053) and the Research Grants Council of Hong Kong (Project No. 21304421).The characterization and analysis of the interfacial assemblies (TPR) were supported by the U.S. Department of Energy, Office of Science, Office of Basic Energy Sciences, Materials Sciences and Engineering Division under Contract No. DE-AC02-05-CH11231 within the Adaptive Interfacial Assemblies Towards Structuring Liquids program (KCTR16), while the transport studies was supported by the Army Research Office under contract W911NF-20-0093.</t>
  </si>
  <si>
    <t>10.1002/anie.202308853</t>
  </si>
  <si>
    <t>O6PX5</t>
  </si>
  <si>
    <t>WOS:001045015500001</t>
  </si>
  <si>
    <t>Gao, Y; Zhang, X; Huo, B</t>
  </si>
  <si>
    <t>Gao, Yan; Zhang, Xiao; Huo, Bo</t>
  </si>
  <si>
    <t>Knockdown of TRPV2 inhibits the migration of RAW264.7 cells toward low fluid shear stress region</t>
  </si>
  <si>
    <t>JOURNAL OF CELLULAR BIOCHEMISTRY</t>
  </si>
  <si>
    <t>gradient fluid shear stress; migration; molecular mechanism; RAW264; 7; TRPV2</t>
  </si>
  <si>
    <t>PROSTATE-CANCER; BONE; OSTEOCYTES; CHANNELS; BLADDER; GROWTH; GENE; DIFFERENTIATION; ACTIVATION; EXPRESSION</t>
  </si>
  <si>
    <t>Our previous studies have demonstrated that macrophages (RAW264.7) have a special ability for sensing the gradient of fluid shear stress (FSS) and migrate toward the low-FSS region. However, the molecular mechanism regulating this phenomenon is still unclear. In this study, we examined the transcriptome genes in RAW264.7 cells, MC3T3-E1 osteoblasts, mesenchymal stem cells, canine renal epithelial cells, and periodontal ligament cells. The expression levels of genes related to cell migration, force transfer, and force sensitivity in the Ca2+ signaling pathway were analyzed. We observed that the transient receptor potential cation channel type 2 (TRPV2) was highly expressed in RAW264.7 cells. Furthermore, we used lentiviral transfection to knockdown TRPV2 expression in RAW264.7 cells and studied the effect of TRPV2 on the migration of RAW264.7 cells under a gradient FSS field. The results showed that compared with normal cells, TRPV2-knockdown cells had impaired ability for sensing FSS gradient to migrate toward the low-FSS region and lower intracellular calcium response to FSS stimulation. This study may reveal the molecular mechanism of regulating the directional migration of macrophages under a gradient FSS field.</t>
  </si>
  <si>
    <t>[Gao, Yan; Huo, Bo] Capital Univ Phys Educ &amp; Sports, Sports Artificial Intelligence Inst, Sports Biomech Ctr, Beijing, Peoples R China; [Zhang, Xiao] Beijing Inst Technol, Sch Aerosp Engn, Dept Mech, Biomech Lab, Beijing, Peoples R China; [Huo, Bo] Capital Univ Phys Educ &amp; Sports, Sports Artificial Intelligence Inst, Sports Biomech Ctr, 11 North Third Ring Rd West, Beijing 100191, Peoples R China</t>
  </si>
  <si>
    <t>CAPITAL UNIVERSITY OF PHYSICAL EDUCATION AND SPORTS; Beijing Institute of Technology; CAPITAL UNIVERSITY OF PHYSICAL EDUCATION AND SPORTS</t>
  </si>
  <si>
    <t>Huo, B (corresponding author), Capital Univ Phys Educ &amp; Sports, Sports Artificial Intelligence Inst, Sports Biomech Ctr, 11 North Third Ring Rd West, Beijing 100191, Peoples R China.</t>
  </si>
  <si>
    <t>huobo@bit.edu.cn</t>
  </si>
  <si>
    <t>National Natural Science Foundation of China [12072034, 12102047]</t>
  </si>
  <si>
    <t>ACKNOWLEDGMENTS This work was supported by the National Natural Science Foundation of China (grant numbers: 12072034, B. H.; 12102047, Y. G.).</t>
  </si>
  <si>
    <t>0730-2312</t>
  </si>
  <si>
    <t>1097-4644</t>
  </si>
  <si>
    <t>J CELL BIOCHEM</t>
  </si>
  <si>
    <t>J. Cell. Biochem.</t>
  </si>
  <si>
    <t>10.1002/jcb.30454</t>
  </si>
  <si>
    <t>O5WD5</t>
  </si>
  <si>
    <t>WOS:001044501100001</t>
  </si>
  <si>
    <t>Jin, LZ; Tang, YW; Wang, YC; Yu, X; Ye, QT; Wan, ZQ; Lin, DQ; Kan, YH; Zhu, Q; Wang, SS; Xie, LH; Huang, W</t>
  </si>
  <si>
    <t>Jin, Ling-Zhi; Tang, Yan-Wei; Wang, Yu-Cong; Yu, Xiang; Ye, Qiu-Ting; Wan, Zi-Qian; Lin, Dong-Qing; Kan, Yu-He; Zhu, Qin; Wang, Sha-Sha; Xie, Ling-Hai; Huang, Wei</t>
  </si>
  <si>
    <t>Regulating and Predicting the Polyhedral Crystal Morphology in Spirofluorene Molecular Systems</t>
  </si>
  <si>
    <t>Organic crystal; Spirofluorene; Polyhedron; Crystal regulation; Morphology prediction</t>
  </si>
  <si>
    <t>SPIROCYCLIC AROMATIC-HYDROCARBON; NANOSTRUCTURES; MODE</t>
  </si>
  <si>
    <t>Crystallization of organic steric molecules often leads to multiple polyhedral crystal morphologies. However, the relationships among the molecular structure, supramolecular interaction, aggregation mode and crystal morphology are still unclear. In this work, we elaborate two model crystals formed by spiro[fluorene-9,9 &amp; PRIME;-xanthene] (SFX) and spiro[cyclopenta[1,2-b : 5,4-b &amp; PRIME;]dipyridine-5,9 &amp; PRIME;-xanthene] (SDAFX) to demonstrate the feasibility of morphology prediction by periodic bond chain (PBC) theory based on interaction energy (IE) values in terms of single point energy. With non-directional van der Waals forces, only one PBC direction is found in SFX crystal, leading to the irregular 1D rod-like structure. Compared with SFX, the extra N heteroatoms in SDAFX can bring additional hydrogen bonds and some other interactions into the bulky molecular skeletons, inducing 3-dimensionally oriented PBCs to form the explicit F-face network in SDAFX which leads to the final octahedral structure. A simple and accurate method has been provided to quantify PBC vector on the supramolecular level in the organic molecular system, and the PBC theory has also been further demonstrated and developed in the morphology prediction of organic spiro-molecules.</t>
  </si>
  <si>
    <t>[Jin, Ling-Zhi; Tang, Yan-Wei; Wang, Yu-Cong; Yu, Xiang; Ye, Qiu-Ting; Wan, Zi-Qian; Lin, Dong-Qing; Zhu, Qin; Wang, Sha-Sha; Xie, Ling-Hai] Nanjing Univ Posts &amp; Telecommun NUPT, Ctr Mol Syst &amp; Organ Devices CMSOD, 9 Wenyuan Rd, Nanjing 210023, Peoples R China; [Jin, Ling-Zhi; Tang, Yan-Wei; Wang, Yu-Cong; Yu, Xiang; Ye, Qiu-Ting; Wan, Zi-Qian; Lin, Dong-Qing; Zhu, Qin; Wang, Sha-Sha; Xie, Ling-Hai] Nanjing Univ Posts &amp; Telecommun NUPT, State Key Lab Organ Elect &amp; Informat Displays, 9 Wenyuan Rd, Nanjing 210023, Peoples R China; [Jin, Ling-Zhi; Tang, Yan-Wei; Wang, Yu-Cong; Yu, Xiang; Ye, Qiu-Ting; Wan, Zi-Qian; Lin, Dong-Qing; Zhu, Qin; Wang, Sha-Sha; Xie, Ling-Hai] Nanjing Univ Posts &amp; Telecommun NUPT, Inst Adv Mater IAM, 9 Wenyuan Rd, Nanjing 210023, Peoples R China; [Jin, Ling-Zhi; Tang, Yan-Wei; Wang, Yu-Cong; Yu, Xiang; Ye, Qiu-Ting; Wan, Zi-Qian; Lin, Dong-Qing; Zhu, Qin; Wang, Sha-Sha; Xie, Ling-Hai] Nanjing Univ Posts &amp; Telecommun NUPT, Jiangsu Natl Synerget Innovat Ctr Adv Mater SICAM, 9 Wenyuan Rd, Nanjing 210023, Peoples R China; [Jin, Ling-Zhi] Nanjing Vocat Univ Ind Technol, Inst Elect Engn, Nanjing 210023, Peoples R China; [Kan, Yu-He] Huaiyin Normal Univ, Jiangsu Key Lab Chem Low Dimens Mat, Huaian 223300, Peoples R China; [Huang, Wei] Northwestern Polytech Univ, Xian Inst Flexible Elect IFE, Frontiers Sci Ctr Flexible Elect, 127 West Youyi Rd, Xian 710072, Peoples R China; [Huang, Wei] Northwestern Polytech Univ, Xian Inst Biomed Mat &amp; Engn, 127 West Youyi Rd, Xian 710072, Peoples R China</t>
  </si>
  <si>
    <t>Nanjing University of Posts &amp; Telecommunications; Nanjing University of Posts &amp; Telecommunications; Nanjing University of Posts &amp; Telecommunications; Nanjing University of Posts &amp; Telecommunications; Nanjing Vocational University of Industry Technology; Huaiyin Normal University; Northwestern Polytechnical University; Northwestern Polytechnical University</t>
  </si>
  <si>
    <t>Wang, SS; Xie, LH (corresponding author), Nanjing Univ Posts &amp; Telecommun NUPT, Ctr Mol Syst &amp; Organ Devices CMSOD, 9 Wenyuan Rd, Nanjing 210023, Peoples R China.;Wang, SS; Xie, LH (corresponding author), Nanjing Univ Posts &amp; Telecommun NUPT, State Key Lab Organ Elect &amp; Informat Displays, 9 Wenyuan Rd, Nanjing 210023, Peoples R China.;Wang, SS; Xie, LH (corresponding author), Nanjing Univ Posts &amp; Telecommun NUPT, Inst Adv Mater IAM, 9 Wenyuan Rd, Nanjing 210023, Peoples R China.;Wang, SS; Xie, LH (corresponding author), Nanjing Univ Posts &amp; Telecommun NUPT, Jiangsu Natl Synerget Innovat Ctr Adv Mater SICAM, 9 Wenyuan Rd, Nanjing 210023, Peoples R China.;Huang, W (corresponding author), Northwestern Polytech Univ, Xian Inst Flexible Elect IFE, Frontiers Sci Ctr Flexible Elect, 127 West Youyi Rd, Xian 710072, Peoples R China.;Huang, W (corresponding author), Northwestern Polytech Univ, Xian Inst Biomed Mat &amp; Engn, 127 West Youyi Rd, Xian 710072, Peoples R China.</t>
  </si>
  <si>
    <t>iamsswang@njupt.edu.cn; iamlhxie@njupt.edu.cn; wei-huang@njtech.edu.cn</t>
  </si>
  <si>
    <t>Wang, Sha-Sha/0000-0002-8724-4627</t>
  </si>
  <si>
    <t>National Natural Science Foundation of China [22275098]; State Scholarship Fund of China Scholarship Council [202008320051, 2009DS690095]; Project of State Key Laboratory of Organic Electronics and Information Displays, Nanjing University of Posts amp; Telecommunications [GZR2022010008]; Natural Science Foundation of Nanjing University of Posts and Telecommunications [NY221085, NY222157]; Funding of Jiangsu Innovation Program for Graduate Education [46030CX17758, SJCX21_0251]; Science and Technology Innovation Training Program [SZDG2017019]; Jiangsu Key Laboratory for Chemistry of Low-Dimensional Materials [JSKC20022]</t>
  </si>
  <si>
    <t>National Natural Science Foundation of China(National Natural Science Foundation of China (NSFC)); State Scholarship Fund of China Scholarship Council(China Scholarship Council); Project of State Key Laboratory of Organic Electronics and Information Displays, Nanjing University of Posts amp; Telecommunications; Natural Science Foundation of Nanjing University of Posts and Telecommunications; Funding of Jiangsu Innovation Program for Graduate Education; Science and Technology Innovation Training Program; Jiangsu Key Laboratory for Chemistry of Low-Dimensional Materials</t>
  </si>
  <si>
    <t>This work was supported by the National Natural Science Foundation of China (22275098), the State Scholarship Fund of China Scholarship Council (202008320051, 2009DS690095), the Project of State Key Laboratory of Organic Electronics and Information Displays, Nanjing University of Posts &amp; amp; Telecommunications (GZR2022010008), the Natural Science Foundation of Nanjing University of Posts and Telecommunications (NY221085, NY222157). The authors are also thankful for the support of the Funding of Jiangsu Innovation Program for Graduate Education (46030CX17758, SJCX21_0251) and Science and Technology Innovation Training Program (SZDG2017019), Jiangsu Key Laboratory for Chemistry of Low-Dimensional Materials (JSKC20022).</t>
  </si>
  <si>
    <t>10.1002/asia.202300480</t>
  </si>
  <si>
    <t>O6MW5</t>
  </si>
  <si>
    <t>WOS:001044936500001</t>
  </si>
  <si>
    <t>Li, GC; Ma, QL; Khan, S; Aliani, K</t>
  </si>
  <si>
    <t>Li, Guangchen; Ma, Qianlong; Khan, Subuhi; Aliani, Khaoula</t>
  </si>
  <si>
    <t>Economic policy uncertainty: A new firm-level measurement and impact on enterprise innovation strategies</t>
  </si>
  <si>
    <t>MANAGERIAL AND DECISION ECONOMICS</t>
  </si>
  <si>
    <t>CHINA</t>
  </si>
  <si>
    <t>This paper investigates the impact of the perception of economic policy uncertainty (PEPU) on enterprise innovation strategies. Using a text-based method and a sample of Chinese listed companies from 2007 to 2021, we find that PEPU negatively affects substantive and strategic innovations, and its negative impact on strategic innovations is more noticeable than that on substantive innovations. Mechanism analysis shows that PEPU affects enterprise innovation strategies through innovation investment and financing constraints. Moreover, enterprises with a high shareholding ratio of executives and private enterprises are more likely to suffer the negative impact of PEPU. Finally, analyst attention and internal control quality may weaken the inhibitory impact of PEPU on enterprise innovation strategies.</t>
  </si>
  <si>
    <t>[Li, Guangchen] Beijing Wuzi Univ, Inst Carbon Peak &amp; Neutral, Beijing, Peoples R China; [Li, Guangchen; Ma, Qianlong] Beijing Wuzi Univ, Sch Econ, Beijing, Peoples R China; [Khan, Subuhi; Aliani, Khaoula] Princess Nourah Bint Abdulrahman Univ, Coll Business Adm, Dept Business Adm, Riyadh, Saudi Arabia; [Aliani, Khaoula] Princess Nourah Bint Abdulrahman Univ, Coll Business Adm, Dept Business Adm, Riyadh 11671, Saudi Arabia</t>
  </si>
  <si>
    <t>Beijing Wuzi University; Beijing Wuzi University; Princess Nourah bint Abdulrahman University; Princess Nourah bint Abdulrahman University</t>
  </si>
  <si>
    <t>Aliani, K (corresponding author), Princess Nourah Bint Abdulrahman Univ, Coll Business Adm, Dept Business Adm, Riyadh 11671, Saudi Arabia.</t>
  </si>
  <si>
    <t>kcaliani@pnu.edu.sa</t>
  </si>
  <si>
    <t>Li, Guangchen/ISS-6778-2023</t>
  </si>
  <si>
    <t>Li, Guangchen/0000-0002-6193-1680; ALIANI, khaoula/0000-0001-6299-7991; Ma, Qianlong/0000-0003-2756-9179</t>
  </si>
  <si>
    <t>Young Scientists Award Program of Beijing Wuzi University [2023XJQN02]</t>
  </si>
  <si>
    <t>Young Scientists Award Program of Beijing Wuzi University</t>
  </si>
  <si>
    <t>Young Scientists Award Program of Beijing Wuzi University, Grant/Award Number:2023XJQN02</t>
  </si>
  <si>
    <t>0143-6570</t>
  </si>
  <si>
    <t>1099-1468</t>
  </si>
  <si>
    <t>MANAG DECIS ECON</t>
  </si>
  <si>
    <t>Manag. Decis. Econ.</t>
  </si>
  <si>
    <t>10.1002/mde.3969</t>
  </si>
  <si>
    <t>Economics; Management</t>
  </si>
  <si>
    <t>O7AT8</t>
  </si>
  <si>
    <t>WOS:001045299400001</t>
  </si>
  <si>
    <t>Lin, B; Lin, JL; Wang, F; Wang, YF; Shen, SY; Hong, X; Yang, HJ; Wang, SJ; Yang, HY</t>
  </si>
  <si>
    <t>Lin, Bo; Lin, Jianlin; Wang, Feng; Wang, Yufan; Shen, Shiyue; Hong, Xia; Yang, HuiJun; Wang, Shunji; Yang, Hongyu</t>
  </si>
  <si>
    <t>Computed tomography-defined sarcopenia as a risk factor for short-term postoperative complications in oral cancer patients with free flap reconstruction: A retrospective population-based cohort study</t>
  </si>
  <si>
    <t>HEAD AND NECK-JOURNAL FOR THE SCIENCES AND SPECIALTIES OF THE HEAD AND NECK</t>
  </si>
  <si>
    <t>complications; cohort study; oral cancer; sarcopenia</t>
  </si>
  <si>
    <t>SKELETAL-MUSCLE MASS; NECK-CANCER; PROGNOSTIC-FACTOR; LYMPHOCYTE RATIO; ADVANCED HEAD; IMPACT; DEPLETION; SURVIVAL; INFLAMMATION; NEUTROPHIL</t>
  </si>
  <si>
    <t>BackgroundPostoperative complications after free flap reconstruction for oral cancer can increase cost and prolong hospitalization. This study explored risk factors for complications, focusing on sarcopenia. MethodsThe study explored the associations between computed tomography-defined sarcopenia and the occurrence of postoperative complications, adjusted for age, gender, smoking, alcohol, ASA scoring, clinical stage of tumor, tumor site, type of free flap used, presence of tracheotomy, and blood test parameters. ResultsOf 253 patients, 17.39% (44/253) of oral cancer patients had comorbid sarcopenia. Univariate analysis showed an overall postoperative complication rate of 65.90% in the sarcopenia group and 51.67% in the non-sarcopenia group. Multivariate modeling showed sarcopenia and smoking were major risk factors for total and respiratory complications, increasing the risks by over two-fold. No factors significantly impacted surgery-specific complications. ConclusionsThis study identified sarcopenia as a risk factor for postoperative complications in oral cancer patients undergoing flap reconstruction.</t>
  </si>
  <si>
    <t>[Lin, Bo; Wang, Feng; Wang, Yufan; Shen, Shiyue; Hong, Xia; Yang, HuiJun; Wang, Shunji; Yang, Hongyu] Peking Univ, Stomatol Ctr, Dept Oral &amp; Maxillofacial Surg, Shenzhen Hosp, Shenzhen, Guangdong, Peoples R China; [Lin, Bo; Lin, Jianlin; Wang, Feng; Wang, Yufan; Shen, Shiyue; Hong, Xia; Yang, HuiJun; Wang, Shunji; Yang, Hongyu] Guangdong Prov High Level Clin Key Specialty, Dept Oral &amp; Maxillofacial Surg, Shenzhen, Guangdong, Peoples R China; [Lin, Bo; Lin, Jianlin; Wang, Feng; Wang, Yufan; Shen, Shiyue; Hong, Xia; Yang, HuiJun; Wang, Shunji; Yang, Hongyu] Guangdong Prov Engn Res Ctr Oral Dis Diag &amp; Treatm, Dept Oral &amp; Maxillofacial Surg, Shenzhen, Guangdong, Peoples R China; [Yang, Hongyu] Peking Univ, Stomatol Ctr, Dept Oral &amp; Maxillofacial Surg, Shenzhen Hosp, 1120 Lianhua Rd, Shenzhen 518036, Guangdong, Peoples R China</t>
  </si>
  <si>
    <t>Yang, HY (corresponding author), Peking Univ, Stomatol Ctr, Dept Oral &amp; Maxillofacial Surg, Shenzhen Hosp, 1120 Lianhua Rd, Shenzhen 518036, Guangdong, Peoples R China.</t>
  </si>
  <si>
    <t>hyyang192@hotmail.com</t>
  </si>
  <si>
    <t>Basic Research Program of Shenzhen Innovation Council [JCYJ20210324110014037]; Shenzhen Clinical Research Center for Oral Diseases [20210617170745001-SCRC202201001]</t>
  </si>
  <si>
    <t>Basic Research Program of Shenzhen Innovation Council; Shenzhen Clinical Research Center for Oral Diseases</t>
  </si>
  <si>
    <t>ACKNOWLEDGMENT This research is supported by the Basic Research Program of Shenzhen Innovation Council (JCYJ20210324110014037) and Shenzhen Clinical Research Center for Oral Diseases (20210617170745001-SCRC202201001).</t>
  </si>
  <si>
    <t>1043-3074</t>
  </si>
  <si>
    <t>1097-0347</t>
  </si>
  <si>
    <t>HEAD NECK-J SCI SPEC</t>
  </si>
  <si>
    <t>Head Neck-J. Sci. Spec. Head Neck</t>
  </si>
  <si>
    <t>10.1002/hed.27479</t>
  </si>
  <si>
    <t>O5TB3</t>
  </si>
  <si>
    <t>WOS:001044420900001</t>
  </si>
  <si>
    <t>Linz, W; Thigpen, JT; Strauss, RG</t>
  </si>
  <si>
    <t>Linz, Walter; Thigpen, James T.; Strauss, Ronald G.</t>
  </si>
  <si>
    <t>Francis S. Morrison MD-Tribute to an apheresis leader</t>
  </si>
  <si>
    <t>JOURNAL OF CLINICAL APHERESIS</t>
  </si>
  <si>
    <t>apheresis history; ASFA; Francis S; Morrison; medical history</t>
  </si>
  <si>
    <t>Francis S. Morrison MD was among the early developers and promoters of the American Society for Apheresis (ASFA). His work was pivotal in creating a lasting institutional structure from which American apheresis medical practice would develop decades after his death. Francis Morrison is honored each year at the ASFA annual meeting as ASFA awards the Francis S. Morrison MD Memorial Award Lecture to an individual who stands out as among its most accomplished members. This tribute seeks to describe the person and the key accomplishments of Francis S. Morrison in the historical context of a time when the future of apheresis medicine was uncertain.</t>
  </si>
  <si>
    <t>[Linz, Walter] Oklahoma Blood Inst, Our Blood Inst, Oklahoma City, OK USA; [Thigpen, James T.] Univ Mississippi, Div Hematol Oncol, Jackson, MS USA; [Strauss, Ronald G.] Univ Iowa, Dept Pathol &amp; Pediat, Carver Coll Med, Iowa City, IA USA; [Linz, Walter] Oklahoma Blood Inst, Our Blood Inst, Oklahoma City, OK 73104 USA</t>
  </si>
  <si>
    <t>University of Mississippi; University of Iowa</t>
  </si>
  <si>
    <t>Linz, W (corresponding author), Oklahoma Blood Inst, Our Blood Inst, Oklahoma City, OK 73104 USA.</t>
  </si>
  <si>
    <t>walter.linz@obi.org</t>
  </si>
  <si>
    <t>0733-2459</t>
  </si>
  <si>
    <t>1098-1101</t>
  </si>
  <si>
    <t>J CLIN APHERESIS</t>
  </si>
  <si>
    <t>J. Clin. Apheresis</t>
  </si>
  <si>
    <t>10.1002/jca.22075</t>
  </si>
  <si>
    <t>O5KB9</t>
  </si>
  <si>
    <t>WOS:001044186800001</t>
  </si>
  <si>
    <t>Lu, P; Qi, ZY; Chen, J; Ye, CS; Qiu, T</t>
  </si>
  <si>
    <t>Lu, Ping; Qi, Zhaoyang; Chen, Jie; Ye, Changshen; Qiu, Ting</t>
  </si>
  <si>
    <t>Enhancing Adsorption Desulfurization Performance Using Enriched Cu(I) Sites over Microenvironment-Modulated HKUST-1</t>
  </si>
  <si>
    <t>adsorption desulfurization; copper-cerium interaction; metal-organic frameworks (MOFs); microenvironment modulation; molecular engineering</t>
  </si>
  <si>
    <t>METAL-ORGANIC FRAMEWORKS</t>
  </si>
  <si>
    <t>High-efficiency adsorption of aromatic sulfur-containing compounds from liquid hydrocarbon fuels over metal-organic frameworks (MOFs) is challenging because of inert metal sites. A new method, the Ce-enhanced modulation of MOFs' microenvironment, is proposed to modulate the -COO &amp; BULL;&amp; BULL;&amp; BULL;Cu(II)- coordination microenvironment of Hong Kong University of Science and Technology (HKUST-1) using Ce(III) as a molecular scalpel for fabricating abundant high-efficiency Cu(I) and Cu-coordination-unsaturated sites and improving the pore structures around adsorptive sites. The optimal CH-250 thus exhibits adsorptive capacities for 20.2, 28.0, and 58.3 mg S g(-1) of thiophene, benzo-thiophene, and dibenzothiophene, respectively, which are superior to most reported MOFs, zeolites, and nanoporous carbons. The constructed Cu(I) sites show stronger affinity for dibenzothiophene (-0.86 eV) than the initial Cu(II) (-0.74 eV) for out-of-plane adsorption. Further, they are far stronger in-plane adsorption interactions in DBT/CH-250 (-0.90 eV) than those in DBT/HKUST-1 (-0.37 eV). Thus, molecular engineering for modulating the coordination microenvironment of MOFs shows great potential for adsorption desulfurization.</t>
  </si>
  <si>
    <t>[Lu, Ping; Chen, Jie; Ye, Changshen; Qiu, Ting] Fuzhou Univ, Sch Chem Engn, Fuzhou 350108, Fujian, Peoples R China; [Lu, Ping; Qi, Zhaoyang; Chen, Jie; Ye, Changshen; Qiu, Ting] Qingyuan Innovat Lab, Quanzhou 362801, Fujian, Peoples R China; [Lu, Ping; Qi, Zhaoyang; Chen, Jie; Ye, Changshen; Qiu, Ting] Fujian Prov Higher Educ Inst, Engn Res Ctr React Distillat, Fuzhou 350108, Fujian, Peoples R China; [Qiu, Ting] Fuzhou Univ, Int Joint Lab Thermochem Convers Biomass, Fuzhou 350108, Fujian, Peoples R China</t>
  </si>
  <si>
    <t>Fuzhou University; Fuzhou University</t>
  </si>
  <si>
    <t>Ye, CS; Qiu, T (corresponding author), Fuzhou Univ, Sch Chem Engn, Fuzhou 350108, Fujian, Peoples R China.;Ye, CS; Qiu, T (corresponding author), Qingyuan Innovat Lab, Quanzhou 362801, Fujian, Peoples R China.;Ye, CS; Qiu, T (corresponding author), Fujian Prov Higher Educ Inst, Engn Res Ctr React Distillat, Fuzhou 350108, Fujian, Peoples R China.;Qiu, T (corresponding author), Fuzhou Univ, Int Joint Lab Thermochem Convers Biomass, Fuzhou 350108, Fujian, Peoples R China.</t>
  </si>
  <si>
    <t>fzycsyrfyq@fzu.edu.cn; tingqiu@fzu.edu.cn</t>
  </si>
  <si>
    <t>Chen, Jie/0000-0003-0724-6911; Lu, Ping/0000-0001-9031-9055</t>
  </si>
  <si>
    <t>National Natural Science Foundation of China [22278077]</t>
  </si>
  <si>
    <t>Acknowledgements This study was supported by the National Natural Science Foundation of China (Grant No. 22278077).</t>
  </si>
  <si>
    <t>10.1002/smll.202304644</t>
  </si>
  <si>
    <t>O6KW0</t>
  </si>
  <si>
    <t>WOS:001044883900001</t>
  </si>
  <si>
    <t>Nakashima, E; Hosokawa, Y; Ueno, T</t>
  </si>
  <si>
    <t>Nakashima, Erika; Hosokawa, Yoshifumi; Ueno, Tomonaga</t>
  </si>
  <si>
    <t>Synergistic flame retardancy of solid acid, hindered N-alkoxy amine, and halogen compound for polypropylene</t>
  </si>
  <si>
    <t>decabromodiphenyl ethane; flame retardancy; melt dripping; N-alkoxy hindered amine; polypropylene; solid acids; synergistic effect</t>
  </si>
  <si>
    <t>THERMAL-DEGRADATION; INTUMESCENT; AGENT</t>
  </si>
  <si>
    <t>Polypropylene (PP) is a thermoplastic resin widely used in various industrial applications. However, the flammability of PP is a severe drawback that lowers operational safety. This study demonstrates the development of flame-retardant PP. The co-adding with various solid acids and a hindered N-alkoxy amine (NOR116 - Flamestab((R)) NOR 116 FF) affects the combustion behavior of PP in a vertical flame test. The co-adding of silica alumina (SA) and NOR116 with PP promoted the melt drip, suppressed upward combustion heat, and shorter the combustion time. The decomposition products of NOR116 induced the cleavage of the main chain of PP, and it quenched the radicals on the surface of the SA particles because SA has abundant acidic sites and large pores, facilitating the adsorption of a substantial quantity of NOR116. The molecular weight of PP was controlled to 10(3) similar to 10(4) before the combustion to achieve an increase in the melt flow ability and suppress the upward combustion. Furthermore, a small amount of a halogen-based flame retardant was incorporated into the PP/SA/NOR116 sample, and the specimens could instantly self-extinguish on the gas phase by radical trap.</t>
  </si>
  <si>
    <t>[Nakashima, Erika] Chubu Univ, Coll Engn, Dept Appl Chem, Kasugai, Japan; [Hosokawa, Yoshifumi; Ueno, Tomonaga] Nagoya Univ, Grad Sch Engn, Dept Chem Syst Engn, Furo Cho,Chikusa Ku, Nagoya, Aichi 4648603, Japan</t>
  </si>
  <si>
    <t>Chubu University; Nagoya University</t>
  </si>
  <si>
    <t>Ueno, T (corresponding author), Nagoya Univ, Grad Sch Engn, Dept Chem Syst Engn, Furo Cho,Chikusa Ku, Nagoya, Aichi 4648603, Japan.</t>
  </si>
  <si>
    <t>ueno.tomonaga@material.nagoya-u.ac.jp</t>
  </si>
  <si>
    <t>Ueno, Tomonaga/I-6111-2014</t>
  </si>
  <si>
    <t>Ueno, Tomonaga/0000-0002-5345-7958</t>
  </si>
  <si>
    <t>Adaptable and Seamless Technology Transfer Program through Target-Driven R and D; Japan Society for the Promotion of Science [22K04625]; Nagoya University</t>
  </si>
  <si>
    <t>Adaptable and Seamless Technology Transfer Program through Target-Driven R and D; Japan Society for the Promotion of Science(Ministry of Education, Culture, Sports, Science and Technology, Japan (MEXT)Japan Society for the Promotion of Science); Nagoya University</t>
  </si>
  <si>
    <t>Adaptable and Seamless Technology Transfer Program through Target-Driven R and D; Japan Society for the Promotion of Science, Grant/Award Number:22K04625; Nagoya University</t>
  </si>
  <si>
    <t>e54511</t>
  </si>
  <si>
    <t>10.1002/app.54511</t>
  </si>
  <si>
    <t>O8FU5</t>
  </si>
  <si>
    <t>WOS:001046119100001</t>
  </si>
  <si>
    <t>Orth, SJ; Evanson, TA</t>
  </si>
  <si>
    <t>Orth, Stephanie J.; Evanson, Tracy A.</t>
  </si>
  <si>
    <t>The nurse faculty role: A lived experience of mentoring nurses while coping with anxiety during the COVID-19 pandemic</t>
  </si>
  <si>
    <t>JOURNAL OF PSYCHIATRIC AND MENTAL HEALTH NURSING</t>
  </si>
  <si>
    <t>anxiety; hope; mental health; nursing faculty; pandemic</t>
  </si>
  <si>
    <t>BackgroundProviding patient care and nurse education in today's healthcare environment is high-stress, often resulting in high-anxiety among both nurses and nurse educators. The impact of the COVID-19 pandemic on nurse faculty is largely unexplored.AimsThe aim was to share the experience of living and work working with anxiety in the nurse faculty role during the COVID-19 pandemic.Materials &amp; MethodsThis is a lived experience narrative of one nurse faculty member.ResultsThrough daily purposeful self-motivation and reflection, yoga, and brief outdoor respites, the author was able to strengthen professional identity, to see value in her work and to activate the personal resource of hope (Nursing Management, 52, 2021, 56; Journal of Occupational and Organizational Psychology, 93, 2020, 187).Discussion'Nursing faculty are essential to the profession' and likely experienced 'emotional exhaustion' during the pandemic (Nursing Education Perspectives, 42, 2021, 8) in their efforts to buoy students. It needs to be acknowledged that nursing faculty can experience anxiety, secondary trauma (International Journal of Environmental Research and Public Health, 17, 2020, 8358) and compassion fatigue, through listening to students' experiences and offering reinforcement during chaotic times.ConclusionLittle is known about what nursing faculty experienced as they attempted to support students (Nursing Education Perspectives, 42, 2021, 285). It is hoped that by sharing this lived experience, nurses and nurse faculty will understand how employing hope as a personal resource and re-engaging with their professional identity will help them cope with the significant stresses that future healthcare pandemics or disasters may bring.</t>
  </si>
  <si>
    <t>[Orth, Stephanie J.; Evanson, Tracy A.] Univ North Dakota, Coll Nursing &amp; Profess Disciplines, Grand Forks, ND 58202 USA</t>
  </si>
  <si>
    <t>University of North Dakota Grand Forks</t>
  </si>
  <si>
    <t>Orth, SJ (corresponding author), Univ North Dakota, Coll Nursing &amp; Profess Disciplines, Grand Forks, ND 58202 USA.</t>
  </si>
  <si>
    <t>stephanie.orth@und.edu</t>
  </si>
  <si>
    <t>1351-0126</t>
  </si>
  <si>
    <t>1365-2850</t>
  </si>
  <si>
    <t>J PSYCHIATR MENT HLT</t>
  </si>
  <si>
    <t>J. Psychiatr. Ment. Health Nurs.</t>
  </si>
  <si>
    <t>10.1111/jpm.12962</t>
  </si>
  <si>
    <t>Nursing; Psychiatry</t>
  </si>
  <si>
    <t>O6UA6</t>
  </si>
  <si>
    <t>WOS:001045122800001</t>
  </si>
  <si>
    <t>Ren, JR; Zhan, XY; Zhou, H; Guo, ZY; Xing, Y; Yin, HX; Xue, C; Wu, J; Liu, WG</t>
  </si>
  <si>
    <t>Ren, Jingru; Zhan, Xiaoyan; Zhou, Hao; Guo, Zhiying; Xing, Yi; Yin, Hangxing; Xue, Chen; Wu, Jun; Liu, Weiguo</t>
  </si>
  <si>
    <t>Comparing the effects of GBA variants and onset age on clinical features and progression in Parkinson's disease</t>
  </si>
  <si>
    <t>CNS NEUROSCIENCE &amp; THERAPEUTICS</t>
  </si>
  <si>
    <t>age at onset; cognitive decline; GBA; motor impairment; Parkinson's disease</t>
  </si>
  <si>
    <t>GLUCOCEREBROSIDASE MUTATIONS</t>
  </si>
  <si>
    <t>ObjectiveGlucosylceramidase (GBA) variants and onset age significantly affect clinical phenotype and progression in Parkinson's disease (PD). The current study compared clinical characteristics at baseline and cognitive and motor progression over time among patients having GBA-related PD (GBA-PD), early-onset idiopathic PD (early-iPD), and late-onset idiopathic PD (late-iPD). MethodsWe recruited 88 GBA-PD, 167 early-iPD, and 488 late-iPD patients in this study. A subset of 50 GBA-PD, 81 early-iPD, and 223 late-iPD patients was followed up at least once, with a 3.0-year mean follow-up time. Linear mixed-effects models helped evaluate the rate of change in the Unified Parkinson's Disease Rating Scale motor and Montreal Cognitive Assessment scores. ResultsAt baseline, the GBA-PD group showed more severe motor deficits and non-motor symptoms (NMSs) than the early-iPD group and more NMSs than the late-iPD group. Moreover, the GBA-PD group had more significant cognitive and motor progression, particularly bradykinesia and axial impairment, than the early-iPD and late-iPD groups at follow-up. However, the early-onset GBA-PD (early-GBA-PD) group was similar to the late-onset GBA-PD (late-GBA-PD) group in baseline clinical features and cognitive and motor progression. ConclusionGBA-PD patients exhibited faster cognitive and motor deterioration than early-iPD and late-iPD patients. Thus, subtype classification based on genetic characteristics rather than age at onset could enhance the prediction of PD disease progression.</t>
  </si>
  <si>
    <t>[Ren, Jingru; Zhou, Hao; Guo, Zhiying; Xing, Yi; Yin, Hangxing; Liu, Weiguo] Nanjing Med Univ, Affiliated Brain Hosp, Dept Neurol, Nanjing, Peoples R China; [Zhan, Xiaoyan] Jiangsu Prov Hosp Tradit Chinese Med, Nanjing, Peoples R China; [Xue, Chen] Nanjing Med Univ, Affiliated Brain Hosp, Dept Radiol, Nanjing, Peoples R China; [Wu, Jun] Nanjing Med Univ, Affiliated Brain Hosp, Dept Clin Lab, Nanjing, Peoples R China; [Liu, Weiguo] Nanjing Med Univ, Affiliated Brain Hosp, Dept Neurol, 264 Guangzhou Rd, Nanjing 210029, Peoples R China</t>
  </si>
  <si>
    <t>Nanjing Medical University; Nanjing University of Chinese Medicine; Nanjing Medical University; Nanjing Medical University; Nanjing Medical University</t>
  </si>
  <si>
    <t>Liu, WG (corresponding author), Nanjing Med Univ, Affiliated Brain Hosp, Dept Neurol, 264 Guangzhou Rd, Nanjing 210029, Peoples R China.</t>
  </si>
  <si>
    <t>wgliunbh@sina.com</t>
  </si>
  <si>
    <t>Ren, Jingru/0000-0002-9186-6621</t>
  </si>
  <si>
    <t>1755-5930</t>
  </si>
  <si>
    <t>1755-5949</t>
  </si>
  <si>
    <t>CNS NEUROSCI THER</t>
  </si>
  <si>
    <t>CNS Neurosci. Ther.</t>
  </si>
  <si>
    <t>10.1111/cns.14387</t>
  </si>
  <si>
    <t>Neurosciences; Pharmacology &amp; Pharmacy</t>
  </si>
  <si>
    <t>Neurosciences &amp; Neurology; Pharmacology &amp; Pharmacy</t>
  </si>
  <si>
    <t>O6KY9</t>
  </si>
  <si>
    <t>WOS:001044886800001</t>
  </si>
  <si>
    <t>Scheunemann, D; Gohler, C; Tormann, C; Vandewal, K; Kemerink, M</t>
  </si>
  <si>
    <t>Scheunemann, Dorothea; Goehler, Clemens; Tormann, Constantin; Vandewal, Koen; Kemerink, Martijn</t>
  </si>
  <si>
    <t>Equilibrium or Non-Equilibrium - Implications for the Performance of Organic Solar Cells</t>
  </si>
  <si>
    <t>ADVANCED ELECTRONIC MATERIALS</t>
  </si>
  <si>
    <t>charge carrier dynamics; disorders; modeling; non-equilibrium; organic solar cells</t>
  </si>
  <si>
    <t>CHARGE-CARRIER MOBILITY; OPEN-CIRCUIT VOLTAGE; INTERNAL QUANTUM EFFICIENCY; FILL FACTOR; GAUSSIAN DISTRIBUTION; TRANSFER STATES; SEPARATION; ENERGY; RECOMBINATION; TRANSPORT</t>
  </si>
  <si>
    <t>With power conversion efficiencies approaching 20%, organic solar cells can no longer be considered the ugly duckling of photovoltaics. Successes notwithstanding, there is still a need for further improvement of organic solar cells, both regarding energy and current management in these devices. At present, there are different and mutually exclusive interpretation schemes for the associated losses of energy and charge, hampering the rational design of next generations of organic solar cells. One critical factor that affects voltage, current, and fill factor losses is whether or not photogenerated charges are effectively near or far away from thermodynamic equilibrium. While it is commonly agreed that both the vibronic and (disordered) energetic structure of organic semiconductors affect the solar cell characteristics, the degree to which deviations from near-equilibrium population of the associated energy level distributions matter for the photovoltaic performance is unclear: near-equilibrium as well as kinetic descriptions have provided seemingly convincing descriptions of a wide range of experiments. Here, the most important concepts in relation to experimental results are reviewed, open questions are addressed and implications for device performance and improvement are highlighted.</t>
  </si>
  <si>
    <t>[Scheunemann, Dorothea; Goehler, Clemens; Tormann, Constantin; Kemerink, Martijn] Heidelberg Univ, Inst Mol Syst Engn &amp; Adv Mat, D-69120 Heidelberg, Germany; [Vandewal, Koen] Hasselt Univ, Inst Mat Res IMO IMOMEC, Wetenschapspk 1, B-3590 Diepenbeek, Belgium</t>
  </si>
  <si>
    <t>Ruprecht Karls University Heidelberg; Hasselt University</t>
  </si>
  <si>
    <t>Kemerink, M (corresponding author), Heidelberg Univ, Inst Mol Syst Engn &amp; Adv Mat, D-69120 Heidelberg, Germany.</t>
  </si>
  <si>
    <t>martijn.kemerink@cam.uni-heidelberg.de</t>
  </si>
  <si>
    <t>Kemerink, Martijn/B-4796-2014; Scheunemann, Dorothea/D-3842-2017</t>
  </si>
  <si>
    <t>Kemerink, Martijn/0000-0002-7104-7127; Vandewal, Koen/0000-0001-5471-383X; Scheunemann, Dorothea/0000-0001-9458-7022</t>
  </si>
  <si>
    <t>German Research Foundation [2082/1 - 390761711]; Carl Zeiss Foundation</t>
  </si>
  <si>
    <t>German Research Foundation(German Research Foundation (DFG)); Carl Zeiss Foundation</t>
  </si>
  <si>
    <t>This work was funded by the German Research Foundation under Germany`s Excellence Strategy (2082/1 - 390761711, C.T.). M.K. thanks the Carl Zeiss Foundation for financial support.</t>
  </si>
  <si>
    <t>2199-160X</t>
  </si>
  <si>
    <t>ADV ELECTRON MATER</t>
  </si>
  <si>
    <t>Adv. Electron. Mater.</t>
  </si>
  <si>
    <t>10.1002/aelm.202300293</t>
  </si>
  <si>
    <t>Nanoscience &amp; Nanotechnology; Materials Science, Multidisciplinary; Physics, Applied</t>
  </si>
  <si>
    <t>Science &amp; Technology - Other Topics; Materials Science; Physics</t>
  </si>
  <si>
    <t>O6KX8</t>
  </si>
  <si>
    <t>WOS:001044885700001</t>
  </si>
  <si>
    <t>Shi, X; Zhang, Q; Ma, SK; Zhang, H; Gao, X; Li, R; Zhang, G</t>
  </si>
  <si>
    <t>Shi, Xu; Zhang, Qian; Ma, Shuokun; Zhang, Han; Gao, Xiang; Li, Rui; Zhang, Gang</t>
  </si>
  <si>
    <t>Design of Filtering Coupler Based on Patch Resonator with High Selectivity</t>
  </si>
  <si>
    <t>INTERNATIONAL JOURNAL OF RF AND MICROWAVE COMPUTER-AIDED ENGINEERING</t>
  </si>
  <si>
    <t>HYBRID</t>
  </si>
  <si>
    <t>In this paper, a new approach for designing a planar high frequency selectivity filtering coupler based on a circular patch resonator is proposed. In order to explain the operating principle, the resonant property of the circular patch resonator has been investigated firstly. Two circular patch resonators connected by two microstrip lines are used in this design. A filtering coupler is achieved by adjusting the feeder position and the length and width of the microstrip line used to connect the two resonators. Without additional circuits, the desired 0 &amp; DEG; and 180 &amp; DEG; phase differences are realized by the inherent in-phase and out-of-phase characteristics of E-fields at the TM11 mode. To improve the passband selectivity, transmission zeros are created by introducing a coupling between the source and load through the coupling slots etched on the ground. Finally, a prototype of the filtering coupler centered at 2.12 GHz is designed, implemented, and tested, while the measured results coincide well with simulated ones, verifying the proposed design concept.</t>
  </si>
  <si>
    <t>[Shi, Xu; Zhang, Qian; Ma, Shuokun; Zhang, Han; Gao, Xiang; Li, Rui; Zhang, Gang] Nanjing Normal Univ, Sch Elect &amp; Automat Engn, Nanjing 210046, Peoples R China</t>
  </si>
  <si>
    <t>Nanjing Normal University</t>
  </si>
  <si>
    <t>Gao, X (corresponding author), Nanjing Normal Univ, Sch Elect &amp; Automat Engn, Nanjing 210046, Peoples R China.</t>
  </si>
  <si>
    <t>sx945750525@126.com; zhangqiannnu0829@163.com; q1113768935@163.com; 1161190080@qq.com; gaoxiang@njnu.edu.cn; lirui202069@163.com; gang_zhang@126.com</t>
  </si>
  <si>
    <t>National Natural Science Foundation of China [62171226]; Postgraduate Research amp; Practice Innovation Program of Jiangsu Province [SJCX22_0559]</t>
  </si>
  <si>
    <t>National Natural Science Foundation of China(National Natural Science Foundation of China (NSFC)); Postgraduate Research amp; Practice Innovation Program of Jiangsu Province</t>
  </si>
  <si>
    <t>AcknowledgmentsThis work was supported in part by the National Natural Science Foundation of China under Grant 62171226 and Postgraduate Research &amp; Practice Innovation Program of Jiangsu Province under Grant SJCX22_0559.</t>
  </si>
  <si>
    <t>1096-4290</t>
  </si>
  <si>
    <t>1099-047X</t>
  </si>
  <si>
    <t>INT J RF MICROW C E</t>
  </si>
  <si>
    <t>Int. J. RF Microw. Comput-Aid. Eng.</t>
  </si>
  <si>
    <t>AUG 10</t>
  </si>
  <si>
    <t>10.1155/2023/2437462</t>
  </si>
  <si>
    <t>Computer Science, Interdisciplinary Applications; Engineering, Electrical &amp; Electronic</t>
  </si>
  <si>
    <t>P4RZ6</t>
  </si>
  <si>
    <t>WOS:001050548000001</t>
  </si>
  <si>
    <t>Syna, HD</t>
  </si>
  <si>
    <t>Syna, Helena Desivilya</t>
  </si>
  <si>
    <t>Editor's foreword to Special Issue on The Promise of Moral Examplars for Conflict Resolution and Intergroup Reconciliation</t>
  </si>
  <si>
    <t>CONFLICT RESOLUTION QUARTERLY</t>
  </si>
  <si>
    <t>[Syna, Helena Desivilya] Max Stern Yezreel Valley Coll, Social Org Psychol &amp; Social Conflict, Yezreel Valley, Israel</t>
  </si>
  <si>
    <t>Syna, HD (corresponding author), Max Stern Yezreel Valley Coll, Social Org Psychol &amp; Social Conflict, Yezreel Valley, Israel.</t>
  </si>
  <si>
    <t>desiv@yvc.ac.il</t>
  </si>
  <si>
    <t>Desivilya, Helena/0000-0002-3481-6003</t>
  </si>
  <si>
    <t>1536-5581</t>
  </si>
  <si>
    <t>1541-1508</t>
  </si>
  <si>
    <t>CONFL RESOLUT Q</t>
  </si>
  <si>
    <t>Confl. Resol. Q.</t>
  </si>
  <si>
    <t>JAN</t>
  </si>
  <si>
    <t>10.1002/crq.21405</t>
  </si>
  <si>
    <t>R2CR6</t>
  </si>
  <si>
    <t>WOS:001045095400001</t>
  </si>
  <si>
    <t>Wang, HA; Liang, HJ; Ernst, TM; Nakama, H; Cunningham, E; Chang, LD</t>
  </si>
  <si>
    <t>Wang, Hannah A. A.; Liang, Hua-Jun; Ernst, Thomas M.; Nakama, Helenna; Cunningham, Eric; Chang, Linda</t>
  </si>
  <si>
    <t>Independent and combined effects of methamphetamine use disorders and APOE epsilon 4 allele on cognitive performance and brain morphometry</t>
  </si>
  <si>
    <t>aging; apolipoprotein E-epsilon 4; brain morphometry; cognitive function; methamphetamine; MRI</t>
  </si>
  <si>
    <t>AMPHETAMINE-TYPE STIMULANTS; SURFACE-BASED ANALYSIS; GRAY-MATTER VOLUME; APOLIPOPROTEIN-E; DEPENDENT INDIVIDUALS; APOE EPSILON-4; HIV; GENOTYPE; ATROPHY; ABNORMALITIES</t>
  </si>
  <si>
    <t>Aims: Prior studies showed that methamphetamine (METH) users had greater than normal age-related brain atrophy; whether having the apolipoprotein E (APOE)-epsilon 4 allele may be a contributory factor has not been evaluated. We aimed to determine the independent and combined effects of chronic heavy METH use and having at least one copy of the APOE-epsilon 4 allele (APOE-epsilon 4+) on brain morphometry and cognition, especially in relation to aging. Methods: We compared brain morphometry and cognitive performance in 77 individuals with chronic heavy METH use (26 APOE-epsilon 4+, 51 APOE-epsilon 4-) and 226 Non-METH users (66 APOE-epsilon 4+, 160 APOE-epsilon 4-), using a 2 x 2 design (two-way analysis of co-variance). Vertex-wise cortical volumes, thickness and seven subcortical volumes, were automatically measured using FreeSurfer. Linear regression between regional brain measures, and cognitive scores that showed group differences were evaluated. Group differences in age-related decline in brain and cognitive measures were also explored. Results: Regardless of APOE-epsilon 4 genotype, METH users had lower Motor Z-scores (P = 0.005), thinner right lateral-orbitofrontal cortices (P &lt; 0.001), smaller left pars-triangularis gyrus volumes (P = 0.004), but larger pallida, hippocampi and amygdalae (P = 0.004-0.006) than nonusers. Across groups, APOE-epsilon 4+ METH users had the smallest volumes of superior frontal cortical gyri bilaterally, and of the smallest volume in left rostral-middle frontal gyri (all P-values &lt;0.001). Smaller right superior-frontal gyrus predicted poorer motor function only in APOE-epsilon 4+ participants (interaction-P &lt; 0.001). Cortical volumes and thickness declined with age similarly across all participants; however, APOE-epsilon 4-carriers showed thinner right inferior parietal cortices than noncarriers at younger age (interaction-P &lt; 0.001). Conclusions: Chronic heavy use and having at least one copy of the APOE-epsilon 4 allele may have synergistic effects on brain atrophy, particularly in frontal cortices, which may contribute to their poorer cognitive function. However, the enlarged subcortical volumes in METH users replicated prior studies, and are likely due to METH-mediated neuroinflammation.</t>
  </si>
  <si>
    <t>[Wang, Hannah A. A.; Liang, Hua-Jun; Ernst, Thomas M.; Cunningham, Eric; Chang, Linda] Univ Maryland, Sch Med, Dept Diagnost Radiol &amp; Nucl Med, Baltimore, MD USA; [Ernst, Thomas M.; Chang, Linda] Johns Hopkins Univ, Sch Med, Dept Neurol, Baltimore, MD USA; [Nakama, Helenna] VA Fresno, Fresno, CA USA; [Chang, Linda] Univ Maryland, Sch Med, Dept Neurol, Baltimore, MD USA; [Chang, Linda] Univ Maryland, Sch Med, Dept Diagnost Radiol &amp; Nucl Med, 670 W Baltimore St, HSF 3, Baltimore, MD 21201 USA</t>
  </si>
  <si>
    <t>University System of Maryland; University of Maryland Baltimore; Johns Hopkins University; University System of Maryland; University of Maryland Baltimore; University System of Maryland; University of Maryland Baltimore</t>
  </si>
  <si>
    <t>Chang, LD (corresponding author), Univ Maryland, Sch Med, Dept Diagnost Radiol &amp; Nucl Med, 670 W Baltimore St, HSF 3, Baltimore, MD 21201 USA.</t>
  </si>
  <si>
    <t>lchang@som.umaryland.edu</t>
  </si>
  <si>
    <t>National Institutes of Health (NIH) [K24-DA16170, R24-DA27318, U54-NS56883]</t>
  </si>
  <si>
    <t>National Institutes of Health (NIH)(United States Department of Health &amp; Human ServicesNational Institutes of Health (NIH) - USA)</t>
  </si>
  <si>
    <t>National Institutes of Health (NIH), Grant/Award Numbers: K24-DA16170, R24-DA27318, U54-NS56883</t>
  </si>
  <si>
    <t>10.1111/add.16309</t>
  </si>
  <si>
    <t>O8FT3</t>
  </si>
  <si>
    <t>WOS:001046117900001</t>
  </si>
  <si>
    <t>Wijesekera, K; Kiff, C; Aralis, H; Sinclair, M; Bursch, B; Alejos, JC; Lester, P</t>
  </si>
  <si>
    <t>Wijesekera, Kanchana; Kiff, Cara; Aralis, Hilary; Sinclair, Maegan; Bursch, Brenda; Alejos, Juan C.; Lester, Patricia</t>
  </si>
  <si>
    <t>Hybrid delivery of behavioral health screening and prevention intervention for pediatric heart transplant recipients and families: A randomized pilot study</t>
  </si>
  <si>
    <t>adherence; behavioral health; family functioning; pediatric heart transplant</t>
  </si>
  <si>
    <t>POSTTRAUMATIC-STRESS-DISORDER; DIFFICULTIES QUESTIONNAIRE; DEPRESSION; CHILDREN; RELIABILITY; ADOLESCENTS; STRENGTHS; SEVERITY</t>
  </si>
  <si>
    <t>BackgroundA significant number of pediatric heart transplant recipients and their families experience post-traumatic stress symptoms following transplantation, which can impact recipient behavioral and medical health outcomes. Preventive behavioral health interventions may improve outcomes, especially if interventions can be delivered at a distance to decrease barriers to mental health care. This pilot study examined the acceptability and accessibility of an evidence-informed resilience training program delivered using a video telehealth platform. A secondary aim was to assess the preliminary efficacy of the intervention on recipient behavioral health outcomes, perceived barriers to recipient medication adherence, parent behavioral health outcomes, and family functioning. MethodsSeventeen heart transplant recipients (8-18 years old) and their families were recruited and randomly assigned to a treatment as usual (n = 8) or an intervention group (n = 9). Baseline assessment data collected included demographic information and validated behavioral health measures. Follow-up assessments included the validated measures and acceptability and satisfaction ratings. ResultsThe study demonstrated that the program has high acceptability by recipients and parents, and a positive impact on recipients and parents, including significant reductions in youth behavioral difficulties as well as parent depression and post-traumatic stress symptoms. ConclusionsResults of this study are promising and call for further evaluation of hybrid delivery models for behavioral health screening and prevention interventions for pediatric heart transplant recipients and their families.</t>
  </si>
  <si>
    <t>[Wijesekera, Kanchana; Kiff, Cara; Aralis, Hilary; Sinclair, Maegan; Bursch, Brenda; Lester, Patricia] UCLA, David Geffen Sch Med, Dept Psychiat &amp; Biobehav Sci, Los Angeles, CA 90095 USA; [Bursch, Brenda; Alejos, Juan C.] UCLA, David Geffen Sch Med, Dept Pediat, Los Angeles, CA USA</t>
  </si>
  <si>
    <t>University of California System; University of California Los Angeles; University of California Los Angeles Medical Center; David Geffen School of Medicine at UCLA; University of California System; University of California Los Angeles; University of California Los Angeles Medical Center; David Geffen School of Medicine at UCLA</t>
  </si>
  <si>
    <t>Wijesekera, K (corresponding author), UCLA, David Geffen Sch Med, Dept Psychiat &amp; Biobehav Sci, Los Angeles, CA 90095 USA.</t>
  </si>
  <si>
    <t>drkanchiw@gmail.com</t>
  </si>
  <si>
    <t>Bursch, Brenda/0000-0002-6548-1891; Alejos, Juan/0000-0002-7653-6114</t>
  </si>
  <si>
    <t>10.1111/petr.14577</t>
  </si>
  <si>
    <t>O6KT1</t>
  </si>
  <si>
    <t>WOS:001044881000001</t>
  </si>
  <si>
    <t>Yeo, BSY; Toh, EMS; Lim, NEK; Lee, RS; Ho, RCM; Tam, WWS; Ngo, RYS</t>
  </si>
  <si>
    <t>Yeo, Brian Sheng Yep; Toh, Emma Min Shuen; Lim, Nicholas E-Kai; Lee, Rachel Siying; Ho, Roger Chun Man; Tam, Wilson Wai San; Ngo, Raymond Yeow Seng</t>
  </si>
  <si>
    <t>Association of Benign Paroxysmal Positional Vertigo with Depression and Anxiety-A Systematic Review and Meta-Analysis</t>
  </si>
  <si>
    <t>anxiety; Benign Paroxysmal Positional Vertigo; depression; peripheral vertigo</t>
  </si>
  <si>
    <t>PSYCHOLOGICAL DISTRESS; DIZZINESS; HYPERVENTILATION; HETEROGENEITY; COMORBIDITY; DIAGNOSIS; SYMPTOMS; QUALITY; DISEASE</t>
  </si>
  <si>
    <t>ObjectiveTo evaluate the extent to which Benign Paroxysmal Positional Vertigo (BPPV) is associated with a higher prevalence of depression and anxiety in patients. Data SourcesThree databases including PubMed, Embase, and The Cochrane Library were searched by two independent authors from inception to June 12, 2022 for observational studies and randomized controlled trials investigating the association between BPPV and depression and anxiety. We included studies published as full-length articles in peer-reviewed journals with an adult population aged at least 18 years who have BPPV, detected through validated clinical methods like clinical diagnosis, interview and Dix-Hallpike test. ResultsA total of 23 articles met the final inclusion criteria and 19 articles were included in the meta-analysis. BPPV was associated with a 3.19 increased risk of anxiety compared to controls, and 27% (17%-39%) of BPPV patients suffered from anxiety. Furthermore, the weighted average Beck's Anxiety Inventory score was 18.38 (12.57; 24.18), while the weighted average State-Trait Anxiety Index score was 43.08 (37.57; 48.60). ConclusionThere appears to be some association between BPPV and anxiety, but further studies are required to confirm these associations. Laryngoscope, 2023</t>
  </si>
  <si>
    <t>[Yeo, Brian Sheng Yep; Toh, Emma Min Shuen; Lim, Nicholas E-Kai; Lee, Rachel Siying] Natl Univ Singapore, Yong Loo Lin Sch Med, Singapore, Singapore; [Ho, Roger Chun Man] Natl Univ Singapore Hosp, Dept Psychol Med, Singapore, Singapore; [Tam, Wilson Wai San] Natl Univ Singapore, Alice Lee Ctr Nursing Studies, Yong Loo Lin Sch Med, Singapore, Singapore; [Ngo, Raymond Yeow Seng] Natl Univ Singapore Hosp, Dept Otorhinolaryngol Head &amp; Neck Surg, Singapore, Singapore; [Ngo, Raymond Yeow Seng] Natl Univ Singapore NUS, Yong Loo Lin Sch Med, Dept Otolaryngol, Singapore, Singapore</t>
  </si>
  <si>
    <t>National University of Singapore; National University of Singapore; National University of Singapore; National University of Singapore; National University of Singapore</t>
  </si>
  <si>
    <t>Ngo, RYS (corresponding author), Natl Univ Singapore NUS, Yong Loo Lin Sch Med, Dept Otolaryngol, Singapore, Singapore.</t>
  </si>
  <si>
    <t>entnysr@nus.edu.sg</t>
  </si>
  <si>
    <t>10.1002/lary.30957</t>
  </si>
  <si>
    <t>O5ZY2</t>
  </si>
  <si>
    <t>WOS:001044599900001</t>
  </si>
  <si>
    <t>Bondue, CJ; Spallek, M; Sobota, L; Tschulik, K</t>
  </si>
  <si>
    <t>Bondue, Christoph J. J.; Spallek, Marius; Sobota, Lennart; Tschulik, Kristina</t>
  </si>
  <si>
    <t>Electrochemical Aldehyde Oxidation at Gold Electrodes: gem-Diol, non-Hydrated Aldehyde, and Diolate as Electroactive Species</t>
  </si>
  <si>
    <t>electrochemistry; aldehyde oxidation; electrocatalysis; electrosynthesis; biomass upgrading</t>
  </si>
  <si>
    <t>HYDROGEN EVOLUTION; ELECTROOXIDATION; ACETALDEHYDE; ADSORPTION; FORMALDEHYDE; MECHANISM; PLATINUM; ETHANOL; MERCURY</t>
  </si>
  <si>
    <t>To date the electroactive species of selective aldehyde oxidation to carboxylates at gold electrodes is usually assumed to be the diolate. It forms with high concentration only in very alkaline electrolytes, when OH- binds to the carbonyl carbon atom. Accordingly, the electrochemical upgrading of biomass-derived aldehydes to carboxylates is believed to be limited to very alkaline electrolytes at many electrode materials. However, OH--induced aldehyde decomposition in these electrolytes prevents application of electrochemical aldehyde oxidation for the sustainable upgrading of biomass to value-added chemicals at industrial scale. Here, we demonstrate the successful oxidation of aliphatic aldehydes at a rotating gold electrode at pH 12, where only 1 % of the aldehyde resides as the diolate species. This concentration is too small to account for the observed current, which shows that also other aldehyde species (i. e., the geminal diol and the non-hydrated aldehyde) are electroactive. This insight allows developing strategies to omit aldehyde decomposition while achieving high current densities for the selective aldehyde oxidation, making its future industrial application viable.</t>
  </si>
  <si>
    <t>[Bondue, Christoph J. J.; Spallek, Marius; Sobota, Lennart; Tschulik, Kristina] Ruhr Univ Bochum, Fac Chem &amp; Biochem, Chair Analyt Chem 2, D-44801 Bochum, Germany; [Tschulik, Kristina] Max Planck Inst Eisenforschung GmbH, D-40237 Dusseldorf, Germany</t>
  </si>
  <si>
    <t>Ruhr University Bochum; Max Planck Society</t>
  </si>
  <si>
    <t>Bondue, CJ; Tschulik, K (corresponding author), Ruhr Univ Bochum, Fac Chem &amp; Biochem, Chair Analyt Chem 2, D-44801 Bochum, Germany.;Tschulik, K (corresponding author), Max Planck Inst Eisenforschung GmbH, D-40237 Dusseldorf, Germany.</t>
  </si>
  <si>
    <t>Christoph.bondue@rub.de; kristina.tschulik@rub.de</t>
  </si>
  <si>
    <t>Tschulik, Kristina/AAF-4452-2021</t>
  </si>
  <si>
    <t>Tschulik, Kristina/0000-0001-7637-4082; Bondue, Christoph/0000-0003-3619-3230; Spallek, Marius/0009-0000-1085-5609</t>
  </si>
  <si>
    <t>European Union's Horizon 2020 research and innovation programme under the Marie Sklodowska-Curie grant [TRR 247-388390466]; Deutsche Forschungsgemeinschaft (DFG) under Germany's Excellence Strategy; Projekt DEAL; [801459-FP-RESO-MUS]; [EXC 2033-390677874-RESOLV]</t>
  </si>
  <si>
    <t>European Union's Horizon 2020 research and innovation programme under the Marie Sklodowska-Curie grant(Marie Curie Actions); Deutsche Forschungsgemeinschaft (DFG) under Germany's Excellence Strategy(German Research Foundation (DFG)); Projekt DEAL; ;</t>
  </si>
  <si>
    <t>This project received funding from the European Union's Horizon 2020 research and innovation programme under the Marie Sklodowska-Curie grant agreement No 801459-FP-RESO-MUS and was funded by the Deutsche Forschungsgemeinschaft (DFG) under Germany's Excellence Strategy - EXC 2033-390677874-RESOLV and in the framework of the TRR 247-388390466 (project A09). Open Access funding enabled and organized by Projekt DEAL.</t>
  </si>
  <si>
    <t>2023 AUG 9</t>
  </si>
  <si>
    <t>10.1002/cssc.202300685</t>
  </si>
  <si>
    <t>O5UT5</t>
  </si>
  <si>
    <t>WOS:001044465100001</t>
  </si>
  <si>
    <t>Bouchard, C; Nicolas, D</t>
  </si>
  <si>
    <t>Bouchard, C.; Nicolas, D.</t>
  </si>
  <si>
    <t>Estimating migration speed of glass eels during their colonization of a Mediterranean lagoon</t>
  </si>
  <si>
    <t>Anguilla anguilla; glass eels; Mediterranean lagoons; migration speed; migratory behavior; selective tidal stream transport</t>
  </si>
  <si>
    <t>ANGUILLA-ANGUILLA L.; RHYTHMIC SWIMMING ACTIVITY; L DIPTERA-SCATOPHAGIDAE; DOUBLE-HURDLE MODEL; EUROPEAN EEL; REPRODUCTIVE-BEHAVIOR; SEXUAL SELECTION; RECRUITMENT; PATTERNS; CONSUMPTION</t>
  </si>
  <si>
    <t>Migration speed can have important evolutionary consequences as it can affect the timing of arrival, remaining energy reserves, and habitat choice. Environmental conditions and individual phenotypic traits can impact the migration speed of individuals. In this way, estimating migration speed is of particular importance, especially for species under strong management strategies and colonizing highly diversified habitats, as is the case for the European eel. However, estimating the migration speed of glass eels, which is the life stage when eels colonize continental habitats, presents challenges due to typically low re-capture probabilities and difficulties in tagging individuals. Using recruitment time series at two sites, one at the sea connection and another inland, we estimated the temporal lag between the two migration peaks to compute migration speed. Because we worked on the Mediterranean coasts and in a lagoon, the weak tidal amplitudes may inhibit individuals from efficiently performing the selective tidal stream transport. We obtained migration speed values coherent with the few values available in the literature for Atlantic estuaries. The values we obtained that are lower than those obtained for Atlantic estuaries are also coherent with the weak tides along the Mediterranean coasts and lead to necessary further studies to understand the migratory behavior of glass eels in such hydro-systems.</t>
  </si>
  <si>
    <t>[Bouchard, C.] Univ Pau &amp; Pays Adour, UMR ECOBIOP 1224, St pee sur nivelle, France; [Bouchard, C.; Nicolas, D.] Tour Valat Res Inst, Arles, France; [Bouchard, C.] Univ Pau &amp; Pays Adour, UMR 1224 ECOBIOP, E2S UPPA, INRAe, St Pee sur nivelle, France</t>
  </si>
  <si>
    <t>Universite de Pau et des Pays de l'Adour; Universite de Pau et des Pays de l'Adour; INRAE</t>
  </si>
  <si>
    <t>Bouchard, C (corresponding author), Univ Pau &amp; Pays Adour, UMR 1224 ECOBIOP, E2S UPPA, INRAe, St Pee sur nivelle, France.</t>
  </si>
  <si>
    <t>colin.bouchard@icloud.com</t>
  </si>
  <si>
    <t>Bouchard, Colin/0000-0003-0845-9492</t>
  </si>
  <si>
    <t>Region Sud; Agence de l'eau Rhpne-Mediterranee, France; Tour du Valat research Institute, France</t>
  </si>
  <si>
    <t>10.1111/jfb.15514</t>
  </si>
  <si>
    <t>O6SF5</t>
  </si>
  <si>
    <t>WOS:001045075500001</t>
  </si>
  <si>
    <t>Guo, ZD; Dong, GS; Zhang, M; Gao, MS; Shao, LJ; Chen, M; Liu, HL; Ni, MC; Cao, DX; Zhu, K</t>
  </si>
  <si>
    <t>Guo, Zhendong; Dong, Guangsheng; Zhang, Man; Gao, Musen; Shao, Leijun; Chen, Meng; Liu, Hongli; Ni, Mingchen; Cao, Dianxue; Zhu, Kai</t>
  </si>
  <si>
    <t>Sulfur-Decorated Ti3C2TX MXene for High-Performance Sodium/Potassium-Ion Batteries</t>
  </si>
  <si>
    <t>Ti3C2Tx MXene; Sodium ion battery; Potassium ion battery; Sulfur decoration</t>
  </si>
  <si>
    <t>ANODE MATERIAL; HIGH-CAPACITY; LI; INTERCALATION; NANOSHEETS; POTASSIUM; CARBON; NA</t>
  </si>
  <si>
    <t>As post-lithium ion batteries, both sodium-ion batteries (SIBs) and potassium ion batteries (PIBs) possess great potential for large scale energy storage. However, the application of both SIBs and PIBs are hindered by the lack of suitable electrode materials. Here, we synthesized the sulfur decorated Ti3C2Tx (S-T3C2Tx) MXene as electrode material for SIBs and PIBs. Thanks to the sulfur functional group and the formation of Ti-S bond, which facilitates the sodium in-/desertion and strengthens the potassium ion adsorption ability, as well as enhances ion reaction kinetics and improved structure stability, the S-T3C2Tx exhibit excellent sodium/potassium storage performance, high reversible capacities of 151 and 101 mAh g(-1) at 0.1 mA g(-1) were achieved for SIBs and PIBs, respectively. Moreover, the S-T3C2Tx exhibits remarkable long-term capacity stability at a high density of 500 mA g(-1), providing an impressive storage of 88 mAh g(-1) for SIBs and 41 mAh g(-1) for PIBs even after 2000 cycles. This work could give a deep comprehension of the heteroatom modification influence on the MXene-based framework and promote the application of MXene electrodes.</t>
  </si>
  <si>
    <t>[Guo, Zhendong; Liu, Hongli; Ni, Mingchen] Northeast Elect Power Univ, Coll Sci, Jilin, Peoples R China; [Dong, Guangsheng; Zhang, Man; Chen, Meng; Cao, Dianxue; Zhu, Kai] Harbin Engn Univ, Coll Mat Sci &amp; Chem Engn, Key Lab Superlight Mat &amp; Surface Technol, Minist Educ, Harbin 150001, Peoples R China; [Gao, Musen] Dongying Kunyu Power Technol Co Ltd, Dongying, Peoples R China; [Shao, Leijun] Hanghai Aerosp Power Technol Co, Shanghai 201114, Peoples R China</t>
  </si>
  <si>
    <t>Northeast Electric Power University; Harbin Engineering University</t>
  </si>
  <si>
    <t>Zhu, K (corresponding author), Harbin Engn Univ, Coll Mat Sci &amp; Chem Engn, Key Lab Superlight Mat &amp; Surface Technol, Minist Educ, Harbin 150001, Peoples R China.;Gao, MS (corresponding author), Dongying Kunyu Power Technol Co Ltd, Dongying, Peoples R China.</t>
  </si>
  <si>
    <t>gaomusen@cospowers.com; kzhu@hrbeu.edu.cn</t>
  </si>
  <si>
    <t>Zhu, Kai/M-9959-2015</t>
  </si>
  <si>
    <t>Zhu, Kai/0000-0002-9451-0890; , zhendong/0000-0002-1264-8192</t>
  </si>
  <si>
    <t>Jilin Province Science and Technology Development Program Project [YDZJ202301ZYTS260]; Jilin Provincial Department of Education Science and Technology Research Project [JJKH20220092KJ]</t>
  </si>
  <si>
    <t>Jilin Province Science and Technology Development Program Project; Jilin Provincial Department of Education Science and Technology Research Project</t>
  </si>
  <si>
    <t>Acknowledgments This work is supported by Jilin Province Science and Technology Development Program Project (NO. YDZJ202301ZYTS260), Jilin Provincial Department of Education Science and Technology Research Project (NO. JJKH20220092KJ).</t>
  </si>
  <si>
    <t>10.1002/asia.202300336</t>
  </si>
  <si>
    <t>O4VN2</t>
  </si>
  <si>
    <t>WOS:001043807700001</t>
  </si>
  <si>
    <t>Haryanti, T; Rakhmawati, NA; Subriadi, AP</t>
  </si>
  <si>
    <t>Haryanti, Tining; Rakhmawati, Nur Aini; Subriadi, Apol Pribadi</t>
  </si>
  <si>
    <t>Measuring the digital transformation maturity level independently with the design science research methodology</t>
  </si>
  <si>
    <t>design science research methodology; digital maturity; digital maturity index; digital transformation</t>
  </si>
  <si>
    <t>INFORMATION; DIVIDE; MODEL; COUNTRIES; COMMUNICATION; TECHNOLOGIES; SOFTWARE; SUCCESS</t>
  </si>
  <si>
    <t>This study uses the Design Science Research Methodology (DSRM) approach in creating an artifact on the perspective of the Information System. Design Science as a valuable tool for creating a new artifact or developing an existing artifact through research. The DSRM Framework described in this study discusses the implementation of each stage, namely, Explicated Problem, Define Requirement, Design and Development, Demonstration, and Evaluation and is complemented by the implementation of case studies of artifact creation in DSRM stages. The Digital Maturity Measurement in question is a service to measure digital maturity in various dimensions. Each DSRM stage is mapped to a case study of that service.Canvas visualization is presented to describe a complete picture of how the artifacts of Digital maturity services are built with the DSRM approach. This research also provides guidance on the principles, procedures, and characteristics needed to build effective research.</t>
  </si>
  <si>
    <t>[Haryanti, Tining] Univ Muhammadiyah Surabaya, Inst Sepuluh Nopember Surabaya, Surabaya, Indonesia; [Rakhmawati, Nur Aini; Subriadi, Apol Pribadi] Inst Sepuluh Nopember Surabaya, Informat Syst Dept, Surabaya, Indonesia</t>
  </si>
  <si>
    <t>Universitas Muhammadiyah Surabaya</t>
  </si>
  <si>
    <t>Haryanti, T (corresponding author), Univ Muhammadiyah Surabaya, Inst Sepuluh Nopember Surabaya, Surabaya, Indonesia.</t>
  </si>
  <si>
    <t>tining.haryanti@gmail.com</t>
  </si>
  <si>
    <t>Institut Teknologi Sepuluh Nopember Surabaya</t>
  </si>
  <si>
    <t>10.1002/sys.21714</t>
  </si>
  <si>
    <t>O6CO8</t>
  </si>
  <si>
    <t>WOS:001044668500001</t>
  </si>
  <si>
    <t>He, L; Chen, L; Zheng, HT; Zhang, YJ; Tang, SK; Chen, H</t>
  </si>
  <si>
    <t>He, Li; Chen, Lin; Zheng, Haotian; Zhang, Yingjun; Tang, Sikai; Chen, Hui</t>
  </si>
  <si>
    <t>Investigation of COVID-19 vaccination among maintenance hemodialysis patients in Sichuan, China</t>
  </si>
  <si>
    <t>COVID-19; hemodialysis; vaccination status; vaccine</t>
  </si>
  <si>
    <t>HEALTH-CARE WORKERS; KIDNEY-TRANSPLANT; DIALYSIS PATIENTS; MORTALITY; HESITANCY</t>
  </si>
  <si>
    <t>Aim: To investigate the current status of COVID-19 vaccination in maintenance hemodialysis (MHD) patients and its influencing factors. Methods: In total, 585 patients undergoing regular hemodialysis in Sichuan Province of China from January to March 2022 were selected to complete a questionnaire survey on their knowledge, attitudes and practices regarding COVID-19 vaccination. Independent t tests and logistic multivariate analysis were used to analyze the influencing factors of COVID-19 vaccination in hemodialysis patients. Results: The survey showed that 37.44% of MHD patients had been vaccinated with the COVID-19 vaccine. Being married was associated with COVID-19 vaccination in patients with MHD (odds ratio [OR] = 1.969 95% CI 0 .870 similar to 4.453). MHD patients living in county areas have higher rates of COVID-19 vaccination (OR = 0.572 95% CI 0.301 similar to 1.087). Family /relatives/friends who are healthcare workers are associated with COVID-19 vaccination for MHD patients (OR = 1.840 95% CI 1.140 similar to 2.970). Other vaccination history within 5 years was a factor in COVID-19 vaccination for MHD patients (OR = 5.592 95% CI 2.997 similar to 10.434). Attitude (OR = 0.885 95% CI 0.808 similar to 0.905), and practice (OR = 0.756 95% CI 0.697 similar to 0.819) scores on the COVID-19 vaccination knowledge and practice questionnaire were related to the vaccination status of MHD patients. Conclusions: MHD patients had lower rates of COVID-19 vaccination. Marital status, living environment, whether family/relatives/friends were medical workers, and the score of the COVID-19 vaccine knowledge and practice questionnaire were the factors influencing their vaccination status. Clinical attention should be given to the adverse reactions of COVID-19 vaccination in MHD patients to improve the awareness of primary medical staff on hemodialysis, and families and society should pay more attention to COVID-19 vaccination in MHD patients.</t>
  </si>
  <si>
    <t>[He, Li; Chen, Lin; Zheng, Haotian; Zhang, Yingjun; Tang, Sikai; Chen, Hui] Sichuan Univ, West China Hosp, Hemodialysis Ctr, Dept Nephrol, Chengdu, Peoples R China; [He, Li; Chen, Lin; Zheng, Haotian; Zhang, Yingjun; Tang, Sikai; Chen, Hui] Sichuan Univ, West China Sch Nursing, Chengdu, Peoples R China</t>
  </si>
  <si>
    <t>Sichuan University; Sichuan University</t>
  </si>
  <si>
    <t>Chen, L (corresponding author), Sichuan Univ, West China Hosp, Hemodialysis Ctr, Dept Nephrol, Chengdu, Peoples R China.</t>
  </si>
  <si>
    <t>clhxxuetou@163.com</t>
  </si>
  <si>
    <t>Zhang, Ying Jun/T-6567-2019</t>
  </si>
  <si>
    <t>Zhang, Ying Jun/0000-0002-7304-6849; He, Li/0000-0003-2069-5201</t>
  </si>
  <si>
    <t>e12556</t>
  </si>
  <si>
    <t>10.1111/jjns.12556</t>
  </si>
  <si>
    <t>O6SO9</t>
  </si>
  <si>
    <t>WOS:001045084900001</t>
  </si>
  <si>
    <t>Herz, MA; Finzel, K; Schnelle, W; Ruck, M</t>
  </si>
  <si>
    <t>Herz, Maria Annette; Finzel, Kati; Schnelle, Walter; Ruck, Michael</t>
  </si>
  <si>
    <t>Bismuth-Rich Intermetallic Rods with a Note of Zintl-Phase</t>
  </si>
  <si>
    <t>bismuth; chain structures; intermetallic phases; mixed-valent compounds; Zintl phases</t>
  </si>
  <si>
    <t>CRYSTAL-STRUCTURES; POLYCATIONS; TELLURIUM; METALS</t>
  </si>
  <si>
    <t>Black needle-shaped crystals of the bismuth-rich mixed halogenide Bi21Rh4Cl6I7 were obtained by slow cooling of a melt of Bi, RhI3 and BiCl3. Single-crystal X-ray diffraction revealed an orthorhombic structure that consists of infinite intermetallic rods &amp; INFIN;1[ ${{}_{\infty }{}&lt;^&gt;{1}[}$ Bi9Rh2](3+) and discrete anionic groups [(Bi2Cl2I5)-Cl-II](3-) and [(BiCl4I2)-Cl-III](3-). The rods consist of Rh-centered [RhBi8] polyhedra that alternately share triangular and rectangular faces. Using traditional electron counting rules, the rod can be interpreted as a covalent polymer with Rh-2 dumbbells bonded to molecular Bi-2 and Bi-5 units. However, a quantum-chemical bonding analysis shows that the bonds involving Rh atoms are largely diffuse, while two-center bonds dominate in the bismuth units. The below 240 K observed semiconducting behavior of Bi21Rh4Cl6I7 is consistent with a complete localization of the valence electrons. Above 240 K, the resistance along the needle axis is largely independent of temperature.</t>
  </si>
  <si>
    <t>[Herz, Maria Annette; Finzel, Kati; Ruck, Michael] Tech Univ Dresden, Fac Chem &amp; Food Chem, D-01062 Dresden, Germany; [Herz, Maria Annette; Ruck, Michael] Tech Univ Dresden, Wurzburg Dresden Cluster Excellence Ct Qmat, D-01062 Dresden, Germany; [Finzel, Kati; Schnelle, Walter; Ruck, Michael] Max Planck Inst Chem Phys Solids, Nothnitzer Str 40, D-01187 Dresden, Germany</t>
  </si>
  <si>
    <t>Technische Universitat Dresden; Technische Universitat Dresden; Max Planck Society</t>
  </si>
  <si>
    <t>Ruck, M (corresponding author), Tech Univ Dresden, Fac Chem &amp; Food Chem, D-01062 Dresden, Germany.;Ruck, M (corresponding author), Tech Univ Dresden, Wurzburg Dresden Cluster Excellence Ct Qmat, D-01062 Dresden, Germany.;Ruck, M (corresponding author), Max Planck Inst Chem Phys Solids, Nothnitzer Str 40, D-01187 Dresden, Germany.</t>
  </si>
  <si>
    <t>michael.ruck@tu-dresden.de</t>
  </si>
  <si>
    <t>Herz, Maria/0000-0002-1053-4466</t>
  </si>
  <si>
    <t>Deutsche Forschungsgemeinschaft (DFG, German Research Foundation) under Germany's Excellence Strategy through the Wuerzburg-Dresden Cluster of Excellence on Complexity and Topology in Quantum Matter [EXC 2147, 390858490]</t>
  </si>
  <si>
    <t>Deutsche Forschungsgemeinschaft (DFG, German Research Foundation) under Germany's Excellence Strategy through the Wuerzburg-Dresden Cluster of Excellence on Complexity and Topology in Quantum Matter(German Research Foundation (DFG))</t>
  </si>
  <si>
    <t>We thank Dr. Ilka Kunert, Michaela Muench and Anja Bensch (all TU Dresden) as well as Ralf Koban (MPI CPfS Dresden) for technical support. The Graduate Academy of the Technische Universitaet Dresden is acknowledged for funding K. F. in terms of a habilitation fellowship. We acknowledge financial support by the Deutsche Forschungsgemeinschaft (DFG, German Research Foundation) under Germany's Excellence Strategy through the Wuerzburg-Dresden Cluster of Excellence on Complexity and Topology in Quantum Matter - ct.qmat (EXC 2147, project-id 390858490). Open Access funding enabled and organized by Projekt DEAL.</t>
  </si>
  <si>
    <t>10.1002/zaac.202300124</t>
  </si>
  <si>
    <t>O6AD3</t>
  </si>
  <si>
    <t>WOS:001044605000001</t>
  </si>
  <si>
    <t>Horikirizono, H; Nakaichi, M; Itoh, H; Itamoto, K; Nemoto, Y; Sunahara, H; Tani, K</t>
  </si>
  <si>
    <t>Horikirizono, H.; Nakaichi, M.; Itoh, H.; Itamoto, K.; Nemoto, Y.; Sunahara, H.; Tani, K.</t>
  </si>
  <si>
    <t>Intraoperative hypertensive crisis in a dog with functional paraganglioma of the gall bladder</t>
  </si>
  <si>
    <t>JOURNAL OF SMALL ANIMAL PRACTICE</t>
  </si>
  <si>
    <t>GALLBLADDER; PHEOCHROMOCYTOMA; URINARY</t>
  </si>
  <si>
    <t>A 15-year-old spayed female mongrel presented with anorexia and an abdominal mass. The mass originated from the gall bladder and was surgically resected along with divisionectomy of the central hepatic division. Paroxysmal hypertension and tachycardia were noted during manipulation of the mass. Following resection, arterial blood pressure decreased significantly. Histopathological analysis confirmed a diagnosis of neuroendocrine neoplasm. Immunohistochemical staining for synaptophysin and chromogranin A yielded diffuse and strong positive results, while gastrin was positive in only 10% of the cells. The preoperative elevated concentrations of catecholamine in the urinalysis showed a marked decrease after surgery. Based on these findings, the tumour was diagnosed as a functional paraganglioma of the gall bladder. The patient has undergone regular thoracic radiographs and ultrasound examinations and, until 431 days after surgery, has shown no signs of metastases or recurrences. Based on our literature search, we report the first case of functional paraganglioma of the gall bladder in a dog.</t>
  </si>
  <si>
    <t>[Horikirizono, H.; Nakaichi, M.; Itoh, H.; Itamoto, K.; Nemoto, Y.; Sunahara, H.; Tani, K.] Yamaguchi Univ, Joint Fac Vet Med, 1 1677 Yoshida, Yamaguchi 7538515, Japan; [Horikirizono, H.] Gifu Univ, Fac Appl Biol Sci, Anim Med Ctr, 1-1 Yanagido, Gifu 5011193, Japan</t>
  </si>
  <si>
    <t>Yamaguchi University; Gifu University</t>
  </si>
  <si>
    <t>Horikirizono, H (corresponding author), Yamaguchi Univ, Joint Fac Vet Med, 1 1677 Yoshida, Yamaguchi 7538515, Japan.;Horikirizono, H (corresponding author), Gifu Univ, Fac Appl Biol Sci, Anim Med Ctr, 1-1 Yanagido, Gifu 5011193, Japan.</t>
  </si>
  <si>
    <t>horikirizono.hiro.b6@f.gifu-u.ac.jp</t>
  </si>
  <si>
    <t>Horikirizono, Hiro/0000-0001-7890-2002</t>
  </si>
  <si>
    <t>0022-4510</t>
  </si>
  <si>
    <t>1748-5827</t>
  </si>
  <si>
    <t>J SMALL ANIM PRACT</t>
  </si>
  <si>
    <t>J. Small Anim. Pract.</t>
  </si>
  <si>
    <t>10.1111/jsap.13665</t>
  </si>
  <si>
    <t>O6GM1</t>
  </si>
  <si>
    <t>WOS:001044769900001</t>
  </si>
  <si>
    <t>Hossain, MM; Wang, LF; Yu, J</t>
  </si>
  <si>
    <t>Hossain, Md Mosharraf; Wang, Lafang; Yu, Jing</t>
  </si>
  <si>
    <t>The reputational costs of corporate environmental underperformance: evidence from China</t>
  </si>
  <si>
    <t>corporate environmental responsibility; corporate reputation; emerging market; environmental violation</t>
  </si>
  <si>
    <t>SOCIAL-RESPONSIBILITY; FINANCIAL PERFORMANCE; MANAGEMENT; DISCLOSURE; INVESTMENT; VIOLATIONS; STRATEGY; CONTEXT; RISK; CSR</t>
  </si>
  <si>
    <t>This study evaluates the relative importance of regulative and reputational pressures on corporate environmental performance by exploiting a novel research setting in China, where the financial penalties for corporate environmental wrongdoing are small. Despite the small monetary penalties, we still document a surprisingly strong negative stock price reaction to the news of corporate environmental violations. Additionally, we show that the negative stock market reaction weakens in firms with strong voluntary environmental commitment. But the effect of voluntary environmental commitment is less pronounced in state- or foreign-owned firms. Our study yields important managerial implications: our findings reveal considerable reputational losses associated with environmental misconducts and demonstrate the benefit of voluntary environmental commitment in upholding corporate reputation and helping firms recover during unfavorable environmental crises.</t>
  </si>
  <si>
    <t>[Hossain, Md Mosharraf] Univ Western Australia, Dept Accounting &amp; Finance, Perth, WA, Australia; [Wang, Lafang] Hunan Univ, Sch Econ &amp; Trade, Changsha, Peoples R China; [Yu, Jing] Univ Sydney, Discipline Finance, Sydney, NSW, Australia</t>
  </si>
  <si>
    <t>University of Western Australia; Hunan University; University of Sydney</t>
  </si>
  <si>
    <t>Yu, J (corresponding author), Univ Sydney, Discipline Finance, Sydney, NSW, Australia.</t>
  </si>
  <si>
    <t>jing.yu@sydney.edu.au</t>
  </si>
  <si>
    <t>Yu, Jing/0000-0002-5544-3648; Hossain, Md Mosharraf/0000-0002-6453-4437</t>
  </si>
  <si>
    <t>University of Sydney Business School; National Natural Science Foundation of China [72174059]; Ministry of Science and Technology of China [G2022160009L]</t>
  </si>
  <si>
    <t>University of Sydney Business School; National Natural Science Foundation of China(National Natural Science Foundation of China (NSFC)); Ministry of Science and Technology of China(Ministry of Science and Technology, China)</t>
  </si>
  <si>
    <t>The authors would like to thank the useful comments from seminar participants at the University of Western Australia and the University of Sydney. Yu acknowledges the financial support from the University of Sydney Business School. Wang acknowledges the financial support from the National Natural Science Foundation of China (Grant No. 72174059) and the Ministry of Science and Technology of China (Grant No. G2022160009L).</t>
  </si>
  <si>
    <t>10.1002/bse.3528</t>
  </si>
  <si>
    <t>O6GV2</t>
  </si>
  <si>
    <t>WOS:001044779000001</t>
  </si>
  <si>
    <t>Kim, J; Jeon, H; Kim, HY; Kim, Y</t>
  </si>
  <si>
    <t>Kim, JiMin; Jeon, Hanna; Yun Kim, Hye; Kim, YoungSoo</t>
  </si>
  <si>
    <t>Failure, Success, and Future Direction of Alzheimer Drugs Targeting Amyloid-beta Cascade: Pros and Cons of Chemical and Biological Modalities</t>
  </si>
  <si>
    <t>Alzheimer's disease; amyloid-beta; chemical drugs; immunotherapy; amyloid clearance</t>
  </si>
  <si>
    <t>BLOOD-BRAIN-BARRIER; A-BETA; DOUBLE-BLIND; RANDOMIZED-TRIAL; COGNITIVE IMPAIRMENT; INTRANASAL INSULIN; CEREBROSPINAL-FLUID; PRECURSOR PROTEIN; CLINICAL-TRIALS; SCYLLO-INOSITOL</t>
  </si>
  <si>
    <t>Alzheimer's disease (AD) is the most prevalent cause of dementia and has become a health concern worldwide urging for an effective therapeutic. The amyloid hypothesis, currently the most pursued basis of AD drug discovery, points the cause of AD to abnormal production and ineffective removal of pathogenic aggregated amyloid-beta (A beta). AD therapeutic research has been focused on targeting different species of A beta in the amyloidogenic process to control A beta content and recover cognitive decline. Among the different processes targeted, the clearance mechanism has been found to be the most effective, supported by the recent clinical approval of an A beta-targeting immunotherapeutic drug which significantly slowed cognitive decline. Although the current AD drug discovery field is extensively researching immunotherapeutic drugs, there are numerous properties of immunotherapy in need of improvements that could be overcome by an equally performing chemical drug. Here, we review chemical and immunotherapy drug candidates, based on their mechanism of modulating the amyloid cascade, selected from the AlzForum database. Through this review, we aim to summarize and evaluate the prospect of A beta-targeting chemical drugs.</t>
  </si>
  <si>
    <t>[Kim, JiMin; Jeon, Hanna; Yun Kim, Hye; Kim, YoungSoo] Yonsei Univ, Coll Pharm, Dept Pharm, Incheon 21983, South Korea; [Kim, JiMin; Jeon, Hanna; Yun Kim, Hye; Kim, YoungSoo] Yonsei Univ, Yonsei Inst Pharmaceut Sci, Coll Pharm, Incheon 21983, South Korea</t>
  </si>
  <si>
    <t>Yonsei University; Yonsei University</t>
  </si>
  <si>
    <t>Kim, HY; Kim, Y (corresponding author), Yonsei Univ, Coll Pharm, Dept Pharm, Incheon 21983, South Korea.;Kim, HY; Kim, Y (corresponding author), Yonsei Univ, Yonsei Inst Pharmaceut Sci, Coll Pharm, Incheon 21983, South Korea.</t>
  </si>
  <si>
    <t>hyeyunkim@yonsei.ac.kr; y.kim@yonsei.ac.kr</t>
  </si>
  <si>
    <t>10.1002/cbic.202300328</t>
  </si>
  <si>
    <t>O6HG6</t>
  </si>
  <si>
    <t>WOS:001044790400001</t>
  </si>
  <si>
    <t>Komijani, M; Wriggers, P; Goudarzi, T</t>
  </si>
  <si>
    <t>Komijani, Mohammad; Wriggers, Peter; Goudarzi, Taha</t>
  </si>
  <si>
    <t>An enriched mixed finite element model for the simulation of microseismic and acoustic emissions in fractured porous media with multi-phase flow and thermal coupling</t>
  </si>
  <si>
    <t>INTERNATIONAL JOURNAL FOR NUMERICAL AND ANALYTICAL METHODS IN GEOMECHANICS</t>
  </si>
  <si>
    <t>acoustic emission; microseismic emission; multi-phase flow; porous media; thermo-hydro-mechanical coupling</t>
  </si>
  <si>
    <t>DIRICHLET BOUNDARY-CONDITIONS; NUMERICAL-SIMULATION; IMMISCIBLE FLUIDS; ROCK FAILURE; PROPAGATION; CRACK; DAMAGE</t>
  </si>
  <si>
    <t>A novel mixed enriched finite element model is developed for coupled non-linear thermo-hydro-mechanical simulation of fractured porous media with three-phase flow and thermal coupling. Simulation of induced acoustic emission (AE) and microseismic emission (ME) due to tensile fracturing and shear slip instability of pre-existing fracture interfaces is carried out and the numerical results of the emitted signals are analysed. The mathematical model is based on the generalized Biot's theory for coupled interaction of solid and fluid phases. A computationally robust non-linear solver is developed to handle the severe non-linearities arising from fluid saturations, relative permeabilities of fluids, constitutive models of interfaces and convective thermal coupling. To model pre-existing natural fractures and faults, discrete fracture propagation and nucleation of cracks (micro-cracking) independently of the original mesh topology, a local Partition-of-Unity (PU) finite element method, namely, the Phantom Node Method (PNM) is implemented. The cohesive fracture modelling scheme is implemented to account for the non-linear behaviour of fracturing and localization, and to rectify the non-physical stress singularity condition at the fracture tip. Effects of different system parameters on fracturing, shear-slip instability and the associated induced AEs and MEs are investigated through various numerical results.</t>
  </si>
  <si>
    <t>[Komijani, Mohammad; Wriggers, Peter] Leibniz Univ Hannover, Inst Continuum Mech, Honnover, Germany; [Komijani, Mohammad; Goudarzi, Taha] Amirkabir Univ Technol, Dept Mech Engn, Tehran, Iran</t>
  </si>
  <si>
    <t>Leibniz University Hannover; Amirkabir University of Technology</t>
  </si>
  <si>
    <t>Komijani, M (corresponding author), Amirkabir Univ Technol, Dept Mech Engn, Tehran, Iran.</t>
  </si>
  <si>
    <t>m.komijani@aut.ac.ir</t>
  </si>
  <si>
    <t>Alexander von Humboldt-Stiftung</t>
  </si>
  <si>
    <t>0363-9061</t>
  </si>
  <si>
    <t>1096-9853</t>
  </si>
  <si>
    <t>INT J NUMER ANAL MET</t>
  </si>
  <si>
    <t>Int. J. Numer. Anal. Methods Geomech.</t>
  </si>
  <si>
    <t>10.1002/nag.3608</t>
  </si>
  <si>
    <t>Engineering, Geological; Materials Science, Multidisciplinary; Mechanics</t>
  </si>
  <si>
    <t>Engineering; Materials Science; Mechanics</t>
  </si>
  <si>
    <t>O5YD7</t>
  </si>
  <si>
    <t>WOS:001044553300001</t>
  </si>
  <si>
    <t>Lanyi, Y; Xiaomei, Z</t>
  </si>
  <si>
    <t>Lanyi, Yu; Xiaomei, Zhai</t>
  </si>
  <si>
    <t>Oocyte cryopreservation for non-medical reasons: Ethical and regulatory concerns in China</t>
  </si>
  <si>
    <t>DEVELOPING WORLD BIOETHICS</t>
  </si>
  <si>
    <t>assisted reproductive technology; ethical issues; fertility rate; oocyte cryopreservation; regulatory policy</t>
  </si>
  <si>
    <t>Assisted reproductive technology is a complex medical intervention with many potential social sensitivities. Within this domain, oocyte cryopreservation has emerged as an important research area for preserving female fertility. Against the backdrop of the hotly debated first legal case in China of a single woman wishing to freeze her eggs, and the implementation of the 'three-child policy' in China, there is an urgent need to evaluate policies and address ethical considerations surrounding oocyte cryopreservation for non-medical reasons. This review examines current policies, explores China's practices and research, and examines the latest ethical challenges surrounding non-medical oocyte cryopreservation. It develops strategies and recommendations that will be relevant in China and other developing countries seeking to navigate this complex landscape.</t>
  </si>
  <si>
    <t>[Xiaomei, Zhai] Chinese Acad Med Sci &amp; Peking Union Med Coll, Sch Populat Med &amp; Publ Hlth, Beijing, Peoples R China; [Lanyi, Yu; Xiaomei, Zhai] Chinese Acad Med Sci, Bioeth Ctr, Beijing, Peoples R China; [Lanyi, Yu] Chinese Acad Med Sci &amp; Peking Union Med Coll, Sch Populat Med &amp; Publ Hlth, Bioeth, Beijing, Peoples R China; [Xiaomei, Zhai] Peking Union Med Coll, Sch Populat Med &amp; Publ Hlth, Beijing, Peoples R China</t>
  </si>
  <si>
    <t>Chinese Academy of Medical Sciences - Peking Union Medical College; Peking Union Medical College; Chinese Academy of Medical Sciences - Peking Union Medical College; Chinese Academy of Medical Sciences - Peking Union Medical College; Peking Union Medical College; Chinese Academy of Medical Sciences - Peking Union Medical College; Peking Union Medical College</t>
  </si>
  <si>
    <t>Xiaomei, Z (corresponding author), Chinese Acad Med Sci &amp; Peking Union Med Coll, Sch Populat Med &amp; Publ Hlth, Beijing, Peoples R China.;Xiaomei, Z (corresponding author), Chinese Acad Med Sci, Bioeth Ctr, Beijing, Peoples R China.</t>
  </si>
  <si>
    <t>xmzhai@pumc.edu.cn</t>
  </si>
  <si>
    <t>Yu, Lanyi/0000-0001-9779-4158</t>
  </si>
  <si>
    <t>1471-8731</t>
  </si>
  <si>
    <t>1471-8847</t>
  </si>
  <si>
    <t>DEV WORLD BIOETH</t>
  </si>
  <si>
    <t>Dev. World Bioeth.</t>
  </si>
  <si>
    <t>10.1111/dewb.12418</t>
  </si>
  <si>
    <t>Ethics; Medical Ethics</t>
  </si>
  <si>
    <t>Social Sciences - Other Topics; Medical Ethics</t>
  </si>
  <si>
    <t>O4UZ5</t>
  </si>
  <si>
    <t>WOS:001043794000001</t>
  </si>
  <si>
    <t>Li, JF; Chen, ZC; Wang, JW; Jeong, SY; Yang, K; Feng, K; Yang, J; Liu, B; Woo, HY; Guo, XG</t>
  </si>
  <si>
    <t>Li, Jianfeng; Chen, Zhicai; Wang, Junwei; Jeong, Sang Young; Yang, Kun; Feng, Kui; Yang, Jie; Liu, Bin; Woo, Han Young; Guo, Xugang</t>
  </si>
  <si>
    <t>Semiconducting Polymers Based on Simple Electron-Deficient Cyanated trans-1,3-Butadienes for Organic Field-Effect Transistors</t>
  </si>
  <si>
    <t>Cyano-Functionalized Polymers; Electron Acceptors; Organic Thin-Film Transistors; Semiconducting Polymers</t>
  </si>
  <si>
    <t>STRUCTURE-PROPERTY CORRELATIONS; CHARGE-CARRIER; IMIDE; COPOLYMERS; MOBILITY; TEMPERATURE; POLARITY; HOLE</t>
  </si>
  <si>
    <t>Developing high-performance but low-cost n-type polymers remains a significant challenge in the commercialization of organic field-effect transistors (OFETs). To achieve this objective, it is essential to design the key electron-deficient units with simple structures and facile preparation processes, which can facilitate the production of low-cost n-type polymers. Herein, by sequentially introducing fluorine and cyano functionalities onto trans-1,3-butadiene, we developed a series of structurally simple but highly electron-deficient building blocks, namely 1,4-dicyano-butadiene (CNDE), 3-fluoro-1,4-dicyano-butadiene (CNFDE), and 2,3-difluoro-1,4-dicyano-butadiene (CNDFDE), featuring a highly coplanar backbone and deep-positioned lowest unoccupied molecular orbital (LUMO) energy levels (-3.03-4.33 eV), which render them highly attractive for developing n-type semiconducting polymers. Notably, all these electron-deficient units can be easily accessed by a two-step high-yield synthetic procedure from low-cost raw materials, thus rendering them highly promising candidates for commercial applications. Upon polymerization with diketopyrrolopyrrole (DPP), three copolymers were developed that demonstrated unipolar n-type transport characteristics in OFETs with the highest electron mobility of &gt;1 cm(2) V-1 s(-1). Hence, CNDE, CNFDE, and CNDFDE represent a class of novel, simple, and efficient electron-deficient units for constructing low-cost n-type polymers, thereby providing valuable insight for OFET applications.</t>
  </si>
  <si>
    <t>[Li, Jianfeng; Wang, Junwei; Feng, Kui; Yang, Jie; Liu, Bin; Guo, Xugang] Southern Univ Sci &amp; Technol SUSTech, Dept Mat Sci &amp; Engn, Shenzhen 518055, Guangdong, Peoples R China; [Chen, Zhicai] Hainan Univ, Coll Mat Sci &amp; Engn, Dept State Key Lab Marine Resource Utilizat South, Haikou 570228, Hainan, Peoples R China; [Jeong, Sang Young; Woo, Han Young] Korea Univ, Res Inst Nat Sci, Dept Chem, Seoul 02841, South Korea; [Yang, Kun] Hunan Univ, Coll Chem &amp; Chem Engn, State Key Lab Chemo Biosensing &amp; Chemometr, Changsha 410082, Hunan, Peoples R China; [Guo, Xugang] Songshan Lake Mat Lab, Dongguan 523808, Guangdong, Peoples R China</t>
  </si>
  <si>
    <t>Southern University of Science &amp; Technology; Hainan University; Korea University; Hunan University; Songshan Lake Materials Laboratory</t>
  </si>
  <si>
    <t>Guo, XG (corresponding author), Southern Univ Sci &amp; Technol SUSTech, Dept Mat Sci &amp; Engn, Shenzhen 518055, Guangdong, Peoples R China.;Chen, ZC (corresponding author), Hainan Univ, Coll Mat Sci &amp; Engn, Dept State Key Lab Marine Resource Utilizat South, Haikou 570228, Hainan, Peoples R China.;Guo, XG (corresponding author), Songshan Lake Mat Lab, Dongguan 523808, Guangdong, Peoples R China.</t>
  </si>
  <si>
    <t>996372@hainanu.edu.cn; guoxg@sustech.edu.cn</t>
  </si>
  <si>
    <t>Wang, Junwei/AAY-6637-2020</t>
  </si>
  <si>
    <t>Wang, Junwei/0000-0002-7274-192X</t>
  </si>
  <si>
    <t>National Natural Science Foundation of China [52173171, 22105096]; Guangdong Basic and Applied Basic Research Foundation [2023A1515012607, 2022A1515110635]; Songshan Lake Materials Laboratory [2021SLABFK03]; Shenzhen Innovation Commission of Science and Technology [JCYJ20220818100617037]; National Research Foundation of Korea [2019R1A6A1A11044070]</t>
  </si>
  <si>
    <t>National Natural Science Foundation of China(National Natural Science Foundation of China (NSFC)); Guangdong Basic and Applied Basic Research Foundation; Songshan Lake Materials Laboratory; Shenzhen Innovation Commission of Science and Technology; National Research Foundation of Korea(National Research Foundation of Korea)</t>
  </si>
  <si>
    <t>We are grateful to the financial support from the National Natural Science Foundation of China (52173171 and 22105096). Z. C. and J. L. thanks the financial support of the Guangdong Basic and Applied Basic Research Foundation (2023A1515012607, 2022A1515110635). X. G. acknowledges the financial support by from the Songshan Lake Materials Laboratory (2021SLABFK03) and the Shenzhen Innovation Commission of Science and Technology (JCYJ20220818100617037). H. Y. W. acknowledges the financial support from National Research Foundation of Korea (2019R1A6A1A11044070). The authors are also grateful for the technical support from SUSTech Core Research Facilities and the Computational Science and Engineering of Southern University of Science and Technology.</t>
  </si>
  <si>
    <t>10.1002/anie.202307647</t>
  </si>
  <si>
    <t>O5ZR9</t>
  </si>
  <si>
    <t>WOS:001044593600001</t>
  </si>
  <si>
    <t>Mauskar, S; Ngo, T; Haskell, H; Mallick, N; Mercer, AN; Baird, J; Bardsley, K; Berry, JG; Copp, K; Humphrey, K; Kelly, MM; Landrigan, CP; Matherson, S; McGeachey, A; Pinkham, A; Rogers, JE; Khan, A</t>
  </si>
  <si>
    <t>Mauskar, Sangeeta; Ngo, Tiffany; Haskell, Helen; Mallick, Nandini; Mercer, Alexandra N.; Baird, Jennifer; Bardsley, Kristin; Berry, Jay G.; Copp, Katherine; Humphrey, Kate; Kelly, Michelle M.; Landrigan, Christopher P.; Matherson, Susan; McGeachey, Amanda; Pinkham, Amy; Rogers, Jayne E.; Khan, Alisa</t>
  </si>
  <si>
    <t>In their own words: Safety and quality perspectives from families of hospitalized children with medical complexity</t>
  </si>
  <si>
    <t>UNMET EXPECTATIONS; ERRORS; CARE; PARTNERS</t>
  </si>
  <si>
    <t>BackgroundChildren with medical complexity (CMC) experience adverse events due to multiorgan impairment, frequent hospitalizations, subspecialty care, and dependence on multiple medications/equipment. Their families are well-versed in care and can help identify safety/quality gaps to inform improvements. Although previous studies have shown families identify important safety/quality gaps in hospitals, studies of inpatient safety/quality experience of CMC and their families are limited. To address this gap and identify otherwise unrecognized, family-prioritized areas for improving safety/quality of CMC, we conducted a secondary qualitative analysis of safety reporting surveys among families of CMC. ObjectiveExplore safety reports from families of hospitalized CMC to identify areas to improve safety/quality. Designs, Settings and ParticipantsWe analyzed free-text responses from predischarge safety reporting surveys administered to families of CMC at a quaternary children's hospital from April 2018 to November 2020. Using a qualitative descriptive approach, we categorized responses into standard clinical categories. Three team members inductively generated an initial codebook to apply iteratively to responses. Reviewers coded responses collaboratively, resolved discrepancies through consensus, and generated themes. Main Outcome and MeasuresOutcomes: family-reported areas of safety/quality improvement. Measures: pre-discharge family surveys. ResultsTwo hundred and eight/two hundred and thirty-seven (88%) families completed surveys; 83 families offered 138 free-text safety responses about medications, feeds, cares, and other categories. Themes included unmet expectations of hospital care/environment, lack of consistency, provider-patient communication lapses, families' expertise about care, and the value of transparency. ConclusionTo improve care of CMC and their families, hospitals can manage expectations about hospital limitations, improve consistency of care/communication, acknowledge family expertise, and recognize that family-observed quality concerns can have safety implications. Soliciting family input can help hospitals improve care in meaningful, otherwise unrecognized ways.</t>
  </si>
  <si>
    <t>[Mauskar, Sangeeta; Ngo, Tiffany; Mercer, Alexandra N.; Berry, Jay G.; Humphrey, Kate; Landrigan, Christopher P.; Khan, Alisa] Boston Childrens Hosp, Dept Pediat, Div Gen Pediat, Boston, MA 02115 USA; [Mauskar, Sangeeta; Berry, Jay G.; Humphrey, Kate; Landrigan, Christopher P.; Khan, Alisa] Harvard Med Sch, Dept Pediat, Boston, MA USA; [Haskell, Helen] Mothers Med Error, Columbia, SC USA; [Mallick, Nandini] Boston Childrens Hosp, Family Advisory Council, Boston, MA USA; [Baird, Jennifer] Childrens Hosp Los Angeles, Inst Nursing &amp; Interprofess Res, Los Angeles, CA USA; [Bardsley, Kristin; Matherson, Susan; Pinkham, Amy; Rogers, Jayne E.] Boston Childrens Hosp, Dept Nursing, Boston, MA USA; [Copp, Katherine] Univ Minnesota, Sch Publ Hlth, Div Epidemiol &amp; Community Hlth, Minneapolis, MN USA; [Kelly, Michelle M.] Univ Wisconsin Madison, Sch Med &amp; Publ Hlth, Dept Pediat, Madison, WI USA; [Landrigan, Christopher P.] Brigham &amp; Womens Hosp, Dept Med, Div Sleep &amp; Circadian Disorders, Boston, MA USA; [Landrigan, Christopher P.] Brigham &amp; Womens Hosp, Dept Neurol, Div Sleep &amp; Circadian Disorders, Boston, MA USA; [Landrigan, Christopher P.] Harvard Med Sch, Div Sleep Med, Boston, MA USA; [McGeachey, Amanda] Barbara Bush Childrens Hosp, Maine Childrens Canc Program, Maine Med Ctr, Portland, ME USA</t>
  </si>
  <si>
    <t>Harvard University; Boston Children's Hospital; Harvard University; Harvard Medical School; Harvard University; Boston Children's Hospital; Children's Hospital Los Angeles; Harvard University; Boston Children's Hospital; University of Minnesota System; University of Minnesota Twin Cities; University of Wisconsin System; University of Wisconsin Madison; Harvard University; Brigham &amp; Women's Hospital; Harvard University; Brigham &amp; Women's Hospital; Harvard University; Harvard Medical School; Maine Medical Center</t>
  </si>
  <si>
    <t>Ngo, T (corresponding author), Boston Childrens Hosp, Dept Pediat, Div Gen Pediat, Boston, MA 02115 USA.</t>
  </si>
  <si>
    <t>tiffany.ngo@childrens.harvard.edu</t>
  </si>
  <si>
    <t>Harvard Medical School Office of Faculty Development Faculty Career Development Fellowship grant (PI Khan); Agency for Healthcare Research amp; Quality [K08HS025781]</t>
  </si>
  <si>
    <t>Harvard Medical School Office of Faculty Development Faculty Career Development Fellowship grant (PI Khan); Agency for Healthcare Research amp; Quality(United States Department of Health &amp; Human ServicesAgency for Healthcare Research &amp; Quality)</t>
  </si>
  <si>
    <t>Harvard Medical School Office of Faculty Development Faculty Career Development Fellowship grant; Agency for Healthcare Research and Quality, Grant/Award Number: K08HS025781</t>
  </si>
  <si>
    <t>10.1002/jhm.13178</t>
  </si>
  <si>
    <t>WOS:001044114200001</t>
  </si>
  <si>
    <t>Previdelli, RL; Boardman, E; Frill, M; Frean, S; Channon, SB</t>
  </si>
  <si>
    <t>Previdelli, Renato L.; Boardman, Emma; Frill, Michael; Frean, Stephen; Channon, Sarah B.</t>
  </si>
  <si>
    <t>Supporting collaborative dissection through the development of an online wiki positively impacts the learning of veterinary anatomy</t>
  </si>
  <si>
    <t>ANATOMICAL SCIENCES EDUCATION</t>
  </si>
  <si>
    <t>anatomical education; blended learning; COVID-19; digital learning; dissection; technology; wiki</t>
  </si>
  <si>
    <t>EDUCATION; CURRICULUM; SCIENCES</t>
  </si>
  <si>
    <t>An innovative series of dissections of the canine abdomen was created to facilitate social distancing in the dissection room following COVID-19 restrictions imposed in the UK. In groups of six, first-year veterinary students took turns dissecting selected parts of the canine abdomen while maintaining social distancing and documenting their work with video and photographs. Here, students learned about the canine abdominal anatomy by dissecting, recording the dissections of others in their group, and compiling the recorded material into a collaborative electronic media portfolio (Wiki). An online formative multiple-choice test was created to test students' knowledge of the canine abdominal anatomy. The result analysis showed that although students achieved the learning outcomes only by studying the Wiki, they had better performance in the anatomical areas where they learned through the dissection (p &lt; 0.05). Student performance was very similar in the areas in which they were present in the dissection room and participated in recording the dissection compared with the areas that they effectively dissected (p &gt; 0.05). A qualitative thematic analysis was developed to understand students' opinions via their feedback on this dissection approach. Our results showed that student collaboration and the development of practical skills were the most valued aspects of this dissection teaching initiative. Moreover, these results show that developing a group Wiki has a positive impact on student achievement of learning objectives, with a practical hands-on dissection being fundamental for the optimal learning of the canine abdominal anatomy.</t>
  </si>
  <si>
    <t>[Previdelli, Renato L.; Boardman, Emma; Frill, Michael; Frean, Stephen; Channon, Sarah B.] Royal Vet Coll, Dept Comparat Biomed Sci, 4 Royal St, London NW1 0TU, England</t>
  </si>
  <si>
    <t>University of London; University of London Royal Veterinary College</t>
  </si>
  <si>
    <t>Previdelli, RL (corresponding author), Royal Vet Coll, Dept Comparat Biomed Sci, 4 Royal St, London NW1 0TU, England.</t>
  </si>
  <si>
    <t>rprevidelli@rvc.ac.uk</t>
  </si>
  <si>
    <t>Channon, Sarah/0000-0003-0134-4908</t>
  </si>
  <si>
    <t>1935-9772</t>
  </si>
  <si>
    <t>1935-9780</t>
  </si>
  <si>
    <t>ANAT SCI EDUC</t>
  </si>
  <si>
    <t>Anat. Sci. Educ.</t>
  </si>
  <si>
    <t>10.1002/ase.2324</t>
  </si>
  <si>
    <t>Education, Scientific Disciplines</t>
  </si>
  <si>
    <t>O4UD0</t>
  </si>
  <si>
    <t>WOS:001043771100001</t>
  </si>
  <si>
    <t>Sha'ban, M; Girardone, C; Sarkisyan, A; Arun, T</t>
  </si>
  <si>
    <t>Sha'ban, Mais; Girardone, Claudia; Sarkisyan, Anna; Arun, Thankom</t>
  </si>
  <si>
    <t>On the relationship between financial inclusion and bank performance</t>
  </si>
  <si>
    <t>ECONOMIC NOTES</t>
  </si>
  <si>
    <t>bank performance; CAMEL ratios; cross-country analysis; financial inclusion; high and low income countries</t>
  </si>
  <si>
    <t>PROFITABILITY; DETERMINANTS; STABILITY; COMPETITION; CRISES; BOOMS; RISK</t>
  </si>
  <si>
    <t>This study examines the relationship between various financial inclusion measures and banks' performance across multiple countries with varying institutional, regulatory and income levels. To construct an aggregate bank performance index, we employ principal component analysis, which utilises a set of critical indicators summarised by the CAMEL rating system, including banks' solvency, asset quality, efficiency, profitability and liquidity. Our primary findings indicate that different measures of financial inclusion exhibit varying associations with bank performance. Specifically, there is a trade-off between bank performance and credit deepening, especially in high-income nations. Conversely, in low-income nations, higher financial inclusion, measured by deposits to GDP, number of deposits, and number of borrowers, does not affect bank performance adversely. Banks in low-income nations could achieve significant gains by improving financial access and enhancing regulatory environments.</t>
  </si>
  <si>
    <t>[Sha'ban, Mais] Al Zaytoonah Univ Jordan, Fac Business, Queen Alia Airport St 594, Amman, Jordan; [Girardone, Claudia; Sarkisyan, Anna; Arun, Thankom] Univ Essex, Essex Business Sch, Colchester, England</t>
  </si>
  <si>
    <t>Al-Zaytoonah University of Jordan; University of Essex</t>
  </si>
  <si>
    <t>Sha'ban, M (corresponding author), Al Zaytoonah Univ Jordan, Fac Business, Queen Alia Airport St 594, Amman, Jordan.</t>
  </si>
  <si>
    <t>m.shaban@zuj.edu.jo</t>
  </si>
  <si>
    <t>UKIERI (UGC-UKIERI) [2016-17-064]</t>
  </si>
  <si>
    <t>UKIERI (UGC-UKIERI)</t>
  </si>
  <si>
    <t>UKIERI (UGC-UKIERI 2016-17-064)</t>
  </si>
  <si>
    <t>0391-5026</t>
  </si>
  <si>
    <t>1468-0300</t>
  </si>
  <si>
    <t>ECON NOTES</t>
  </si>
  <si>
    <t>Econ. Notes</t>
  </si>
  <si>
    <t>10.1111/ecno.12225</t>
  </si>
  <si>
    <t>O5ZQ8</t>
  </si>
  <si>
    <t>WOS:001044592500001</t>
  </si>
  <si>
    <t>Shi, W; Chen, S; Zhang, H; Zhang, Z; Han, JC</t>
  </si>
  <si>
    <t>Shi, Wen; Chen, Shi; Zhang, Huai; Zhang, Zhen; Han, Jiancheng</t>
  </si>
  <si>
    <t>Insights on the uplift mechanism of the eastern Tibetan Plateau from the flexural isostasy study</t>
  </si>
  <si>
    <t>TERRA NOVA</t>
  </si>
  <si>
    <t>eastern Tibetan Plateau; effective elastic thickness; flexural isostatic anomaly; load ratio; uplift mechanism</t>
  </si>
  <si>
    <t>EFFECTIVE ELASTIC THICKNESS; LITHOSPHERE; GRAVITY; ASIA; DEFORMATION; EVOLUTION; MARGIN; MODEL</t>
  </si>
  <si>
    <t>It is generally believed that the rapid uplift of the eastern Tibetan Plateau is due to the continuous continental collision between the Indian and Eurasian plates. But the uplift mechanisms of the eastern Tibetan Plateau remain uncertain. The analysis of flexural isostasy can provide new insights into those uplifting mechanisms. In this study, the effective elastic thickness (T-e) and load ratio (F) of the lithosphere are esti-mated around the eastern Tibetan Plateau. The derived T-e and F are used to compute flexural isostatic anomalies (FIA) using the theoretical Bouguer admittance method. We find the eastern margin of the Tibetan Plateau is dominated by low T-e, high F, and significant negative FIA. Our results suggest that this area has a weak lithosphere with heavy subsurface loadings and crustal mass surpluses. This supports that a middle-lower crustal channel flow probably underlies this region.</t>
  </si>
  <si>
    <t>[Shi, Wen; Chen, Shi; Han, Jiancheng] China Earthquake Adm, Inst Geophys, Beijing, Peoples R China; [Shi, Wen; Chen, Shi; Han, Jiancheng] Beijing Baijiatuan Earth Sci Natl Observat &amp; Res S, Beijing, Peoples R China; [Zhang, Huai] Univ Chinese Acad Sci, Key Lab Computat Geodynam, Beijing, Peoples R China; [Zhang, Zhen] China Earthquake Adm, Inst Geol, State Key Lab Earthquake Dynam, Beijing, Peoples R China</t>
  </si>
  <si>
    <t>China Earthquake Administration; Chinese Academy of Sciences; University of Chinese Academy of Sciences, CAS; China Earthquake Administration</t>
  </si>
  <si>
    <t>Chen, S (corresponding author), China Earthquake Adm, Inst Geophys, Beijing, Peoples R China.</t>
  </si>
  <si>
    <t>chenshi@cea-igp.ac.cn</t>
  </si>
  <si>
    <t>National Key R&amp;D Program of China [2017YFC1500503]; National Natural Science Foundation of China [42104090, U1939205, 42274117, 42174127]</t>
  </si>
  <si>
    <t>National Key R&amp;D Program of China; National Natural Science Foundation of China(National Natural Science Foundation of China (NSFC))</t>
  </si>
  <si>
    <t>This work is supported by the National Key R&amp;D Program of China (2017YFC1500503) and the National Natural Science Foundation of China (Nos. 42104090, U1939205, 42274117, and 42174127). We thank Professor Chun-Feng Li and Dr. Zhezhe Lu for their help on the specifics of data processing. Figures were prepared using the GMT software (Wessel et al.,~2013). We also thank Professor Anne Replumaz, Professor Minzhang Hu, and Dr. Guiju Wu for helpful comments that significantly improved the article.</t>
  </si>
  <si>
    <t>0954-4879</t>
  </si>
  <si>
    <t>1365-3121</t>
  </si>
  <si>
    <t>Terr. Nova</t>
  </si>
  <si>
    <t>10.1111/ter.12676</t>
  </si>
  <si>
    <t>Geosciences, Multidisciplinary</t>
  </si>
  <si>
    <t>Geology</t>
  </si>
  <si>
    <t>O5GZ0</t>
  </si>
  <si>
    <t>WOS:001044105900001</t>
  </si>
  <si>
    <t>Shiko, G; Paulmann, MJ; Feistel, F; Ntefidou, M; Hermann-Ene, V; Vetter, W; Kost, B; Kunert, G; Zedler, JAZ; Reichelt, M; Oelmuller, R; Klein, J</t>
  </si>
  <si>
    <t>Shiko, Glendis; Paulmann, Max-Jonas; Feistel, Felix; Ntefidou, Maria; Hermann-Ene, Vanessa; Vetter, Walter; Kost, Benedikt; Kunert, Grit; Zedler, Julie A. Z.; Reichelt, Michael; Oelmueller, Ralf; Klein, Jan</t>
  </si>
  <si>
    <t>Occurrence and conversion of progestogens and androgens are conserved in land plants</t>
  </si>
  <si>
    <t>androgens; Arabidopsis thaliana; Chlamydomonas reinhardtii; Hordeum vulgare; Physcomitrium patens; progestogens; Spirodela polyrhiza; steroidogenesis</t>
  </si>
  <si>
    <t>DIGITALIS-LANATA; STEROID-HORMONES; PROGESTERONE; CHOLESTEROL; IDENTIFICATION; PREGNENOLONE; DEHYDROGENASE; BIOSYNTHESIS; BIOCHEMISTRY; CELL</t>
  </si>
  <si>
    <t>Progestogens and androgens have been found in many plants, but little is known about their biosynthesis and the evolution of steroidogenesis in these organisms. Here, we show that the occurrence and biosynthesis of progestogens and androgens are conserved across the viridiplantae lineage.An UHPLC-ESI-MS/MS method allowed high-throughput analysis of the occurrence and chemical conversion of progestogens and androgens in 41 species across the green plant lineage.Dehydroepiandrosterone, testosterone, and 5a-dihydrotestosterone are plants' most abundant mammalian-like steroids. Progestogens are converted into 17a-hydroxyprogesterone and 5a-pregnane-3,20-dione. Androgens are converted into testosterone and 5a-dihydrotestosterone. 17,20-Lyases, essential for converting progestogens to androgens, seem to be most effective in monocot species.Our data suggest that the occurrence of progestogens and androgens is highly conserved in plants, and their biosynthesis might favor a route using the ?(4) pathway.</t>
  </si>
  <si>
    <t>[Shiko, Glendis; Paulmann, Max-Jonas; Oelmueller, Ralf; Klein, Jan] Friedrich Schiller Univ Jena, Matthias Schleiden Inst Genet Bioinformat &amp; Mol Bo, Dept Plant Physiol, D-07743 Jena, Germany; [Feistel, Felix; Kunert, Grit; Reichelt, Michael] Max Planck Inst Chem Ecol, Dept Biochem, D-07743 Jena, Germany; [Ntefidou, Maria; Kost, Benedikt] Univ Erlangen Nurnberg, Dept Biol, Cell Biol, D-91058 Erlangen, Germany; [Hermann-Ene, Vanessa; Vetter, Walter] Univ Hohenheim, Inst Food Chem, D-70599 Stuttgart, Germany; [Zedler, Julie A. Z.] Friedrich Schiller Univ Jena, Matthias Schleiden Inst Genet Bioinformat &amp; Mol Bo, Synthet Biol Photosynthet Organisms, D-07743 Jena, Germany</t>
  </si>
  <si>
    <t>Friedrich Schiller University of Jena; Max Planck Society; University of Erlangen Nuremberg; University Hohenheim; Friedrich Schiller University of Jena</t>
  </si>
  <si>
    <t>Klein, J (corresponding author), Friedrich Schiller Univ Jena, Matthias Schleiden Inst Genet Bioinformat &amp; Mol Bo, Dept Plant Physiol, D-07743 Jena, Germany.</t>
  </si>
  <si>
    <t>jan.klein@uni-jena.de</t>
  </si>
  <si>
    <t>Kunert, Grit/H-4271-2014; Reichelt, Michael/JFA-0200-2023</t>
  </si>
  <si>
    <t>Kunert, Grit/0000-0002-9969-8044; Hermann-Ene, Vanessa/0000-0001-8468-6369; Reichelt, Michael/0000-0002-6691-6500</t>
  </si>
  <si>
    <t>Projekt DEAL</t>
  </si>
  <si>
    <t>We thank Elfriede and Oskar Weber for providing Plantago lanceolata seeds, Klaus-Juergen Appenroth for the preparation of Spirodela polyrhiza clones, as well as Madlen Walther, Andrea Rupps, and Hardy Dembny for offering their Larix decidua cell cultures, Jochen Kumlehn for submitting Hordeum vulgare cv Golden Promise' and Stefan Arndt for providing plant material from the Botanical Garden, Jena. Moreover, we thank Sarah O'Connor and Jonathan Gershenzon for helpful advice regarding manuscript editing. Last but not least, a big thank you to Sarah Mu beta bach for her care of our plants and plant cultures. This research received no external funding. Open Access funding enabled and organized by Projekt DEAL.</t>
  </si>
  <si>
    <t>10.1111/nph.19163</t>
  </si>
  <si>
    <t>R2VI0</t>
  </si>
  <si>
    <t>WOS:001045082100001</t>
  </si>
  <si>
    <t>Spindeler, T; Strungaru, N</t>
  </si>
  <si>
    <t>Spindeler, Timo; Strungaru, Nicolae</t>
  </si>
  <si>
    <t>Tempered distributions with translation bounded measure as Fourier transform and the generalized Eberlein decomposition</t>
  </si>
  <si>
    <t>almost periodic measures; Fourier transform of measures; Lebesgue decomposition</t>
  </si>
  <si>
    <t>DIFFRACTION; ORDER</t>
  </si>
  <si>
    <t>In this paper, we study the class of tempered distributions whose Fourier transform is a translation bounded measure and show that each such distribution in Rd${\mathbb {R}}&lt;^&gt;d$ has order at most 2d. We show the existence of the generalized Eberlein decomposition within this class of distributions, and its compatibility with all previous Eberlein decompositions. The generalized Eberlein decomposition for Fourier transformable measures and properties of its components are discussed. Lastly, we take a closer look at the absolutely continuous spectrum of measures supported on Meyer sets.</t>
  </si>
  <si>
    <t>[Spindeler, Timo] Univ Bielefeld, Fak Math, Bielefeld, Germany; [Strungaru, Nicolae] MacEwan Univ, Dept Math Sci, Edmonton, AB, Canada; [Strungaru, Nicolae] Inst Math Simon Stoilow, Bucharest, Romania; [Spindeler, Timo] Univ Bielefeld, Fak Math, Postfach 100131, D-33501 Bielefeld, Germany</t>
  </si>
  <si>
    <t>University of Bielefeld; Institute of Mathematics of the Romanian Academy; University of Bielefeld</t>
  </si>
  <si>
    <t>Spindeler, T (corresponding author), Univ Bielefeld, Fak Math, Postfach 100131, D-33501 Bielefeld, Germany.</t>
  </si>
  <si>
    <t>tspindel@math.uni-bielefeld.de</t>
  </si>
  <si>
    <t>Deutsche Forschungsgemeinschaft [415818660, CRC 1283]; Natural Sciences and Engineering Research Council of Canada [2020-00038]</t>
  </si>
  <si>
    <t>Deutsche Forschungsgemeinschaft(German Research Foundation (DFG)); Natural Sciences and Engineering Research Council of Canada(Natural Sciences and Engineering Research Council of Canada (NSERC)CGIAR)</t>
  </si>
  <si>
    <t>Deutsche Forschungsgemeinschaft, Grant/Award Numbers: 415818660, CRC 1283; Natural Sciences and Engineering Research Council of Canada, Grant/Award Number: 2020-00038</t>
  </si>
  <si>
    <t>10.1002/mana.202100658</t>
  </si>
  <si>
    <t>O6GU3</t>
  </si>
  <si>
    <t>WOS:001044778100001</t>
  </si>
  <si>
    <t>Woess, C; Huck, CW; Badzoka, J; Kappacher, C; Arora, R; Lindtner, RA; Zelger, P; Schirmer, M; Rabl, W; Pallua, J</t>
  </si>
  <si>
    <t>Woess, C.; Huck, Christian W.; Badzoka, J.; Kappacher, C.; Arora, R.; Lindtner, R. A.; Zelger, Philipp; Schirmer, M.; Rabl, W.; Pallua, Johannes</t>
  </si>
  <si>
    <t>Raman spectroscopy for postmortem interval estimation of human skeletal remains: A scoping review</t>
  </si>
  <si>
    <t>artificial intelligence; chemometrics; deep learning; human bone; orthogonal partial least squares regression; postmortem interval; principal component analysis; Raman parameters; Raman spectrometry</t>
  </si>
  <si>
    <t>TRANSFORM INFRARED-SPECTROSCOPY; CHEMOMETRIC METHODS; FTIR SPECTROSCOPY; BONE TISSUE; DIAGENESIS; PATTERNS; ENVIRONMENT; DEATH; AGE; DIFFERENTIATION</t>
  </si>
  <si>
    <t>Estimating postmortem intervals (PMI) is crucial in forensic investigations, providing insights into criminal cases and determining the time of death. PMI estimation relies on expert experience and a combination of thanatological data and environmental factors but is prone to errors. The lack of reliable methods for assessing PMI in bones and soft tissues necessitates a better understanding of bone decomposition. Several research groups have shown promise in PMI estimation in skeletal remains but lack valid data for forensic cases. Current methods are costly, time-consuming, and unreliable for PMIs over 5 years. Raman spectroscopy (RS) can potentially estimate PMI by studying chemical modifications in bones and teeth correlated with burial time. This review summarizes RS applications, highlighting its potential as an innovative, nondestructive, and fast technique for PMI estimation in forensic medicine.</t>
  </si>
  <si>
    <t>[Woess, C.; Rabl, W.] Med Univ Innsbruck, Inst Forens Med, Innsbruck, Austria; [Huck, Christian W.; Badzoka, J.; Kappacher, C.] Univ Innsbruck, Inst Analyt Chem &amp; Radiochem, Innsbruck, Austria; [Arora, R.; Lindtner, R. A.; Pallua, Johannes] Med Univ Innsbruck, Dept Orthopaed &amp; Traumatol, Innsbruck, Austria; [Zelger, Philipp] Med Univ Innsbruck, Univ Clin Hearing Voice &amp; Speech Disorders, Innsbruck, Austria; [Schirmer, M.] Med Univ Innsbruck, Dept Internal Med, Clin 2, Innsbruck, Austria; [Pallua, Johannes] Med Univ Innsbruck, Dept Orthopaed &amp; Traumatol, Anichstr 35, A-6020 Innsbruck, Austria</t>
  </si>
  <si>
    <t>Medical University of Innsbruck; University of Innsbruck; Medical University of Innsbruck; Medical University of Innsbruck; Medical University of Innsbruck; Medical University of Innsbruck</t>
  </si>
  <si>
    <t>Pallua, J (corresponding author), Med Univ Innsbruck, Dept Orthopaed &amp; Traumatol, Anichstr 35, A-6020 Innsbruck, Austria.</t>
  </si>
  <si>
    <t>johannes.pallua@i-med.ac.at</t>
  </si>
  <si>
    <t>Zelger, Philipp/0000-0002-6543-7620; Schirmer, Michael/0000-0001-9208-7809; Kappacher, Christoph/0000-0003-0687-5732; Pallua, Johannes/0000-0003-0203-213X</t>
  </si>
  <si>
    <t>10.1002/jbio.202300189</t>
  </si>
  <si>
    <t>O6GI6</t>
  </si>
  <si>
    <t>WOS:001044766400001</t>
  </si>
  <si>
    <t>Yu, GC; Zhang, Q; Jing, JY; Wang, X; Li, YF; Bai, X; Li, T</t>
  </si>
  <si>
    <t>Yu, Gengchen; Zhang, Qi; Jing, Jiayi; Wang, Xu; Li, Yifan; Bai, Xue; Li, Tao</t>
  </si>
  <si>
    <t>Bulk Modification of Porous TiNb2O7 Microsphere to Achieve Superior Lithium-Storage Properties at Low Temperature</t>
  </si>
  <si>
    <t>anode; Cu+ doping; lithium-ion batteries; low-temperature properties; TiNb2O7</t>
  </si>
  <si>
    <t>ELECTROCHEMICAL PERFORMANCE; ION BATTERIES; ANODE MATERIALS; COMPOSITE; NANOPARTICLES; ENERGY</t>
  </si>
  <si>
    <t>TiNb2O7, as a promising alternative of Li4Ti5O12, exhibits giant potential as low-temperature anode due to its higher theoretical capacity and comparable structural stability. However, the sluggish electronic conductivity still remains a challenge. Herein, bulk modification of Cu+ doping in porous TiNb2O7 microsphere is proposed via a simple one-step solvothermal method with subsequent calcination treatment. The results show that the electronic conductivity is improved effectively due to the reduced band gap after doping, while enhanced lithium-ion diffusion is achieved benefiting from the increased interplanar spacing. Therefore, the optimal sample of Cu0.06Ti0.94Nb2O7 exhibits a high reversible capacity of 244.4 mA h g(-1) at 100 mA g(-1) after 100 cycles, superior rate capability, and long-term cycling stability at 1000 mA g(-1) at room temperature. Particularly, it can also display good performance in a wide temperature range from 25 to -30 &amp; DEG;C, including a reversible capacity of 76.6 mA h g(-1) at -20 &amp; DEG;C after 200 cycles at 200 mA g(-1). Moreover, Cu0.06Ti0.94Nb2O7//LiFePO4 full cell can deliver a high reversible capacity of 177.5 mA h g(-1) at 100 mA g(-1). The excellent electrochemical properties at both ambient and low-temperatures demonstrate the great potential of Cu+-doped TiNb2O7 in energy-storage applications.</t>
  </si>
  <si>
    <t>[Yu, Gengchen; Jing, Jiayi; Wang, Xu; Bai, Xue] Shandong Univ Sci &amp; Technol, Sch Mat Sci &amp; Engn, Qingdao 266590, Peoples R China; [Zhang, Qi; Li, Yifan] Qingdao Univ Technol, Sch Environm &amp; Municipal Engn, Qingdao 266033, Peoples R China; [Li, Tao] Shandong Univ, Key Lab Liquid Solid Struct Evolut &amp; Proc Mat, Minist Educ, Jinan 250061, Peoples R China</t>
  </si>
  <si>
    <t>Shandong University of Science &amp; Technology; Qingdao University of Technology; Shandong University</t>
  </si>
  <si>
    <t>Bai, X (corresponding author), Shandong Univ Sci &amp; Technol, Sch Mat Sci &amp; Engn, Qingdao 266590, Peoples R China.;Li, T (corresponding author), Shandong Univ, Key Lab Liquid Solid Struct Evolut &amp; Proc Mat, Minist Educ, Jinan 250061, Peoples R China.</t>
  </si>
  <si>
    <t>hakubx1992@sina.com; tao.li@sdu.edu.cn</t>
  </si>
  <si>
    <t>Shandong Provincial Natural Science Foundation [ZR2022QE181]</t>
  </si>
  <si>
    <t>Shandong Provincial Natural Science Foundation(Natural Science Foundation of Shandong Province)</t>
  </si>
  <si>
    <t>Acknowledgements G.Y. and Q.Z. contributed equally to this work. The authors acknowledge the financial support of the~Shandong Provincial Natural Science Foundation (grant No. ZR2022QE181).</t>
  </si>
  <si>
    <t>10.1002/smll.202303087</t>
  </si>
  <si>
    <t>O5GU2</t>
  </si>
  <si>
    <t>WOS:001044101100001</t>
  </si>
  <si>
    <t>Zhao, ZH; Hui, C; Peng, S; Yi, SQ; Li, ZH; Reddy, GVP; van Kleunen, M</t>
  </si>
  <si>
    <t>Zhao, Zihua; Hui, Cang; Peng, Shuo; Yi, Shanqing; Li, Zhihong; Reddy, Gadi V. P.; van Kleunen, Mark</t>
  </si>
  <si>
    <t>The world's 100 worst invasive alien insect species differ in their characteristics from related non-invasive species</t>
  </si>
  <si>
    <t>fecundity; introduction pathway; invasion syndromes; invasiveness; life history; lifespan; non-native species</t>
  </si>
  <si>
    <t>BIOLOGICAL INVASIONS; TRAIT DIFFERENCES; GENOME SIZE; METAANALYSIS; DISPERSAL; FRAMEWORK; IMPACT; TRADE; RATES</t>
  </si>
  <si>
    <t>1. While there has been great interest in species characteristics that promote invasiveness, still little is known about the characteristics that distinguish invasive from non-invasive insects. Using a database on the naturalised distributions of alien insects and expert opinions about their impacts, we identified the world's 100 worst invasive insect species.2. By comparing species characteristics reported in the literature using a meta-analysis, between the 100 worst invasive species and related non-invasive species, we found that invasive insects overall have more pathways of introduction, occur in more habitats, have higher fecundities, higher voltinism, more genes, shorted lifespans and faster development from egg to adult. Some of the differences in species characteristics related to propagule pressures, life-histories and biotic interactions, conditional on whether the non-invasive species compared is known to be naturalised somewhere, whether the invasive species is globally distributed, and the climatic region of the species.3. Synthesis and applications. We show for the first time, using a multi-species comparative approach, that invasive insects differ in several characteristics from related non-invasive insects. Our results show that invasive species, such as Spodoptera frugiperda, typically are habitat generalists with a high fecundity, a short lifespan and fast development, whereas the importance of female body size and number of enemies are context dependent. Our study can guide and improve existing screening tools for assessing the invasion potential of alien insects.</t>
  </si>
  <si>
    <t>[Zhao, Zihua; Peng, Shuo; Yi, Shanqing; Li, Zhihong] China Agr Univ, Dept Plant Biosecur, Beijing, Peoples R China; [Zhao, Zihua; Peng, Shuo; Yi, Shanqing; Li, Zhihong] China Agr Univ, Key Lab Surveillance &amp; Management Plant Quarantine, Beijing, Peoples R China; [Zhao, Zihua; van Kleunen, Mark] Univ Konstanz, Dept Biol, Constance, Germany; [Hui, Cang] Stellenbosch Univ, Ctr Invas Biol, Dept Math Sci, Matieland, South Africa; [Hui, Cang] African Inst Math Sci, Biodivers Informat Unit, Cape Town, South Africa; [Reddy, Gadi V. P.] USDA ARS, Southern Insect Management Res Unit, Stoneville, MS USA; [van Kleunen, Mark] Taizhou Univ, Zhejiang Prov Key Lab Plant Evolutionary Ecol &amp; Co, Taizhou, Peoples R China</t>
  </si>
  <si>
    <t>China Agricultural University; China Agricultural University; University of Konstanz; Stellenbosch University; United States Department of Agriculture (USDA); Taizhou University</t>
  </si>
  <si>
    <t>Zhao, ZH (corresponding author), China Agr Univ, Dept Plant Biosecur, Beijing, Peoples R China.;Zhao, ZH (corresponding author), China Agr Univ, Key Lab Surveillance &amp; Management Plant Quarantine, Beijing, Peoples R China.;Zhao, ZH (corresponding author), Univ Konstanz, Dept Biol, Constance, Germany.</t>
  </si>
  <si>
    <t>zhzhao@cau.edu.cn</t>
  </si>
  <si>
    <t>Hui, Cang/A-1781-2008; van Kleunen, Mark/B-3769-2009; Reddy, Gadi V.P./J-5270-2015</t>
  </si>
  <si>
    <t>Hui, Cang/0000-0002-3660-8160; van Kleunen, Mark/0000-0002-2861-3701; Reddy, Gadi V.P./0000-0001-6377-0721</t>
  </si>
  <si>
    <t>National Key Ramp;D Program of China [2021YFC2600401]; Sanya Institute of China Agricultural University [SYND-2021-29]; National Research Foundation of South Africa [89967]; UK Natural Environment Research Council [NE/V007548/1]; German Research Foundation DFG [264740629]</t>
  </si>
  <si>
    <t>National Key Ramp;D Program of China; Sanya Institute of China Agricultural University; National Research Foundation of South Africa(National Research Foundation - South Africa); UK Natural Environment Research Council(UK Research &amp; Innovation (UKRI)Natural Environment Research Council (NERC)); German Research Foundation DFG(German Research Foundation (DFG))</t>
  </si>
  <si>
    <t>the National Key R &amp; D Program of China, Grant/Award Number: 2021YFC2600401; Sanya Institute of China Agricultural University, Grant/Award Number: SYND-2021-29; National Research Foundation of South Africa, Grant/Award Number: 89967; UK Natural Environment Research Council, Grant/Award Number: NE/V007548/1; German Research Foundation DFG, Grant/Award Number: 264740629</t>
  </si>
  <si>
    <t>10.1111/1365-2664.14485</t>
  </si>
  <si>
    <t>R2KG1</t>
  </si>
  <si>
    <t>WOS:001044746100001</t>
  </si>
  <si>
    <t>Adigun, OT; Kent, CD; Fumane, K; Matsie, N</t>
  </si>
  <si>
    <t>Adigun, Olufemi Timothy; Kent, Chedza Denise; Fumane, Khanare; Matsie, Nthama</t>
  </si>
  <si>
    <t>The effects of rational emotive behavioural and relaxation therapies on mathematics anxiety among deaf learners</t>
  </si>
  <si>
    <t>JOURNAL OF RESEARCH IN SPECIAL EDUCATIONAL NEEDS</t>
  </si>
  <si>
    <t>deaf learners; mathematics anxiety; rational emotive behavioural therapy; relaxation therapy</t>
  </si>
  <si>
    <t>OF-HEARING STUDENTS; GENERALIZED ANXIETY; PERFORMANCE; CHILDREN; ACHIEVEMENT; VALIDATION; DISORDERS; EFFICACY; SCALE</t>
  </si>
  <si>
    <t>There is yet a concerted effort directed to ameliorate mathematics anxiety (MA) among deaf learners especially in Nigeria. Hence, this study examined the effects of rational emotive behavioural and relaxation therapies on MA among deaf learners. The study adopted the quantitative quasi-experimental research design. A purposive sampling method was adopted to select three schools for the deaf in Oyo state. A random sampling procedure was employed to select 60 deaf learners who were assigned to two experimental groups and the control group. The Mathematics Anxiety Scale was used to screen participants, while a Mathematics Achievement Test was used for data collection. Data gathered were analysed using analysis of covariance and a descriptive chart. Findings revealed the efficacy of the two therapeutic interventions on the reduction of MA among the participants. The estimated mean difference between the treatments (rational emotive behavioural therapy = 5.537; relaxation therapy = 3.867) and control groups (1.670) showed higher potency of rational emotive behavioural therapy for reduction in MA among deaf learners than relaxation therapy. Based on the findings, it is important that mathematics teaching environment should be rich with tangible instructional materials that speak specifically to the emotion and cognitions of deaf learners.</t>
  </si>
  <si>
    <t>[Adigun, Olufemi Timothy; Matsie, Nthama] Natl Univ Lesotho, Dept Educ Fdn, Inclus Educ Unit, Roma, Lesotho; [Adigun, Olufemi Timothy] Univ South Africa, Coll Educ, Open Distance Learning Res Unit, Pretoria, South Africa; [Kent, Chedza Denise] Univ Zululand, Dept Educ Psychol &amp; Special Educ, Richards Bay, South Africa; [Fumane, Khanare] Univ Johannesburg, Dept Educ Psychol, Johannesburg, South Africa</t>
  </si>
  <si>
    <t>University of South Africa; University of Zululand; University of Johannesburg</t>
  </si>
  <si>
    <t>Adigun, OT (corresponding author), Natl Univ Lesotho, Dept Educ Fdn, Inclus Educ Unit, Roma, Lesotho.</t>
  </si>
  <si>
    <t>olufemiadigun@yahoo.com</t>
  </si>
  <si>
    <t>Adigun, Olufemi Timothy/N-7621-2017</t>
  </si>
  <si>
    <t>Adigun, Olufemi Timothy/0000-0001-6079-1690</t>
  </si>
  <si>
    <t>1471-3802</t>
  </si>
  <si>
    <t>J RES SPEC EDUC NEED</t>
  </si>
  <si>
    <t>J. Res. Spec. Educ. Needs</t>
  </si>
  <si>
    <t>2023 AUG 8</t>
  </si>
  <si>
    <t>10.1111/1471-3802.12615</t>
  </si>
  <si>
    <t>Education, Special</t>
  </si>
  <si>
    <t>O5PM9</t>
  </si>
  <si>
    <t>WOS:001044328400001</t>
  </si>
  <si>
    <t>Aimetti, M; Baima, G; Aliyeva, N; Lorenzetti, V; Citterio, F; Franco, F; Di Scipio, F; Berta, GN; Romano, F</t>
  </si>
  <si>
    <t>Aimetti, Mario; Baima, Giacomo; Aliyeva, Nargiz; Lorenzetti, Virginia; Citterio, Filippo; Franco, Francesco; Di Scipio, Federica; Berta, Giovanni N.; Romano, Federica</t>
  </si>
  <si>
    <t>Influence of locally delivered doxycycline on the clinical and molecular inflammatory status of intrabony defects prior to periodontal regeneration: A double-blind randomized controlled trial</t>
  </si>
  <si>
    <t>JOURNAL OF PERIODONTAL RESEARCH</t>
  </si>
  <si>
    <t>antimicrobials (local); cytokines; gingival crevicular fluid; inflammation; periodontal regeneration</t>
  </si>
  <si>
    <t>ADJUNCTIVE TOPICAL DOXYCYCLINE; INVASIVE SURGICAL TECHNIQUE; MECHANICAL DEBRIDEMENT; CONTROLLED MULTICENTER; CREVICULAR FLUID; THERAPY; DISEASES; OUTCOMES; AGENTS</t>
  </si>
  <si>
    <t>ObjectivesTo test the effect of locally delivered doxycycline (DOX) administered 2 weeks prior to minimally invasive periodontal regeneration in terms of presurgical inflammatory status and cytokine expression profile in the gingival crevicular fluid (GCF). Secondary aim was to assess the early wound healing index (EHI) at 2 weeks after surgery. BackgroundIt is hypothesized that healing after periodontal regeneration is dependent on preoperative soft tissue condition, and that local antibiotics may improve the site-specific inflammatory status at short time. MethodsSites associated with periodontal intrabony defects requiring regenerative surgery and showing bleeding on probing (BoP) were included. At T0, experimental sites were randomly treated with subgingival instrumentation with or without topic DOX application. After 2 weeks (T1), defects were approached by means of minimally invasive surgical technique. GCF was sampled at both T0 and T1 for inflammatory biomarker analysis. Two weeks after surgery, the EHI was evaluated (T2). ResultsForty-four patients were included. At T1, the number of BoP+ sites was statistically significantly less in the test group (27.3% vs. 72.7%; p &lt; .01). The total amount of interleukin (IL)-1 &amp; beta; (p &lt; .001), matrix-metalloproteinases (MMP)-8 (p &lt; .001), and MMP-9 (p = .010) in the GCF significantly decreased in the test group at T1, with relevant differences compared to controls. At T2, the EHI had an average value of 1.45 &amp; PLUSMN; 0.86 in the test group while in the control, it was 2.31 &amp; PLUSMN; 1.43 (p = .027). A statistically significantly positive correlation was observed between the amount of IL-1 &amp; beta; and MMP-9 and EHI scores. ConclusionsWithin the limitations of this study, sites treated with DOX showed improved clinical and molecular inflammatory parameters before surgery, as well as soft tissue healing 2 weeks after surgery.</t>
  </si>
  <si>
    <t>[Aimetti, Mario; Baima, Giacomo; Aliyeva, Nargiz; Lorenzetti, Virginia; Citterio, Filippo; Romano, Federica] Univ Turin, Dept Surg Sci, CIR Dent Sch, Turin, Italy; [Franco, Francesco; Di Scipio, Federica; Berta, Giovanni N.] Univ Turin, Dept Clin &amp; Biol Sci, Turin, Italy; [Baima, Giacomo] Univ Turin, Dept Surg Sci, Via Nizza 230, I-10126 Turin, Italy</t>
  </si>
  <si>
    <t>University of Turin; A.O.U. Citta della Salute e della Scienza di Torino; University of Turin; University of Turin</t>
  </si>
  <si>
    <t>Baima, G (corresponding author), Univ Turin, Dept Surg Sci, Via Nizza 230, I-10126 Turin, Italy.</t>
  </si>
  <si>
    <t>giacomo.baima@unito.it</t>
  </si>
  <si>
    <t>Berta, Giovanni N./D-4418-2018</t>
  </si>
  <si>
    <t>Berta, Giovanni N./0000-0002-3263-9349; Aimetti, Mario/0000-0003-0657-0787; Di Scipio, Federica/0000-0001-5817-4837; Citterio, Filippo/0000-0002-4513-7479; Franco, Francesco/0009-0005-8527-9980; Romano, Federica/0000-0002-5172-299X; Baima, Giacomo/0000-0002-9395-4967</t>
  </si>
  <si>
    <t>Kulzer GmbH, Hanau, Germany</t>
  </si>
  <si>
    <t>The study was financially supported in part by an unrestricted grant from Kulzer GmbH, Hanau, Germany. The doxycycline gel was provided by Kulzer GmbH, Hanau, Germany. The authors were fully independent in preparing the protocol, conducting the research, interpreting the results, and preparing the final manuscript.</t>
  </si>
  <si>
    <t>0022-3484</t>
  </si>
  <si>
    <t>1600-0765</t>
  </si>
  <si>
    <t>J PERIODONTAL RES</t>
  </si>
  <si>
    <t>J. Periodont. Res.</t>
  </si>
  <si>
    <t>10.1111/jre.13174</t>
  </si>
  <si>
    <t>R4GJ7</t>
  </si>
  <si>
    <t>WOS:001047251400001</t>
  </si>
  <si>
    <t>Balmas, E; Sozza, F; Bottini, S; Ratto, ML; Savore, G; Becca, S; Snijders, KE; Bertero, A</t>
  </si>
  <si>
    <t>Balmas, Elisa; Sozza, Federica; Bottini, Sveva; Ratto, Maria Luisa; Savore, Giulia; Becca, Silvia; Snijders, Kirsten Esmee; Bertero, Alessandro</t>
  </si>
  <si>
    <t>Manipulating and studying gene function in human pluripotent stem cell models</t>
  </si>
  <si>
    <t>arrayed and pooled screens; base and prime editing; CRISPR interference and activation; CRISPR; Cas9; genomic safe harbors; homologous recombination; human pluripotent stem cells; RNA interference; single-cell screens; transgenesis</t>
  </si>
  <si>
    <t>RNAI SCREEN REVEALS; TRANSGENE EXPRESSION; ADENOASSOCIATED VIRUS; LENTIVIRAL VECTOR; ENDOGENOUS GENES; GENOMIC DNA; AAVS1 LOCUS; CRISPR-ON; HUMAN IPS; EFFICIENT</t>
  </si>
  <si>
    <t>Human pluripotent stem cells (hPSCs) are uniquely suited to study human development and disease and promise to revolutionize regenerative medicine. These applications rely on robust methods to manipulate gene function in hPSC models. This comprehensive review aims to both empower scientists approaching the field and update experienced stem cell biologists. We begin by highlighting challenges with manipulating gene expression in hPSCs and their differentiated derivatives, and relevant solutions (transfection, transduction, transposition, and genomic safe harbor editing). We then outline how to perform robust constitutive or inducible loss-, gain-, and change-of-function experiments in hPSCs models, both using historical methods (RNA interference, transgenesis, and homologous recombination) and modern programmable nucleases (particularly CRISPR/Cas9 and its derivatives, i.e., CRISPR interference, activation, base editing, and prime editing). We further describe extension of these approaches for arrayed or pooled functional studies, including emerging single-cell genomic methods, and the related design and analytical bioinformatic tools. Finally, we suggest some directions for future advancements in all of these areas. Mastering the combination of these transformative technologies will empower unprecedented advances in human biology and medicine.</t>
  </si>
  <si>
    <t>[Balmas, Elisa; Sozza, Federica; Bottini, Sveva; Ratto, Maria Luisa; Savore, Giulia; Becca, Silvia; Snijders, Kirsten Esmee; Bertero, Alessandro] Univ Turin, Mol Biotechnol Ctr Guido Tarone, Dept Mol Biotechnol &amp; Hlth Sci, Turin, Italy; [Bertero, Alessandro] Mol Biotechnol Ctr Guido Tarone, Dept Mol Biotechnol &amp; Hlth Sci, Via Nizza 52, I-10126 Turin, TO, Italy</t>
  </si>
  <si>
    <t>University of Turin</t>
  </si>
  <si>
    <t>Bertero, A (corresponding author), Mol Biotechnol Ctr Guido Tarone, Dept Mol Biotechnol &amp; Hlth Sci, Via Nizza 52, I-10126 Turin, TO, Italy.</t>
  </si>
  <si>
    <t>alessandro.bertero@unito.it</t>
  </si>
  <si>
    <t>Becca, Silvia/0009-0009-4918-1133; Bertero, Alessandro/0000-0002-4919-9087</t>
  </si>
  <si>
    <t>Giovanni Armenise-Harvard Foundation; FEBS Excellence Award; Additional Ventures Single Ventricle Research Fund; FEBS Excellence Award 2022; PON Ramp;I Azione IV.4 amp; IV.5 - FSE REACT-EU</t>
  </si>
  <si>
    <t>We thank Johannes Zuber for advice on RNAi technologies, Daniel Yang and Clayton Friedman for advice on CoF screens, William G. Bernard for advice on gene editing, and former colleagues in Ludovic Vallier and Chuck Murry's groups for insightful discussions on the subject matter. All figures were created using . This work was supported by the Giovanni Armenise-Harvard Foundation Career Development Award 2021, the Additional Ventures Single Ventricle Research Fund 2021, and the FEBS Excellence Award 2022 (grants to AB), and by PON R &amp; amp;I Azione IV.4 &amp; amp; IV.5 - FSE REACT-EU (Ph.D. fellowship to FS and SBo).</t>
  </si>
  <si>
    <t>10.1002/1873-3468.14709</t>
  </si>
  <si>
    <t>O5KZ1</t>
  </si>
  <si>
    <t>WOS:001044210000001</t>
  </si>
  <si>
    <t>Blach, S; Bregenzer, A; Bruggmann, P; Cerny, A; Maeschli, B; Mullhaupt, B; Negro, F; Razavi, H; Scheidegger, C; Semela, D</t>
  </si>
  <si>
    <t>Blach, Sarah; Bregenzer, Andrea; Bruggmann, Philip; Cerny, Andreas; Maeschli, Bettina; Mullhaupt, Beat; Negro, Francesco; Razavi, Homie; Scheidegger, Claude; Semela, David</t>
  </si>
  <si>
    <t>Assessing the hepatitis C epidemiology in Switzerland: it's not that trivial</t>
  </si>
  <si>
    <t>JOURNAL OF VIRAL HEPATITIS</t>
  </si>
  <si>
    <t>[Blach, Sarah; Razavi, Homie] CDA Fdn, Lafayette, CO USA; [Bregenzer, Andrea] Cantonal Hosp Aarau, Dept Infect Dis &amp; Hosp Hyg, Aarau, Switzerland; [Bruggmann, Philip] Arud Ctr Addict Med, Zurich, Switzerland; [Bruggmann, Philip; Maeschli, Bettina; Scheidegger, Claude] Swiss Hepatitis, Zurich, Switzerland; [Cerny, Andreas] Epatocentro, Lugano, Switzerland; [Mullhaupt, Beat] Univ Hosp Zurich, Dept Gastroenterol &amp; Hepatol, Zurich, Switzerland; [Negro, Francesco] Univ Hosp Geneva, Div Gastroenterol, Geneva, Switzerland; [Negro, Francesco] Univ Hosp Geneva, Div Hepatol, Geneva, Switzerland; [Negro, Francesco] Univ Hosp Geneva, Div Clin Pathol, Geneva, Switzerland; [Semela, David] Cantonal Hosp, Div Gastroenterol &amp; Hepatol, St Gallen, Switzerland</t>
  </si>
  <si>
    <t>Kantonsspital Aarau AG (KSA); University of Zurich; University Zurich Hospital; University of Geneva; University of Geneva; University of Geneva; Kantonsspital St. Gallen</t>
  </si>
  <si>
    <t>Bruggmann, P (corresponding author), Arud Ctr Addict Med, Zurich, Switzerland.</t>
  </si>
  <si>
    <t>p.bruggmann@arud.ch</t>
  </si>
  <si>
    <t>1352-0504</t>
  </si>
  <si>
    <t>1365-2893</t>
  </si>
  <si>
    <t>J VIRAL HEPATITIS</t>
  </si>
  <si>
    <t>J. Viral Hepatitis</t>
  </si>
  <si>
    <t>10.1111/jvh.13879</t>
  </si>
  <si>
    <t>Gastroenterology &amp; Hepatology; Infectious Diseases; Virology</t>
  </si>
  <si>
    <t>O5NW9</t>
  </si>
  <si>
    <t>WOS:001044286200001</t>
  </si>
  <si>
    <t>Britten-Jones, AC; Mack, HG; Vincent, AL; Hill, LJ; Edwards, TL; Ayton, LN</t>
  </si>
  <si>
    <t>Britten-Jones, Alexis Ceecee; Mack, Heather G. G.; Vincent, Andrea L. L.; Hill, Lisa J. J.; Edwards, Thomas L. L.; Ayton, Lauren N. N.</t>
  </si>
  <si>
    <t>Genetic testing and gene therapy in retinal diseases: Knowledge and perceptions of optometrists in Australia and New Zealand</t>
  </si>
  <si>
    <t>eye care; gene therapy; genetic testing; inherited retinal diseases; ocular genetics; optometry; primary care; retinitis pigmentosa</t>
  </si>
  <si>
    <t>CARE SERVICES; OPHTHALMOLOGY</t>
  </si>
  <si>
    <t>With advances in gene-based therapies for heritable retinal diseases, primary eye care clinicians should be informed on ocular genetics topics. This cross-sectional survey evaluated knowledge, attitudes, and concerns regarding genetic testing and gene therapy for retinal diseases among optometrists in Australia and New Zealand. Survey data included practitioner background, attitudes and practices towards genetic testing for monogenic inherited retinal disease (IRDs) and age-related macular degeneration, and knowledge of ocular genetics and gene therapy. Responses were received from 516 optometrists between 1 April and 31 December 2022. Key perceived barriers to accessing genetic testing were lack of clarity on referral pathways (81%), cost (65%), and lack of treatment options if a genetic cause is identified (50%). Almost all respondents (98%) believed that ophthalmologists should initiate genetic testing for IRDs and fewer understood the role of genetic counsellors and clinical geneticists. This study found that optometrists in Australia and New Zealand have a high level of interest in ocular genetics topics. However, knowledge gaps include referral pathways and awareness of genetic testing and gene therapy outcomes. Addressing perceived barriers to access and promoting sharing of knowledge between interdisciplinary networks can set the foundation for genetic education agendas in primary eye care.</t>
  </si>
  <si>
    <t>[Britten-Jones, Alexis Ceecee; Ayton, Lauren N. N.] Univ Melbourne, Fac Med Dent &amp; Hlth Sci, Dept Optometry &amp; Vis Sci, Parkville, Vic 3010, Australia; [Britten-Jones, Alexis Ceecee; Mack, Heather G. G.; Edwards, Thomas L. L.] Univ Melbourne, Fac Med Dent &amp; Hlth Sci, Dept Surg Ophthalmol, Parkville, Vic, Australia; [Britten-Jones, Alexis Ceecee; Mack, Heather G. G.; Edwards, Thomas L. L.; Ayton, Lauren N. N.] Royal Victorian Eye &amp; Ear Hosp, Ctr Eye Res Australia, Melbourne, Vic, Australia; [Vincent, Andrea L. L.] Auckland Dist Hlth Board, Greenlane Clin Ctr, Eye Dept, Auckland, New Zealand; [Vincent, Andrea L. L.] Univ Auckland, Fac Med &amp; Hlth Sci, New Zealand Natl Eye Ctr, Dept Ophthalmol, Auckland, New Zealand; [Hill, Lisa J. J.] Univ Birmingham, Inst Clin Sci, Sch Biomed Sci, Birmingham, England</t>
  </si>
  <si>
    <t>University of Melbourne; University of Melbourne; Royal Victorian Eye &amp; Ear Hospital; Centre for Eye Research Australia; Auckland District Health Board; University of Auckland; University of Birmingham</t>
  </si>
  <si>
    <t>Britten-Jones, AC (corresponding author), Univ Melbourne, Fac Med Dent &amp; Hlth Sci, Dept Optometry &amp; Vis Sci, Parkville, Vic 3010, Australia.</t>
  </si>
  <si>
    <t>ac.brittenjones@unimelb.edu.au</t>
  </si>
  <si>
    <t>Britten-Jones, Alexis Ceecee/AAJ-4295-2020; Vincent, Andrea L/A-5389-2013</t>
  </si>
  <si>
    <t>Britten-Jones, Alexis Ceecee/0000-0002-1101-2870; Hill, Lisa/0000-0001-8431-7029; Vincent, Andrea L/0000-0002-4185-3267</t>
  </si>
  <si>
    <t>Universitas 21 Health Sciences Group International Projects Fund; University of Melbourne Early Career Researcher Grant; National Health and Medical Research Council Investigator Grant [1195713]; University of Melbourne Driving Research Momentum Fellowship</t>
  </si>
  <si>
    <t>Universitas 21 Health Sciences Group International Projects Fund; University of Melbourne Early Career Researcher Grant(University of Melbourne); National Health and Medical Research Council Investigator Grant(National Health and Medical Research Council (NHMRC) of Australia); University of Melbourne Driving Research Momentum Fellowship</t>
  </si>
  <si>
    <t>Universitas 21 Health Sciences Group International Projects Fund; University of Melbourne Early Career Researcher Grant; National Health and Medical Research Council Investigator Grant, Grant/Award Number: GNT#1195713; University of Melbourne Driving Research Momentum FellowshipThis study was funded by a Universitas 21 Health Sciences Group International Projects Fund (Alexis Ceecee Britten-Jones, Andrea L. Vincent, Lisa J. Hill, Thomas L. Edwards, Lauren N. Ayton) and University of Melbourne Early Career Researcher Grant (Alexis Ceecee Britten-Jones). Lauren N. Ayton is supported by a National Health and Medical Research Council Investigator Grant (GNT#1195713) and University of Melbourne Driving Research Momentum Fellowship. The funder has no role in the design and conduct of the study; collection, management, analysis, and interpretation of the data; preparation, review, or approval of the manuscript; or decision to submit the manuscript for publication.</t>
  </si>
  <si>
    <t>10.1111/cge.14415</t>
  </si>
  <si>
    <t>O5KW7</t>
  </si>
  <si>
    <t>WOS:001044207600001</t>
  </si>
  <si>
    <t>Cengiz, O; Manga, M</t>
  </si>
  <si>
    <t>Cengiz, Orhan; Manga, Muge</t>
  </si>
  <si>
    <t>Does economic globalization trigger de-industrialization in Western Balkan countries? Empirical evidence based on augmented mean group estimator</t>
  </si>
  <si>
    <t>REGIONAL SCIENCE POLICY AND PRACTICE</t>
  </si>
  <si>
    <t>economic globalization; deindustrialization; industrialization; manufacturing value-added; Western Balkans</t>
  </si>
  <si>
    <t>EXPLAINING DEINDUSTRIALIZATION; PREMATURE DEINDUSTRIALIZATION; INDUSTRIALIZATION; TRADE; GROWTH</t>
  </si>
  <si>
    <t>Integration into the global economy can cause shifts in industries and decrease the industrial sector's share. Deindustrialization, which refers to declining industry share, is commonly observed in developed countries. However, many developing countries have also experienced deindustrialization without attaining a high economic level in the era of globalization. Since transitioning to a market economy and integrating with the European Union (EU), deindustrialization has become a significant issue for Western Balkan countries. Thus, our paper analyzes the impact of economic globalization on the deindustrialization process in five Western Balkan countries: Albania, Bosnia and Herzegovina, Montenegro, North Macedonia, and Serbia by using panel data spanning 2000-2019. Our study involved the creation of two models utilizing the augmented mean group (AMG) estimation method to ensure precise results. Our research shows that in model I, the economic globalization index, economic growth, capital investment, and the rule of law positively impact industry employment share. In model II, trade openness and economic growth positively affect manufacturing value-added; however, capital investment and the rule of law have a negative impact. Our findings indicate that economic globalization promotes industrialization in the Western Balkans instead of leading to deindustrialization. The panel causality results from Dumitrescu-Hurlin indicate that in model I, there is a one-way causal relationship going from economic globalization and capital investment to the share of industry employment. In model II, the causal relationship goes from economic growth and the rule of law to manufacturing value-added, from manufacturing value-added to trade openness and capital investment.</t>
  </si>
  <si>
    <t>[Cengiz, Orhan] Cukurova Univ, Dept Accounting &amp; Taxat, Pozanti Vocat Sch, Adana, Turkiye; [Manga, Muge] Erzincan Binali Yildirim Univ, Dept Econ, FEAS, Erzincan, Turkiye</t>
  </si>
  <si>
    <t>Cukurova University; Erzincan Binali Yildirim University</t>
  </si>
  <si>
    <t>Cengiz, O (corresponding author), Cukurova Univ, Dept Accounting &amp; Taxat, Pozanti Vocat Sch, Adana, Turkiye.</t>
  </si>
  <si>
    <t>ocengiz@cu.edu.tr</t>
  </si>
  <si>
    <t>1757-7802</t>
  </si>
  <si>
    <t>REG SCI POLICY PRACT</t>
  </si>
  <si>
    <t>Reg. Sci. Policy Pract.</t>
  </si>
  <si>
    <t>10.1111/rsp3.12709</t>
  </si>
  <si>
    <t>Geography</t>
  </si>
  <si>
    <t>O5GV6</t>
  </si>
  <si>
    <t>WOS:001044102500001</t>
  </si>
  <si>
    <t>Changkeb, V; Nobsathian, S; Le Goff, G; Coustau, C; Bullangpoti, V</t>
  </si>
  <si>
    <t>Changkeb, Veeravat; Nobsathian, Saksit; Le Goff, Gaelle; Coustau, Christine; Bullangpoti, Vasakorn</t>
  </si>
  <si>
    <t>Insecticidal efficacy and possibility of Combretum trifoliatum Vent. (Myrtales: Combretaceae) extracts in controlling Spodoptera frugiperda (JE Smith) (Lepidoptera: Noctuidae)</t>
  </si>
  <si>
    <t>Combretum trifoliatum Vent.; fall armyworm; 5,7-dihydroxy-2-(4-hydroxyphenyl)chromen-4-one; 1,7,7-trimethylbicyclo[2.2.1]; heptan-2-one; bioinsecticides; detoxification enzymes</t>
  </si>
  <si>
    <t>FALL ARMYWORM; LEAF EXTRACTS; BIOLOGICAL-ACTIVITY; SULFURYL FLUORIDE; NATURAL-PRODUCTS; PLANT-EXTRACTS; CYPERMETHRIN; ANTIFEEDANT; TOXICITY; BIOACTIVITIES</t>
  </si>
  <si>
    <t>BACKGROUND: The fall armyworm Spodoptera frugiperda (J.E. Smith), is an important pest of agronomical crops. It is interesting to discover secondary metabolites in plants that are environmentally safer than synthetic pesticides. For this purpose, Combretum trifoliatum crude extract and its isolated compounds were investigated for their insecticidal activities against S. frugiperda. RESULTS: The median lethal dose (LD50) was evaluated in the second-instar larvae using the topical application method. The isolated compounds, apigenin and camphor, demonstrated a highly toxic effect on larvae at a lower LD50 dose than crude extract. Moreover, when the larvae were exposed to crude extract concentrations, the development to pupa and adult stages was reduced by more than 50%. The ovicidal toxicity was examined using a hand sprayer. The extract concentration 5, 10, and 20 mu g/egg significantly decreased the egg hatchability. In addition, crude extract showed a significant difference in inhibiting acetylcholinesterase (AChE) activity while crude extract and camphor showed significant inhibitory effects on carboxylesterase (CE) and glutathione-S-transferase (GST) activities. CONCLUSION: The crude ethanol extract of Combretum trifoliatum was toxic to S. frugiperda in terms of larval mortality, negatively affecting biological parameters, and decreasing egg hatchability. Additionally, the activities of cholinergic and detoxifying enzymes were affected by crude extract and its isolated compounds. These results highlight that Combretum trifoliatum might be efficient as a bioinsecticide to control S. frugiperda. (c) 2023 Society of Chemical Industry.</t>
  </si>
  <si>
    <t>[Changkeb, Veeravat; Bullangpoti, Vasakorn] Kasetsart Univ, Fac Sci, Dept Zool, Anim Toxicol &amp; Physiol Specialty Res Unit, Bangkok, Thailand; [Nobsathian, Saksit] Mahidol Univ, Nakhonsawan Campus, Nakhonsawan, Thailand; [Le Goff, Gaelle; Coustau, Christine] Univ Cote Azur, INRAE, CNRS, ISA, F-06903 Sophia Antipolis, France; [Nobsathian, Saksit] Mahidol Univ, 402-1 Moo 5 Khaothong,Nakhonsawan Campus, Nakhonsawan 60130, Thailand; [Bullangpoti, Vasakorn] Kasetsart Univ, Fac Sci, Dept Zool, Anim Toxicol &amp; Physiol Specialty Res Unit, Phaholyothin Rd, Bangkok 10900, Thailand</t>
  </si>
  <si>
    <t>Kasetsart University; Mahidol University; UDICE-French Research Universities; Universite Cote d'Azur; Centre National de la Recherche Scientifique (CNRS); INRAE; Mahidol University; Kasetsart University</t>
  </si>
  <si>
    <t>Nobsathian, S (corresponding author), Mahidol Univ, 402-1 Moo 5 Khaothong,Nakhonsawan Campus, Nakhonsawan 60130, Thailand.;Bullangpoti, V (corresponding author), Kasetsart Univ, Fac Sci, Dept Zool, Anim Toxicol &amp; Physiol Specialty Res Unit, Phaholyothin Rd, Bangkok 10900, Thailand.</t>
  </si>
  <si>
    <t>saksit.nob@mahidol.ac.th; fscivkb@ku.ac.th</t>
  </si>
  <si>
    <t>bullangpoti, vasakorn/0000-0001-9192-6375</t>
  </si>
  <si>
    <t>Office of the Ministry of Higher Education, Science, Research and Innovation; Thailand Science Research and Innovation through the Kasetsart University Reinventing University Program 2021, France; INRAE-Sophia Antipolis, France; Kasetsart University</t>
  </si>
  <si>
    <t>VC and VB would like to thank the financial support for VC to study from the Kasetsart University through the Graduated School Fellowship program. This work was financially supported by the Office of the Ministry of Higher Education, Science, Research and Innovation and the Thailand Science Research and Innovation through the Kasetsart University Reinventing University Program 2021 for research experience at INRAE-Sophia Antipolis, France. Furthermore, the authors thank Franco-Thai Scholarship 2022-2023 for the opportunity to exchanged scientific knowledge between INRAE-Sophia Antipolis, France and Kasetsart University. In addition, the authors thank the Department of Zoology, Faculty of Science, Kasetsart University, and the Nakhonsawan Campus at Mahidol University for the use of facilities and excellent equipment. Finally, the authors would like to thank Dr Sasimar Woraharn from the Nakhonsawan Campus at Mahidol University Thailand and Mr Natthachai Nuchchom from Protected Area Regional Office 12, Department of National Parks, Wildlife and Plant Conservation of Thailand for providing plant cultures.</t>
  </si>
  <si>
    <t>10.1002/ps.7688</t>
  </si>
  <si>
    <t>O5YJ1</t>
  </si>
  <si>
    <t>WOS:001044558700001</t>
  </si>
  <si>
    <t>Du, JN; Li, T; Xu, ZK; Tang, JY; Qi, Q; Meng, FB</t>
  </si>
  <si>
    <t>Du, Jiani; Li, Tian; Xu, Zhengkang; Tang, Jingyuan; Qi, Qing; Meng, Fanbin</t>
  </si>
  <si>
    <t>Structure-Activity Relationship in Microstructure Design for Electromagnetic Wave Absorption Applications</t>
  </si>
  <si>
    <t>electromagnetic characteristics; electromagnetic wave absorption; loss mechanisms; microstructure design</t>
  </si>
  <si>
    <t>EFFICIENT MICROWAVE-ABSORPTION; METAMATERIAL ABSORBER; CARBON NANOTUBES; GRAPHENE OXIDE; DIELECTRIC POLARIZATION; AEROGEL MICROSPHERES; POROUS ARCHITECTURE; COMPOSITE AEROGELS; BAND; PERFORMANCE</t>
  </si>
  <si>
    <t>Microwave absorbing materials (MAMs) are materials that effectively absorb incident electromagnetic (EM) wave energy, reducing reflection and scattering. They play a crucial role in enhancing electronic reliability, healthcare, and defense security. However, traditional MAMs like ferrites, magnetic metals, and polymers possess certain limitations, including low impedance matching, narrow absorption bandwidth, poor chemical stability, and high filling ratio, which hinder their further development. To address the requirements of lightweight, wideband, and high-efficiency absorption, precise structural design has emerged as a captivating research focus. Additionally, comprehending the structure-property relationships between these unique microstructures and EM response and loss mechanisms still poses significant challenges. Herein, a comprehensive review of MAMs is presented with varied structural designs encompassing various scales, providing a detailed introduction of the relationship between various potential structural designs of MAMs and their corresponding EM characteristics and loss mechanisms. Moreover, EM theoretical calculation models, characterization, and analysis methods are discussed. Finally, the article proposes the challenges and prospects for the development of structural design EM wave absorbers.</t>
  </si>
  <si>
    <t>[Du, Jiani; Li, Tian; Xu, Zhengkang; Tang, Jingyuan; Qi, Qing; Meng, Fanbin] Southwest Jiaotong Univ, Sch Mat Sci &amp; Engn, Minist Educ, Key Lab Adv Technol Mat, Chengdu 610031, Sichuan, Peoples R China</t>
  </si>
  <si>
    <t>Southwest Jiaotong University</t>
  </si>
  <si>
    <t>Meng, FB (corresponding author), Southwest Jiaotong Univ, Sch Mat Sci &amp; Engn, Minist Educ, Key Lab Adv Technol Mat, Chengdu 610031, Sichuan, Peoples R China.</t>
  </si>
  <si>
    <t>mengfanbin@swjtu.edu.cn</t>
  </si>
  <si>
    <t>National Natural Science Foundation of China (NSFC) [51903213, 5217130190]; Science and Technology Planning Project of Sichuan Province [2023NSFSC1952, 2022ZYD0028]; Central Government Guides the Local Science and Technology Development Special Funds [2021Szvup124]; Fundamental Research Funds for the Central Universities [2682021GF004, 2682022CG005]</t>
  </si>
  <si>
    <t>National Natural Science Foundation of China (NSFC)(National Natural Science Foundation of China (NSFC)); Science and Technology Planning Project of Sichuan Province; Central Government Guides the Local Science and Technology Development Special Funds; Fundamental Research Funds for the Central Universities(Fundamental Research Funds for the Central Universities)</t>
  </si>
  <si>
    <t>This work was financially supported by the National Natural Science Foundation of China (NSFC, Nos. 51903213 and 5217130190), the Science and Technology Planning Project of Sichuan Province (Nos. 2023NSFSC1952 and 2022ZYD0028), the Central Government Guides the Local Science and Technology Development Special Funds (No. 2021Szvup124), and the Fundamental Research Funds for the Central Universities (No. 2682021GF004 and 2682022CG005) to freely explore basic research projects. In addition, the authors would like to thank the Analytical and Testing Center of Southwest Jiaotong University for supporting the relative measurements. They are also grateful for the VCD analysis provided by Shanghai Research Dog Technology Co. Ltd.</t>
  </si>
  <si>
    <t>10.1002/sstr.202300152</t>
  </si>
  <si>
    <t>O5FF0</t>
  </si>
  <si>
    <t>WOS:001044059900001</t>
  </si>
  <si>
    <t>Efthymiou, S; Novis, LE; Koutsis, G; Koniari, C; Maroofian, R; Turchetti, V; Velonakis, G; Vasconcellos, LF; Raskin, S; Srinivasan, VM; Pagnamenta, AT; Arun, YB; Kinhal, UV; Gowda, VK; Teive, HAG; Houlden, H</t>
  </si>
  <si>
    <t>Efthymiou, Stephanie; Novis, Luiz E. E.; Koutsis, Georgios; Koniari, Chrysoula; Maroofian, Reza; Turchetti, Valentina; Velonakis, Georgios; Vasconcellos, Luiz F. F.; Raskin, Salmo; Srinivasan, Varunvenkat M. M.; Pagnamenta, Alistair T. T.; Arun, Yaramanchanahalli B. B.; Kinhal, Uddhava V. V.; Gowda, Vykuntaraju K. K.; Teive, Helio A. G.; Houlden, Henry</t>
  </si>
  <si>
    <t>Pure cerebellar ataxia due to bi-allelic PRDX3 variants including recurring p.Asp202Asn</t>
  </si>
  <si>
    <t>ANNALS OF CLINICAL AND TRANSLATIONAL NEUROLOGY</t>
  </si>
  <si>
    <t>Bi-allelic variants in peroxiredoxin 3 (PRDX3) have only recently been associated with autosomal recessive spinocerebellar ataxia characterized by early onset slowly progressive cerebellar ataxia, variably associated with hyperkinetic and hypokinetic features, accompanied by cerebellar atrophy and occasional olivary and brainstem involvement. Herein, we describe a further simplex case carrying a reported PRDX3 variant as well as two additional cases with novel variants. We report the first Brazilian patient with SCAR32, replicating the pathogenic status of a known variant. All presented cases from the Brazilian and Indian populations expand the phenotypic spectrum of the disease by displaying prominent neuroradiological findings. SCAR32, although rare, should be included in the differential diagnosis of sporadic or recessive childhood and adolescent-onset pure and complex cerebellar ataxia.</t>
  </si>
  <si>
    <t>[Efthymiou, Stephanie; Maroofian, Reza; Turchetti, Valentina; Houlden, Henry] UCL Queen Sq Inst Neurol, Dept Neuromuscular Disorders, London WC1N 3BG, England; [Novis, Luiz E. E.; Teive, Helio A. G.] Univ Fed Parana, Hosp Clin, Postgrad Program Internal Med, Neurol Dis Grp, Curitiba, Parana, Brazil; [Koutsis, Georgios; Koniari, Chrysoula] Natl &amp; Kapodistrian Univ Athens, Eginit Hosp, Dept Neurol 1, Neurogenet Unit, Athens, Greece; [Koutsis, Georgios] Natl &amp; Kapodistrian Univ Athens, Attikon Hosp, Med Sch, Dept Radiol 2, Athens, Greece; [Vasconcellos, Luiz F. F.] Univ Fed Rio de Janeiro, Inst Neurol, Rio De Janeiro, Brazil; [Raskin, Salmo] Genetika Lab, Curitiba, Parana, Brazil; [Srinivasan, Varunvenkat M. M.; Arun, Yaramanchanahalli B. B.; Kinhal, Uddhava V. V.; Gowda, Vykuntaraju K. K.] Indira Gandhi Inst Child Hlth, Dept Pediat Neurol, Bangalore, India; [Pagnamenta, Alistair T. T.] Univ Oxford, NIHR Biomed Res Ctr, Wellcome Ctr Human Genet, Oxford, England</t>
  </si>
  <si>
    <t>University of London; University College London; Universidade Federal do Parana; National &amp; Kapodistrian University of Athens; National &amp; Kapodistrian University of Athens; University Hospital Attikon; Universidade Federal do Rio de Janeiro; University of Oxford; Wellcome Centre for Human Genetics</t>
  </si>
  <si>
    <t>Efthymiou, S (corresponding author), UCL Queen Sq Inst Neurol, Dept Neuromuscular Disorders, London WC1N 3BG, England.</t>
  </si>
  <si>
    <t>s.efthymiou@ucl.ac.uk</t>
  </si>
  <si>
    <t>Vasconcellos, Luiz Felipe/0000-0001-9080-7833; Koutsis, Georgios/0000-0002-8980-8377; Novis de Farias, Luiz Eduardo/0000-0003-1479-2953</t>
  </si>
  <si>
    <t>Wellcome Trust [WT093205 MA, WT104033AIA]; National Institute for Health Research University College London Hospitals Biomedical Research Centre; MRC [MR/S005021/1]</t>
  </si>
  <si>
    <t>Wellcome Trust(Wellcome Trust); National Institute for Health Research University College London Hospitals Biomedical Research Centre; MRC(UK Research &amp; Innovation (UKRI)Medical Research Council UK (MRC))</t>
  </si>
  <si>
    <t>We thank the patient and relatives for consent to be part of the study. The family was collected as part of the SYNaPS Study Group collaboration funded by The Wellcome Trust and strategic award (Synaptopathies) funding (WT093205 MA and WT104033AIA) and research was conducted as part of the Queen Square Genomics group at University College London, supported by the National Institute for Health Research University College London Hospitals Biomedical Research Centre. SE and HH were supported by an MRC strategic award to establish an International Centre for Genomic Medicine in Neuromuscular Diseases (ICGNMD) MR/S005021/1. We are also grateful to Queen Square Genomics at the Institute of Neurology University College London, supported by the National Institute for Health Research University College London Hospitals Biomedical Research Centre, for the bioinformatics support.</t>
  </si>
  <si>
    <t>2328-9503</t>
  </si>
  <si>
    <t>ANN CLIN TRANSL NEUR</t>
  </si>
  <si>
    <t>Ann. Clin. Transl. Neurol.</t>
  </si>
  <si>
    <t>10.1002/acn3.51874</t>
  </si>
  <si>
    <t>O5LA3</t>
  </si>
  <si>
    <t>WOS:001044211200001</t>
  </si>
  <si>
    <t>Gupta, SS; Gupta, S; Manisha; Guptag, P; Sharma, U</t>
  </si>
  <si>
    <t>Gupta, Shiv Shankar; Gupta, Shivangi; Manisha, Puneet; Guptag, Puneet; Sharma, Upendra</t>
  </si>
  <si>
    <t>Experimental and Computational Studies on Ru-II-Catalyzed C7-Allylation of Indolines with Allyl Bromide</t>
  </si>
  <si>
    <t>allylation; allyl bromide; C-H Activation; indoline; ruthenium</t>
  </si>
  <si>
    <t>C-H ALLYLATION; ELECTRON-DEFICIENT ARENES; COPPER; ACTIVATION; ACETATES; ALKYLATION; ALCOHOLS; INDOLES</t>
  </si>
  <si>
    <t>The selective C7-allylation of indolines with allyl bromide under ruthenium catalysis has been revealed here. Under established reaction conditions, C7-allylation of various indolines, including drug compounds, was accomplished with good selectivity and yields. Based on combined experimental and density functional theory (DFT) studies, the olefin insertion route was energetically favorable among four possible pathways. Experimental and DFT studies further revealed that the C-H activation is a reversible rate-limiting step.</t>
  </si>
  <si>
    <t>[Gupta, Shiv Shankar; Manisha, Puneet; Sharma, Upendra] CSIR IHBT, C H Activat &amp; Phytochem Lab, Chem Technol Div, Palampur 176061, HP, India; [Gupta, Shiv Shankar; Manisha, Puneet; Sharma, Upendra] Acad Sci &amp; Innovat Res AcSIR, Ghaziabad 201002, India; [Gupta, Shivangi; Guptag, Puneet] Indian Inst Technol Roorkee, Computat Catalysis Ctr, Dept Chem, Roorkee 247667, Uttarakhand, India</t>
  </si>
  <si>
    <t>Council of Scientific &amp; Industrial Research (CSIR) - India; CSIR - Institute of Himalayan Bioresource Technology (IHBT); Academy of Scientific &amp; Innovative Research (AcSIR); Indian Institute of Technology System (IIT System); Indian Institute of Technology (IIT) - Roorkee</t>
  </si>
  <si>
    <t>Sharma, U (corresponding author), CSIR IHBT, C H Activat &amp; Phytochem Lab, Chem Technol Div, Palampur 176061, HP, India.;Sharma, U (corresponding author), Acad Sci &amp; Innovat Res AcSIR, Ghaziabad 201002, India.;Guptag, P (corresponding author), Indian Inst Technol Roorkee, Computat Catalysis Ctr, Dept Chem, Roorkee 247667, Uttarakhand, India.</t>
  </si>
  <si>
    <t>puneet.gupta@cy.iitr.ac.in; upendraihbt@gmail.com</t>
  </si>
  <si>
    <t>; Sharma, Upendra/J-6325-2018</t>
  </si>
  <si>
    <t>Gupta, Puneet/0000-0002-3004-2936; Gupta, Shivangi/0000-0002-3264-691X; , Manisha/0000-0002-6909-3263; Sharma, Upendra/0000-0002-7693-8690</t>
  </si>
  <si>
    <t>CSIR, New Delhi [MLP0203]; UGC, New Delhi [CRG/2021/000878]; Ministry of Electronics and Information Technology (MeitY); Department of Science and Technology (DST), Government of India; SERB-DST [CRG/2021/000759]; SERB-DST-India; [191620057296]</t>
  </si>
  <si>
    <t>CSIR, New Delhi(Council of Scientific &amp; Industrial Research (CSIR) - India); UGC, New Delhi(University Grants Commission, India); Ministry of Electronics and Information Technology (MeitY)(Ministry of Electronics and Information Technology (MEITY), Government of India); Department of Science and Technology (DST), Government of India(Department of Science &amp; Technology (India)); SERB-DST(Department of Science &amp; Technology (India)Science Engineering Research Board (SERB), India); SERB-DST-India;</t>
  </si>
  <si>
    <t>The authors are grateful to the Director, CSIR-IHBT, for continuous encouragement. US thanks CSIR, New Delhi (MLP0203), and SERB-DST (CRG/2021/000878) for financial support. SG thanks UGC, New Delhi, for the SRF fellowship (NTA Ref. No. 191620057296). The computational part of this work is supported by SERB-DST-India project no. CRG/2021/000759 to PG. We also acknowledge the National Supercomputing Mission (NSM) for providing computing resources of PARAM Ganga at the Indian Institute of Technology Roorkee, which is implemented by C-DAC and supported by the Ministry of Electronics and Information Technology (MeitY) and the Department of Science and Technology (DST), Government of India. SG would like to acknowledge Parveen Rawal for his helpful discussions and suggestions. The CSIR-IHBT communication no. is 5314.</t>
  </si>
  <si>
    <t>SEP 6</t>
  </si>
  <si>
    <t>10.1002/chem.202301360</t>
  </si>
  <si>
    <t>R0RR7</t>
  </si>
  <si>
    <t>WOS:001043915300001</t>
  </si>
  <si>
    <t>Kogelmann, B; Palt, R; Maresch, D; Strasser, R; Altmann, F; Kallolimath, S; Sun, L; DAoust, MA; Lavoie, PO; Saxena, P; Gach, JS; Steinkellner, H</t>
  </si>
  <si>
    <t>Kogelmann, Benjamin; Palt, Roman; Maresch, Daniel; Strasser, Richard; Altmann, Friedrich; Kallolimath, Somanath; Sun, Lin; DAoust, Marc-Andre; Lavoie, Pierre-Olivier; Saxena, Pooja; Gach, Johannes S. S.; Steinkellner, Herta</t>
  </si>
  <si>
    <t>In planta expression of active bacterial GDP-6-deoxy-d-lyxo-4-hexulose reductase for glycan modulation</t>
  </si>
  <si>
    <t>PLANT BIOTECHNOLOGY JOURNAL</t>
  </si>
  <si>
    <t>RMD; N-glycan engineering; fucose; Nicotiana benthamiana; recombinant glycoproteins</t>
  </si>
  <si>
    <t>N-GLYCANS; NICOTIANA-BENTHAMIANA; MONOCLONAL-ANTIBODY</t>
  </si>
  <si>
    <t>[Kogelmann, Benjamin; Palt, Roman; Strasser, Richard; Kallolimath, Somanath; Sun, Lin; Steinkellner, Herta] Univ Nat Resources &amp; Life Sci, Dept Appl Genet &amp; Cell Biol, Vienna, Austria; [Kogelmann, Benjamin] ACIB Austrian Ctr Ind Biotechnol, Vienna, Austria; [Maresch, Daniel] Univ Nat Resources &amp; Life Sci, Core Facil Mass Spectrometry, Vienna, Austria; [Altmann, Friedrich] Univ Nat Resources &amp; Life Sci, Dept Chem, Vienna, Austria; [DAoust, Marc-Andre; Lavoie, Pierre-Olivier; Saxena, Pooja] Medicago Inc, Quebec City, PQ, Canada; [Gach, Johannes S. S.] Univ Calif Irvine, Div Infect Dis, Irvine, CA USA</t>
  </si>
  <si>
    <t>University of Natural Resources &amp; Life Sciences, Vienna; Austrian Centre of Industrial Biotechnology; University of Natural Resources &amp; Life Sciences, Vienna; University of Natural Resources &amp; Life Sciences, Vienna; University of California System; University of California Irvine</t>
  </si>
  <si>
    <t>Steinkellner, H (corresponding author), Univ Nat Resources &amp; Life Sci, Dept Appl Genet &amp; Cell Biol, Vienna, Austria.</t>
  </si>
  <si>
    <t>herta.steinkellner@boku.ac.at</t>
  </si>
  <si>
    <t>Strasser, Richard/0000-0001-8764-6530; Kogelmann, Benjamin/0000-0003-4796-6315; Altmann, Friedrich/0000-0002-0112-7877; Kallolimath, Somanath/0000-0001-5364-5919</t>
  </si>
  <si>
    <t>1467-7644</t>
  </si>
  <si>
    <t>1467-7652</t>
  </si>
  <si>
    <t>PLANT BIOTECHNOL J</t>
  </si>
  <si>
    <t>Plant Biotechnol. J.</t>
  </si>
  <si>
    <t>10.1111/pbi.14131</t>
  </si>
  <si>
    <t>Biotechnology &amp; Applied Microbiology; Plant Sciences</t>
  </si>
  <si>
    <t>O3WZ3</t>
  </si>
  <si>
    <t>WOS:001043166400001</t>
  </si>
  <si>
    <t>Liu, W; Zhao, ZH; Cui, Y; Guo, FC; Wu, YZ</t>
  </si>
  <si>
    <t>Liu, Wei; Zhao, Zhihui; Cui, Yan; Guo, Fangchen; Wu, Yuzhao</t>
  </si>
  <si>
    <t>Does it matter where your ancestor come from? Genetic distance and bilateral foreign direct investment</t>
  </si>
  <si>
    <t>WORLD ECONOMY</t>
  </si>
  <si>
    <t>bilateral FDI; genetic distance; transaction costs</t>
  </si>
  <si>
    <t>DETERMINANTS; UNCERTAINTY; DIFFUSION</t>
  </si>
  <si>
    <t>This paper selects 141 countries from 2009 to 2020 to investigate the impact of genetic distance on bilateral foreign direct investment (FDI). Through theoretical and empirical analysis, we get the following conclusions. First, genetic distance has a significant negative impact on bilateral FDI by increasing transaction costs. This conclusion still holds after several robust checks. Second, genetic distance has different effects on bilateral FDI for different countries: (1) If at least one of the two countries is a low-income country, genetic distance will have a significant negative impact on their FDI, but no significant impact on both high-income countries; (2) if at least one of the two countries is not a member of the Belt and Road Initiative, genetic distance will have a significant negative impact, but no significant impact on both member countries; and (3) genetic distance has a significant negative impact only when both countries are World Trade Organization members. Third, further analysis shows that a smaller genetic distance has no significant effect on bilateral FDI, and only when the genetic distance is larger than the average would a significant negative impact exists. This paper provides policy recommendations for promoting bilateral investment.</t>
  </si>
  <si>
    <t>[Liu, Wei; Zhao, Zhihui; Cui, Yan; Guo, Fangchen; Wu, Yuzhao] Wuhan Univ, Sch Econ &amp; Management, Wuhan, Peoples R China; [Liu, Wei] Wuhan Univ, Inst US &amp; Canada Econ, Wuhan, Peoples R China; [Zhao, Zhihui] Wuhan Univ, Econ &amp; Management Sch, Off B461, Wuhan, Hubei, Peoples R China</t>
  </si>
  <si>
    <t>Wuhan University; Wuhan University; Wuhan University</t>
  </si>
  <si>
    <t>Zhao, ZH (corresponding author), Wuhan Univ, Econ &amp; Management Sch, Off B461, Wuhan, Hubei, Peoples R China.</t>
  </si>
  <si>
    <t>sonnet1003@whu.edu.cn</t>
  </si>
  <si>
    <t>Zhao, Zhihui/0000-0002-4508-5816</t>
  </si>
  <si>
    <t>China National Social Science Fund [19BJY008]</t>
  </si>
  <si>
    <t>China National Social Science Fund</t>
  </si>
  <si>
    <t>ACKNOWLEDGEMENTS The paper was supported by the China National Social Science Fund (Grant No. 19BJY008).</t>
  </si>
  <si>
    <t>0378-5920</t>
  </si>
  <si>
    <t>1467-9701</t>
  </si>
  <si>
    <t>WORLD ECON</t>
  </si>
  <si>
    <t>World Econ.</t>
  </si>
  <si>
    <t>10.1111/twec.13475</t>
  </si>
  <si>
    <t>Business, Finance; Economics; International Relations</t>
  </si>
  <si>
    <t>Business &amp; Economics; International Relations</t>
  </si>
  <si>
    <t>O4AF2</t>
  </si>
  <si>
    <t>WOS:001043251300001</t>
  </si>
  <si>
    <t>Long, Y; Lin, SM; Lin, HT</t>
  </si>
  <si>
    <t>Long, Ying; Lin, Shiming; Lin, Hua-Tay</t>
  </si>
  <si>
    <t>Thermal stability of ReB2-type transition metal diborides</t>
  </si>
  <si>
    <t>B content; thermal stability; transition metal diborides</t>
  </si>
  <si>
    <t>HEXAGONAL OSB2; MECHANICAL-PROPERTIES; SUPERHARD; 1ST-PRINCIPLES; BORIDES; HARDNESS</t>
  </si>
  <si>
    <t>The thermal stability of metastable ReB2-type transition metal diborides (TMB2), which are considered as new type of superhard material, is of vital importance to obtain bulk samples. In the present work, thermal stability of four kinds of ReB2-type TMB2 powders, ReB2, OsB2, Os1-xRexB2, and Os1-xWxB2, were synthesized with varied transition metal (TM)-to-B molar ratio by mechanochemical methods and the subsequent annealing was compared. The as-synthesized powders were then consolidated using a pressureless sintering technique. The results showed that the B content required to obtain the pure hexagonal ReB2-type Os-1-(x)(TM)(x)B-2 phase varied, which indicated different thermal stabilities, such as OsB2 &lt; Os0.1W0.1B2 &lt; Os0.9Re0.1B2 &lt; Os0.8W0.2B2 &lt; ReB2 &lt; Os0.6W0.4B2 and Os0.5W0.5B2. Among them, Os0.6W0.4B2 and Os0.5W0.5B2 were found to be relatively thermally stable and could be synthesized with a stoichiometric molar ratio of (Os + W):B = 1:2. It was also found that the thermal stability of TMB2 with a hexagonal ReB2 structure could be mainly governed by the length of lattice constant c. The results have guiding significance for the design and preparation of new type of TM borides. In addition, the hardness of TMB2 can be increased by tailoring the B content in the raw materials more precisely.</t>
  </si>
  <si>
    <t>[Long, Ying; Lin, Shiming; Lin, Hua-Tay] Guangdong Univ Technol, Sch Electromech Engn, Guangdong Prov Key Lab Minimally Invas Surg Instru, Guangzhou 510006, Peoples R China</t>
  </si>
  <si>
    <t>Guangdong University of Technology</t>
  </si>
  <si>
    <t>Long, Y (corresponding author), Guangdong Univ Technol, Sch Electromech Engn, Guangdong Prov Key Lab Minimally Invas Surg Instru, Guangzhou 510006, Peoples R China.</t>
  </si>
  <si>
    <t>longying0306@163.com</t>
  </si>
  <si>
    <t>National Natural Science Foundation of China [51804082]; National Natural Science Foundation of Guangdong Province, China [2018A030310584]</t>
  </si>
  <si>
    <t>National Natural Science Foundation of China(National Natural Science Foundation of China (NSFC)); National Natural Science Foundation of Guangdong Province, China(National Natural Science Foundation of Guangdong Province)</t>
  </si>
  <si>
    <t>ACKNOWLEDGMENTS This work was financially supported by the National Natural Science Foundation of China (51804082) and National Natural Science Foundation of Guangdong Province, China (No. 2018A030310584).</t>
  </si>
  <si>
    <t>10.1111/jace.19364</t>
  </si>
  <si>
    <t>O3PG9</t>
  </si>
  <si>
    <t>WOS:001042964800001</t>
  </si>
  <si>
    <t>Lu, BJ; Hu, DA; Yang, RQ; Du, JG; Hu, LX; Li, SQ; Wang, FZ; Huang, JY; Liu, PW; Zhuge, F; Zeng, YJ; Ye, ZZ; Lu, JG</t>
  </si>
  <si>
    <t>Lu, Bojing; Hu, Dunan; Yang, Ruqi; Du, Jigang; Hu, Lingxiang; Li, Siqin; Wang, Fengzhi; Huang, Jingyun; Liu, Pingwei; Zhuge, Fei; Zeng, Yu-Jia; Ye, Zhizhen; Lu, Jianguo</t>
  </si>
  <si>
    <t>Self-repairable, high-uniform conductive-bridge random access memory based on amorphous NbSe2</t>
  </si>
  <si>
    <t>SMARTMAT</t>
  </si>
  <si>
    <t>conductive-bridge random access memory; conductive filament; high uniformity; NbSe2; self-repairable</t>
  </si>
  <si>
    <t>DEVICE; IMPROVEMENT; FILAMENTS; FILMS</t>
  </si>
  <si>
    <t>Conductive-bridge random access memory (CBRAM) emerges as a promising candidate for next-generation memory and storage device. However, CBRAMs are prone to degenerate and fail during electrochemical metallization processes. To address this issue, herein we propose a self-repairability strategy for CBRAMs. Amorphous NbSe2 was designed as the resistive switching layer, with Cu and Au as the top and bottom electrodes, respectively. The NbSe2 CBRAMs demonstrate exceptional cycle-to-cycle and device-to-device uniformity, with forming-free and compliance current-free resistive switching characteristics, low-operation voltage, and competitive endurance and retention performance. Most importantly, the self-repairable behavior is discovered for the first time in CBRAM. The device after failure can recover its performance to the initially normal state by operating with a slightly large reset voltage. The existence of Cu conductive filament and excellent controllability of Cu migration in the NbSe2 switching layer has been revealed by a designed broken-down point approach, which is responsible for the self-repairable behavior of NbSe2 CBRAMs. Our self-repairable and high-uniform amorphous NbSe2 CBRAM may open the door to the development of memory and storage devices in the future.</t>
  </si>
  <si>
    <t>[Lu, Bojing; Hu, Dunan; Yang, Ruqi; Li, Siqin; Wang, Fengzhi; Huang, Jingyun; Ye, Zhizhen; Lu, Jianguo] Zhejiang Univ, Sch Mat Sci &amp; Engn, State Key Lab Silicon &amp; Adv Semicond Mat, Key Lab Biomed Engn,Minist Educ, Hangzhou, Peoples R China; [Du, Jigang; Liu, Pingwei] Zhejiang Univ, Coll Chem &amp; Biol Engn, State Key Lab Chem Engn, Hangzhou, Peoples R China; [Hu, Lingxiang; Zhuge, Fei] Chinese Acad Sci, Ningbo Inst Mat Technol &amp; Engn, Ningbo, Peoples R China; [Zeng, Yu-Jia] Shenzhen Univ, Coll Phys &amp; Optoelect Engn, Shenzhen, Peoples R China; [Lu, Jianguo] Zhejiang Univ, Sch Mat Sci &amp; Engn, State Key Lab Silicon &amp; Adv Semicond Mat, Key Lab Biomed Engn,Minist Educ, Hangzhou 310058, Peoples R China</t>
  </si>
  <si>
    <t>Zhejiang University; Zhejiang University; Chinese Academy of Sciences; Ningbo Institute of Materials Technology and Engineering, CAS; Shenzhen University; Zhejiang University</t>
  </si>
  <si>
    <t>Lu, JG (corresponding author), Zhejiang Univ, Sch Mat Sci &amp; Engn, State Key Lab Silicon &amp; Adv Semicond Mat, Key Lab Biomed Engn,Minist Educ, Hangzhou 310058, Peoples R China.</t>
  </si>
  <si>
    <t>lujianguo@zju.edu.cn</t>
  </si>
  <si>
    <t>National Natural Science Foundation of China [U20A20209]; Zhejiang Provincial Key Research and Development Program [2021C01030]; Pioneer and Leading Goose Ramp;D Program of Zhejiang Province [2021C01SA301612]</t>
  </si>
  <si>
    <t>National Natural Science Foundation of China(National Natural Science Foundation of China (NSFC)); Zhejiang Provincial Key Research and Development Program; Pioneer and Leading Goose Ramp;D Program of Zhejiang Province</t>
  </si>
  <si>
    <t>National Natural Science Foundation of China, Grant/Award Number: U20A20209; Zhejiang Provincial Key Research and Development Program, Grant/Award Number: 2021C01030; Pioneer and Leading Goose R &amp; amp;D Program of Zhejiang Province, Grant/Award Number: 2021C01SA301612</t>
  </si>
  <si>
    <t>2766-8525</t>
  </si>
  <si>
    <t>2688-819X</t>
  </si>
  <si>
    <t>SmartMat</t>
  </si>
  <si>
    <t>10.1002/smm2.1240</t>
  </si>
  <si>
    <t>O4ZU7</t>
  </si>
  <si>
    <t>WOS:001043919500001</t>
  </si>
  <si>
    <t>Ma, PW; Miao, XY; Li, MY; Kong, XB; Jiang, YT; Wang, PP; Zhang, P; Shang, PP; Chen, YS; Zhou, XL; Wang, W; Zhang, Q; Liu, H; Feng, FF</t>
  </si>
  <si>
    <t>Ma, Pengwei; Miao, Xinyi; Li, Mengyuan; Kong, Xiangbing; Jiang, Yuting; Wang, Pengpeng; Zhang, Peng; Shang, Pingping; Chen, Yusong; Zhou, Xiaolei; Wang, Wei; Zhang, Qiao; Liu, Hong; Feng, Feifei</t>
  </si>
  <si>
    <t>Lung proteomics combined with metabolomics reveals molecular characteristics of inflammation-related lung tumorigenesis induced by B(a)P and LPS</t>
  </si>
  <si>
    <t>benzo(a)pyrene; inflammation-related lung tumorigenesis; metabolomics; proteomics; purine metabolism pathway</t>
  </si>
  <si>
    <t>NF-KAPPA-B; INJURY; NLRP3; CELL</t>
  </si>
  <si>
    <t>Inflammatory microenvironment may take a promoting role in lung tumorigenesis. However, the molecular characteristics underlying inflammation-related lung cancer remains unknown. In this work, the inflammation-related lung tumorigenesis mouse model was established by treated with B(a)P (1 mg/mouse, once a week for 4 weeks), followed by LPS (2.5 &amp; mu;g/mouse, once every 3 weeks for five times), the mice were sacrificed 30 weeks after exposure. TMT-labeled quantitative proteomics and untargeted metabolomics were used to interrogate differentially expressed proteins and metabolites in different mouse cancer tissues, followed by integrated crosstalk between proteomics and metabolomics through Spearman's correlation analysis. The result showed that compared with the control group, 103 proteins and 37 metabolites in B(a)P/LPS group were identified as significantly altered. By searching KEGG pathway database, proteomics pathways such as Leishmaniasis, Asthma and Intestinal immune network for IgA production, metabolomics pathways such as Vascular smooth muscle contraction, Linoleic acid metabolism and cGMP-PKG signaling pathway were enriched. A total of 22 pathways were enriched after conjoint analysis of the proteomic and metabolomics, and purine metabolism pathway, the unique metabolism-related pathway, which included significantly altered protein (adenylate cyclase 4, ADCY4) and metabolites (L-Glutamine, guanosine monophosphate (GMP), adenosine and guanosine) was found. Results suggested purine metabolism may contribute to the inflammation-related lung tumorigenesis, which may provide novel clues for the therapeutic strategies of inflammation-related lung cancer.</t>
  </si>
  <si>
    <t>[Ma, Pengwei; Miao, Xinyi; Kong, Xiangbing; Jiang, Yuting; Zhang, Qiao; Feng, Feifei] Zhengzhou Univ, Sch Publ Hlth, Dept Toxicol, Zhengzhou, Henan, Peoples R China; [Li, Mengyuan; Shang, Pingping; Wang, Wei] Zhengzhou Univ, Coll Publ Hlth, Dept Occupat &amp; Environm Hlth, Zhengzhou, Henan, Peoples R China; [Wang, Pengpeng] Zhengzhou Univ, Affiliated Canc Hosp, Henan Canc Hosp, Dept Bone &amp; Soft Tissue Canc, Zhengzhou, Peoples R China; [Shang, Pingping] Zhengzhou Tobacco Res Inst, Key Lab Tobacco Chem, CNC, Zhengzhou, Henan, Peoples R China; [Chen, Yusong] China Natl Tobacco Corp, Shandong Branch, Qual Supervis &amp; Test Ctr, Jinan, Peoples R China; [Zhou, Xiaolei] Zhengzhou Univ, Henan Prov Chest Hosp, Dept Pulm Med, Zhengzhou, Henan, Peoples R China; [Liu, Hong] Zhengzhou Univ, Affiliated Hosp 1, Dept Pulm Med, Zhengzhou, Henan, Peoples R China; [Feng, Feifei] Zhengzhou Univ, Coll Publ Hlth, Dept Toxicol, 100 Kexue Ave, Zhengzhou 450001, Henan, Peoples R China</t>
  </si>
  <si>
    <t>Zhengzhou University; Zhengzhou University; Zhengzhou University; Zhengzhou Tobacco Research Institute of CNTC; China National Tobacco Corporation; Zhengzhou University; Zhengzhou University; Zhengzhou University</t>
  </si>
  <si>
    <t>Feng, FF (corresponding author), Zhengzhou Univ, Coll Publ Hlth, Dept Toxicol, 100 Kexue Ave, Zhengzhou 450001, Henan, Peoples R China.</t>
  </si>
  <si>
    <t>feifeifeng@zzu.edu.cn</t>
  </si>
  <si>
    <t>Zhang, Lijun/JEZ-7925-2023; yuanyuan, Li/JEZ-6497-2023</t>
  </si>
  <si>
    <t>10.1002/tox.23926</t>
  </si>
  <si>
    <t>O3EG6</t>
  </si>
  <si>
    <t>WOS:001042677500001</t>
  </si>
  <si>
    <t>Malhotra, A; Drexler, K; Hsu, MC; Tang, YL</t>
  </si>
  <si>
    <t>Malhotra, Aniket; Drexler, Karen; Hsu, Michael; Tang, Yi-lang</t>
  </si>
  <si>
    <t>Medication treatment for alcohol use disorder in special populations</t>
  </si>
  <si>
    <t>AMERICAN JOURNAL ON ADDICTIONS</t>
  </si>
  <si>
    <t>EXTENDED-RELEASE NALTREXONE; HEPATIC SAFETY; OPIOID DEPENDENCE; GABAPENTIN; ACAMPROSATE; RISK; PHARMACOKINETICS; TOPIRAMATE; DRINKING; PHARMACOTHERAPIES</t>
  </si>
  <si>
    <t>Background and ObjectivesAlcohol use disorder (AUD) is a significant public health concern, with underutilized effective treatments, particularly in special populations. This article summarizes the current evidence and guidelines for treating AUD in special populations. MethodsThis article is a literature review that synthesizes the latest research on AUD treatment for special populations. We screened 242 articles and included 57 in our final review. ResultsThere are four food and Drug Administration-approved medications for AUD (MAUD): disulfiram, oral naltrexone, extended-release injectable naltrexone (XR-NTX), and acamprosate. Naltrexone and disulfiram have the potential to cause liver toxicity, and acamprosate should be avoided in patients with severe kidney disease. Psychosocial treatments should be considered first-line for pregnant and nursing patients. Naltrexone is contraindicated in patients on opioids, as it may precipitate acute withdrawal. For patients experiencing homelessness, nonabstinent treatment goals may be more practical, and XR-NTX should be considered to improve adherence. Limited evidence suggests medication can improve AUD treatment outcomes in adolescents and young adults. For patients with poor treatment response despite adequate medication adherence, switching to a different medication and augmentation with psychosocial treatments should be considered. Discussion and ConclusionsUnderstanding the unique considerations for special populations with AUD is crucial, and addressing their special needs may improve their treatment outcomes. Scientific SignificanceOur study significantly contributes to the existing literature by summarizing crucial information for the treatment of AUD in special populations, highlighting distinct challenges, and emphasizing tailored approaches to improve overall health and well-being.</t>
  </si>
  <si>
    <t>[Malhotra, Aniket; Drexler, Karen; Hsu, Michael; Tang, Yi-lang] Emory Univ, Dept Psychiat &amp; Behav Sci, Atlanta, GA USA; [Tang, Yi-lang] Joseph Maxwell Cleland Atlanta VA Med Ctr, Subst Abuse Treatment Program, Mental Hlth 116 A Room GB160,1670 Clairmont Rd, Decatur, GA 30033 USA</t>
  </si>
  <si>
    <t>Emory University</t>
  </si>
  <si>
    <t>Tang, YL (corresponding author), Joseph Maxwell Cleland Atlanta VA Med Ctr, Subst Abuse Treatment Program, Mental Hlth 116 A Room GB160,1670 Clairmont Rd, Decatur, GA 30033 USA.</t>
  </si>
  <si>
    <t>ytang5@emory.edu</t>
  </si>
  <si>
    <t>Malhotra, Aniket/0009-0005-9917-4637</t>
  </si>
  <si>
    <t>1055-0496</t>
  </si>
  <si>
    <t>1521-0391</t>
  </si>
  <si>
    <t>AM J ADDICTION</t>
  </si>
  <si>
    <t>Am. J. Addict.</t>
  </si>
  <si>
    <t>10.1111/ajad.13455</t>
  </si>
  <si>
    <t>O4RZ9</t>
  </si>
  <si>
    <t>WOS:001043716000001</t>
  </si>
  <si>
    <t>Malmgren, JA; Atwood, MK; Kaplan, HG</t>
  </si>
  <si>
    <t>Malmgren, Judith A. A.; Atwood, Mary K. K.; Kaplan, Henry G. G.</t>
  </si>
  <si>
    <t>Persistence of patient-detected breast cancer over time: 1990-2019</t>
  </si>
  <si>
    <t>CANCER</t>
  </si>
  <si>
    <t>breast cancer; cohort study; diagnosis; incidence; patient detected; race; stage; symptomatic</t>
  </si>
  <si>
    <t>SERVICES TASK-FORCE; MAMMOGRAPHY; METAANALYSIS; SURVIVAL; INDIA</t>
  </si>
  <si>
    <t>BackgroundThe continued presentation of patient-detected breast cancer (BC) and associated characteristics over time is understudied. MethodsIn a large institutional cohort of first primary stage 0-IV patients with BC in 1990-2019 (n = 15,827), diagnostic method (patient-detected [PtDBC] [n = 5844]; mammography-detected [MamDBC] [nondiagnostic] [n = 9248]; and physician-detected [PhysDBC] [n = 736]) and patient and tumor characteristics including age, race, TNM stage, and hormone-receptor status were reviewed. Pearson &amp; chi;(2) tests for bivariate comparisons and logistic regression for patient detection-associated factors were used. ResultsIn a cohort from 1990 to 2019, the proportion aged 50-74 years (55%-63%; p &lt; .001) and non-White race (9%-37%; p &lt; .001) increased over time. Percentage PtDBC decreased over time but case numbers increased (1990-1999: 44% [n = 1399]; 2010-2019: 34% [n = 2349]; p &lt; .001). Excluding stage 0, PtDBC declined from 47% to 41% over time (p &lt; .001). In 2010-2019, 21% of cases were stage 0, 91% of which were mammography detected (n = 1439). Seventy percent of patient-detected cases were stage II-IV (stage II, 44%; stage III, 20%; stage IV, 6%; p &lt; .001). In adjusted logistic regression, the odds of PtDBC decreased over time (2000-2009: odds ratio [OR], .65 [95% CI, .58-.72]; 2010-2019: OR, .54 [95% CI, .49-.60]), with age &lt;40 years OR, 15.81, and Black and non-White other at 50% increased risk. ConclusionsThe relative proportion of PtDBC decreased to a constant 34%-40% of total cases after 1990-1999. PtDBC case numbers increased in subsequent years (2000-2019), and were consistently higher stage. Interval cancers, mammography-screening uptake, breast health awareness of age groups outside screening guidelines, and underserved socioeconomic groups may be related to the continued significant PtDBC incidence. Plain Language Summary After decades of mammography-screening availability, symptomatic patient-detected breast cancer declined over time from 44% to a persistent rate of 34% in our institutional cohort.The persistence of patient-detected breast cancer over time presents a difficult situation for patients and care givers without clear diagnosis pathways for younger and older women outside recommended screening guidelines, who often present with higher stage and more lethal characteristics.More timely diagnosis and treatment including breast health awareness, prompt presentation of breast problems, outreach to younger age and minority groups, and provision of specialized training and care delivery for symptomatic patient-detected breast cancer are needed.</t>
  </si>
  <si>
    <t>[Malmgren, Judith A. A.] HealthStat Consulting Inc, Seattle, WA USA; [Malmgren, Judith A. A.] Univ Washington, Sch Publ Hlth, Seattle, WA USA; [Atwood, Mary K. K.; Kaplan, Henry G. G.] Swedish Canc Inst, Seattle, WA USA; [Malmgren, Judith A. A.] 12025 9th Ave NW, Seattle, WA 98177 USA</t>
  </si>
  <si>
    <t>University of Washington; University of Washington Seattle; Swedish Cancer Institute; Swedish Medical Center</t>
  </si>
  <si>
    <t>Malmgren, JA (corresponding author), 12025 9th Ave NW, Seattle, WA 98177 USA.</t>
  </si>
  <si>
    <t>jmalmgren@seanet.com</t>
  </si>
  <si>
    <t>Malmgren, Judith/0000-0001-6939-8828</t>
  </si>
  <si>
    <t>0008-543X</t>
  </si>
  <si>
    <t>1097-0142</t>
  </si>
  <si>
    <t>CANCER-AM CANCER SOC</t>
  </si>
  <si>
    <t>Cancer</t>
  </si>
  <si>
    <t>10.1002/cncr.34973</t>
  </si>
  <si>
    <t>O3LU0</t>
  </si>
  <si>
    <t>WOS:001042873800001</t>
  </si>
  <si>
    <t>Maurer, ML; Goyco-Blas, JF; Kohl, KD</t>
  </si>
  <si>
    <t>Maurer, Maya L.; Goyco-Blas, Jose; Kohl, Kevin D.</t>
  </si>
  <si>
    <t>Dietary tannins alter growth, behavior, and the gut microbiome of larval amphibians</t>
  </si>
  <si>
    <t>INTEGRATIVE ZOOLOGY</t>
  </si>
  <si>
    <t>boldness; plant toxins; tadpole</t>
  </si>
  <si>
    <t>LEAF-LITTER; DEFENDING PLANTS; TREE LEAVES; DECOMPOSITION; ASSIMILATION; TERRESTRIAL; PERSONALITY; STRATEGIES; REDUCTION; RUMINANTS</t>
  </si>
  <si>
    <t>Research has shown that leached plant toxins negatively impact the growth and development of larval amphibians. However, tadpoles may encounter these same toxins in food material, and differential exposure routes and distribution of toxic chemicals can yield variable downstream effects on animals. To date, most research understanding the interactions between dietary plant toxins and herbivores has been conducted in terrestrial systems. Despite the abundance of plant toxins in food and water sources, the effects of dietary plant toxins on larval amphibians have not been studied, and tannins could negatively affect these species. Here, green frog tadpoles (Lithobates clamitans) were fed diets with or without 2% tannic acid to test how their growth, development, behavior, and gut microbiome respond to dietary tannins. At the end of the trial, we conducted a behavioral assay to measure tadpole activity and boldness and inventoried the gut microbiome using 16S rRNA sequencing. Dietary tannins significantly decreased body mass by 66% and length by 28%, without influencing tadpole developmental stage. We found significant differences in exploratory behavior and boldness during the first minute of our behavioral assay, demonstrating that tannins have the potential to influence behavior during novel or stressful events. Finally, tannins significantly sculpted the gut microbiome, with an increase in the measurement of Shannon entropy. We observed 7 microbial phyla and 153 microbial genera that exhibited significantly differential abundances differences between control and tannic acid-fed tadpoles. Collectively, our results demonstrate that dietary tannins have the potential to alter amphibian growth, behavior, and microbiome.</t>
  </si>
  <si>
    <t>[Maurer, Maya L.; Goyco-Blas, Jose; Kohl, Kevin D.] Univ Pittsburgh, Dept Biol Sci, Pittsburgh, PA USA; [Maurer, Maya L.] Univ Pittsburgh, Dept Biol Sci, 4249 5th Ave, Pittsburgh, PA 15260 USA</t>
  </si>
  <si>
    <t>Pennsylvania Commonwealth System of Higher Education (PCSHE); University of Pittsburgh; Pennsylvania Commonwealth System of Higher Education (PCSHE); University of Pittsburgh</t>
  </si>
  <si>
    <t>Maurer, ML (corresponding author), Univ Pittsburgh, Dept Biol Sci, 4249 5th Ave, Pittsburgh, PA 15260 USA.</t>
  </si>
  <si>
    <t>mam708@pitt.edu</t>
  </si>
  <si>
    <t>1749-4877</t>
  </si>
  <si>
    <t>1749-4869</t>
  </si>
  <si>
    <t>INTEGR ZOOL</t>
  </si>
  <si>
    <t>Integr. Zool.</t>
  </si>
  <si>
    <t>10.1111/1749-4877.12758</t>
  </si>
  <si>
    <t>O3BM9</t>
  </si>
  <si>
    <t>WOS:001042605400001</t>
  </si>
  <si>
    <t>Nash, J; Davies, A; Saunders, CV; George, CE; Williams, JO; James, PE</t>
  </si>
  <si>
    <t>Nash, J.; Davies, A.; Saunders, C. V.; George, C. E.; Williams, J. O.; James, P. E.</t>
  </si>
  <si>
    <t>Quantitative increases of extracellular vesicles in prolonged cold storage of platelets increases the potential to enhance fibrin clot formation</t>
  </si>
  <si>
    <t>TRANSFUSION MEDICINE</t>
  </si>
  <si>
    <t>buffy-coat derived platelet concentrates; cold storage; extracellular vesicles; platelet transfusion</t>
  </si>
  <si>
    <t>ADDITIVE SOLUTION; REFRIGERATED PLATELETS; APHERESIS PLATELETS; HEMOSTATIC FUNCTION; QUALITY; MICROPARTICLES; 4-DEGREES-C; CLEARANCE; PAS</t>
  </si>
  <si>
    <t>Background: Platelet derived extracellular vesicles (EVs) display a pro-coagulant phenotype and are generated throughout platelet concentrate (PC) storage. Cold storage (CS) of PCs is thought to provide a superior haemostatic advantage over room temperature (RT) storage and could prolong the storage time. However, the effect of storage conditions on EV generation and PC function is unknown. We investigated EV production under CS and RT conditions and assessed whether these EVs exhibited a more pro-coagulant phenotype in model experiments. Materials and Methods: Buffy-coat-derived PCs in a platelet additive solution (PAS) to plasma ratio of approximately 65:35 were stored at RT (22 +/- 2 degrees C) or CS (4 +/- 2 degrees C) for a prolonged storage duration of 20 days. Impedance aggregometry assessed platelet function. EVs were isolated throughout storage and quantified using nanoparticle tracking analysis. EVs were applied to a coagulation assay to assess the impact on fibrin clot formation and lysis. Results: CS produced significantly larger EVs from day 4 onwards. EV concentration was significantly increased in CS compared to RT from day 15. EVs, regardless of storage, significantly reduced time to clot formation and maximum optical density measured compared to the no EV control. Clot formation was proportionate to the number of EV applied but was not statistically different across storage conditions when corrected for EV number. Conclusion: EVs in CS and RT units showed similar clot formation capacity. However, the higher number of larger EVs generated in CS compared to RT suggests PC units derived from CS conditions may overall exhibit a haemostatically superior capacity compared to RT storage.</t>
  </si>
  <si>
    <t>[Nash, J.; Davies, A.; Williams, J. O.; James, P. E.] Cardiff Metropolitan Univ, Cardiff Sch Sport &amp; Hlth Sci, Cardiff, Wales; [Nash, J.; Saunders, C. V.; George, C. E.] Welsh Blood Serv, Component Dev &amp; Res Lab, Pontyclun, Wales; [Nash, J.] Welsh Blood Serv, Component Dev &amp; Res Lab, Ely Valley Rd, Pontyclun CF72 9WB, Wales</t>
  </si>
  <si>
    <t>Cardiff Metropolitan University</t>
  </si>
  <si>
    <t>Nash, J (corresponding author), Welsh Blood Serv, Component Dev &amp; Res Lab, Ely Valley Rd, Pontyclun CF72 9WB, Wales.</t>
  </si>
  <si>
    <t>jamie.nash@wales.nhs.uk</t>
  </si>
  <si>
    <t>Nash, Jamie/0000-0002-5984-6268</t>
  </si>
  <si>
    <t>Knowledge Economy Skills Scholarships (KESS 2)</t>
  </si>
  <si>
    <t>0958-7578</t>
  </si>
  <si>
    <t>1365-3148</t>
  </si>
  <si>
    <t>TRANSFUSION MED</t>
  </si>
  <si>
    <t>Transfus. Med.</t>
  </si>
  <si>
    <t>10.1111/tme.12989</t>
  </si>
  <si>
    <t>O5YA6</t>
  </si>
  <si>
    <t>WOS:001044550200001</t>
  </si>
  <si>
    <t>Sekhar, DL; Schaefer, EW; Hoke, AM; Rosen, P; Chuzie, RA; Milakovic, DM</t>
  </si>
  <si>
    <t>Sekhar, Deepa L.; Schaefer, Eric W.; Hoke, Alicia M.; Rosen, Perri; Chuzie, Roberta A.; Milakovic, Dana M.</t>
  </si>
  <si>
    <t>Lessons Learned from an Academic Partnership to Review Pennsylvania Network for Student Assistance Services' Annual Survey</t>
  </si>
  <si>
    <t>JOURNAL OF SCHOOL HEALTH</t>
  </si>
  <si>
    <t>student assistance program; academic-public health partnership; data-driven decision-making</t>
  </si>
  <si>
    <t>PUBLIC-HEALTH; UNITED-STATES</t>
  </si>
  <si>
    <t>INTRODUCTION: Pennsylvania's Student Assistance Program (SAP) began in the mid-1980s to address student barriers to academic success. SAP teams, groups of trained school and community professionals, review referrals, and connect students to services. State leadership conducts an annual SAP team survey, but capacity to evaluate data and affect change is limited. In 2020, leadership partnered with [institution name] to collaboratively review the survey data. METHODS: Frequencies and percentages were calculated. Open responses were coded. Logistic regression models evaluated the association between SAP team size, team meeting frequency, and team maintenance. RESULTS: The 2019 to 2020 survey had 1003 respondents. Median number of SAP team members was 8 (range 1-21). The majority (54%) indicated their SAP team met once per week/cycle for 30 to 90+ minutes. Larger teams met more often. Annual team maintenance occurred for 38% of teams, and was more common for larger teams. SAP team members identified mental health (68%), trauma (44%), and parent engagement (36%) as top training needs. CONCLUSIONS: An academic partnership successfully provided the capacity to review SAP survey responses, and informed evidenced-based discussion of best practice guidelines and realignment of staff professional development opportunities.</t>
  </si>
  <si>
    <t>[Sekhar, Deepa L.; Hoke, Alicia M.] Penn State Coll Med, Dept Pediat, 90 Hope Dr,A14, Hershey, PA USA; [Schaefer, Eric W.] Penn State Coll Med, Dept Publ Hlth Sci, Hershey, PA USA; [Rosen, Perri; Chuzie, Roberta A.; Milakovic, Dana M.] Commonwealth Penn, Penn Network Student Assistance Serv, Harrisburg, PA USA; [Sekhar, Deepa L.] Dept Pediat, 90 Hope Dr,A145, Hershey, PA 17033 USA</t>
  </si>
  <si>
    <t>Pennsylvania Commonwealth System of Higher Education (PCSHE); Pennsylvania State University; Penn State Health; Pennsylvania Commonwealth System of Higher Education (PCSHE); Pennsylvania State University; Penn State Health</t>
  </si>
  <si>
    <t>Sekhar, DL (corresponding author), Dept Pediat, 90 Hope Dr,A145, Hershey, PA 17033 USA.</t>
  </si>
  <si>
    <t>dsekhar@pennstatehealth.psu.edu; eschaefer@pennstatehealth.psu.edu; ahoke1@pennstatehealth.psu.edu; c-prosen@pa.gov; c-rchuzie@pa.gov; damilakovi@pa.gov</t>
  </si>
  <si>
    <t>0022-4391</t>
  </si>
  <si>
    <t>1746-1561</t>
  </si>
  <si>
    <t>J SCHOOL HEALTH</t>
  </si>
  <si>
    <t>J. Sch. Health</t>
  </si>
  <si>
    <t>10.1111/josh.13389</t>
  </si>
  <si>
    <t>Education &amp; Educational Research; Education, Scientific Disciplines; Health Care Sciences &amp; Services; Public, Environmental &amp; Occupational Health</t>
  </si>
  <si>
    <t>Education &amp; Educational Research; Health Care Sciences &amp; Services; Public, Environmental &amp; Occupational Health</t>
  </si>
  <si>
    <t>O5VA7</t>
  </si>
  <si>
    <t>WOS:001044472300001</t>
  </si>
  <si>
    <t>Wang, M; Li, SW; Zhang, XX; Li, X; Cui, JQ</t>
  </si>
  <si>
    <t>Wang, Meng; Li, Shiwei; Zhang, Xinxin; Li, Xin; Cui, Jingqiu</t>
  </si>
  <si>
    <t>Association between hemoglobin glycation index and non-alcoholic fatty liver disease in the patients with type 2 diabetes mellitus</t>
  </si>
  <si>
    <t>JOURNAL OF DIABETES INVESTIGATION</t>
  </si>
  <si>
    <t>Hemoglobin glycation index; Non-alcoholic fatty liver disease; Type 2 diabetes mellitus</t>
  </si>
  <si>
    <t>INSULIN-RESISTANCE; BLOOD-GLUCOSE; RISK; NAFLD; STEATOHEPATITIS; PROGRESSION; PREVALENCE; STEATOSIS; POPULATION; FIBROSIS</t>
  </si>
  <si>
    <t>Aims/IntroductionThe hemoglobin glycation index (HGI) represent the disparity between actual glycated hemoglobin measurements and predicted HbA1c. It serves as a proxy for the degree of non-enzymatic glycation of hemoglobin, which has been found to be positively correlated with diabetic comorbidities. In this study, we investigated the relationship between HGI and non-alcoholic fatty liver disease (NAFLD), along with other relevant biological markers in patients with diabetes. Materials and MethodsThis cross-sectional study consisted of 3,191 adults diagnosed with type 2 diabetes mellitus. We calculated the predicted glycated hemoglobin levels based on fasting blood glucose levels. Multivariate binary logistic regression analysis was conducted to examine the correlation between the HGI and NAFLD. Hepatic steatosis was diagnosed using ultrasonography. ResultsAmong all participants, 1,784 (55.91%) were diagnosed with NAFLD. Participants with confirmed NAFLD showed elevated body mass index, diastolic blood pressure, liver enzyme, total cholesterol, triglyceride, low-density lipoprotein and uric acid levels compared with those without NAFLD. In the unadjusted model, participants in the last tertile of HGI were 1.40-fold more likely to develop NAFLD than those in the first tertile (95% confidence interval 1.18-1.66; P &lt; 0.001). In the fully adjusted model, those in the last tertile of HGI had a 39% increased risk of liver steatosis compared with confidence interval in the first tertile of HGI (95% confidence interval 1.12-1.74; P &lt; 0.001). ConclusionsA higher HGI suggests an elevated risk of developing NAFLD in patients with type 2 diabetes.</t>
  </si>
  <si>
    <t>[Wang, Meng; Li, Shiwei; Zhang, Xinxin; Li, Xin; Cui, Jingqiu] Tianjin Med Univ Gen Hosp, Dept Endocrinol &amp; Metab, Tianjin, Peoples R China</t>
  </si>
  <si>
    <t>Tianjin Medical University</t>
  </si>
  <si>
    <t>Cui, JQ (corresponding author), Tianjin Med Univ Gen Hosp, Dept Endocrinol &amp; Metab, Tianjin, Peoples R China.</t>
  </si>
  <si>
    <t>cuijingqiu@tmu.edu.cn</t>
  </si>
  <si>
    <t>Li, Shiwei/GYJ-3197-2022</t>
  </si>
  <si>
    <t>Li, Shiwei/0000-0001-6521-186X</t>
  </si>
  <si>
    <t>National Natural Science Foundation of China [82070854]</t>
  </si>
  <si>
    <t>ACKNOWLEDGMENTS We appreciate the efforts of the authors in data collection, paper compilation and so on. The staff at Tianjin Medical University General Hospital express their heartfelt thanks. This study was supported by the National Natural Science Foundation of China (82070854).</t>
  </si>
  <si>
    <t>2040-1116</t>
  </si>
  <si>
    <t>2040-1124</t>
  </si>
  <si>
    <t>J DIABETES INVEST</t>
  </si>
  <si>
    <t>J. Diabetes Investig.</t>
  </si>
  <si>
    <t>10.1111/jdi.14066</t>
  </si>
  <si>
    <t>O3FT0</t>
  </si>
  <si>
    <t>WOS:001042716400001</t>
  </si>
  <si>
    <t>Wittenmeier, E; Schmidtmann, I; Heese, P; Muller, P; Didion, N; Kriege, M; Komorek, Y; Pirlich, N</t>
  </si>
  <si>
    <t>Wittenmeier, Eva; Schmidtmann, Irene; Heese, Pascal; Mueller, Pascal; Didion, Nicole; Kriege, Marc; Komorek, Yannick; Pirlich, Nina</t>
  </si>
  <si>
    <t>Early warning for SpO(2) decrease by the oxygen reserve index in neonates and small infants</t>
  </si>
  <si>
    <t>PEDIATRIC ANESTHESIA</t>
  </si>
  <si>
    <t>anesthesia; hypoxia; infants; oximetry; safety</t>
  </si>
  <si>
    <t>ANESTHESIA; CHILDREN</t>
  </si>
  <si>
    <t>Introduction: Continuously assessing the oxygenation levels of patients to detect and prevent hypoxemia can be advantageous for safe anesthesia, especially in neonates and small infants. The oxygen reserve index (ORI) is a new parameter that can assess oxygenation through a relationship with arterial oxygen partial pressure (PaO2). The aim of this study was to examine whether the ORI provides a clinically relevant warning time for an impending SpO(2) (pulse oximetry hemoglobin saturation) reduction in neonates and small infants.Methods: ORI and SpO(2) were measured continuously in infants aged &lt;2 years during general anesthesia. The warning time and sensitivity of different ORI alarms for detecting impending SpO(2) decrease were calculated. Subsequently, the agreement of the ORI and PaO2 with blood gas analyses was assessed.Results: The ORI of 100 small infants and neonates with a median age of 9 months (min-max, 0-21 months) and weight of 8.35 kg (min-max, 2-13 kg) were measured. For the ORI/PaO2 correlation, 54 blood gas analyses were performed. The warning time and sensitivity of the preset ORI alarm during the entire duration of anesthesia were 84 s (25th-75th percentile, 56-102 s) and 55% (95% CI 52%-58%), and those during anesthesia induction were 63 s (40-82 s) and 56% (44%-68%), respectively. The positive predictive value of the preset ORI alarm were 18% (95% CI 17%-20%; entire duration of anesthesia) and 27% (95% CI 21%-35%; during anesthesia induction). The agreement of PaO2 intervals with the ORI intervals was poor, with a kappa of 0.00 (95% CI = [-0.18; 0.18]). The weight (p = .0129) and height (p = .0376) of the infants and neonates were correlated to the correct classification of the PaO2 interval with the ORI interval.Conclusions: The ORI provided an early warning time for detecting an impending SpO(2) decrease in small infants and neonates in the defined interval in this study. However, the sensitivity of ORI to forewarn a SpO(2) decrease and the agreement of the ORI with PaO2 intervals in this real-life scenario were too poor to recommend the ORI as a useful early warning indicator for this age group.</t>
  </si>
  <si>
    <t>[Wittenmeier, Eva; Heese, Pascal; Mueller, Pascal; Didion, Nicole; Kriege, Marc; Komorek, Yannick; Pirlich, Nina] Johannes Gutenberg Univ Mainz, Univ Med Ctr, Dept Anesthesiol, Mainz, Germany; [Schmidtmann, Irene] Johannes Gutenberg Univ Mainz, Univ Med Ctr, Inst Med Biostat Epidemiol &amp; Informat, Mainz, Germany; [Wittenmeier, Eva] Johannes Gutenberg Univ Mainz, Univ Med Ctr, Dept Anesthesiol, Langenbeckstr 1, D-55131 Mainz, Germany</t>
  </si>
  <si>
    <t>Johannes Gutenberg University of Mainz; Johannes Gutenberg University of Mainz; Johannes Gutenberg University of Mainz</t>
  </si>
  <si>
    <t>Wittenmeier, E (corresponding author), Johannes Gutenberg Univ Mainz, Univ Med Ctr, Dept Anesthesiol, Langenbeckstr 1, D-55131 Mainz, Germany.</t>
  </si>
  <si>
    <t>wittenme@uni-mainz.de</t>
  </si>
  <si>
    <t>, Eva/0000-0001-7180-4848; Pirlich, Nina/0000-0002-7741-2885</t>
  </si>
  <si>
    <t>We thank the anesthetic staff of the pediatric anesthetic team of the Medical University Centre of Johannes Gutenberg University for their help and patience. Parts of the data will be components of the doctoral theses of Pascal Mueller and Pascal Heese. Open Access funding enabled and organized by Projekt DEAL.</t>
  </si>
  <si>
    <t>1155-5645</t>
  </si>
  <si>
    <t>1460-9592</t>
  </si>
  <si>
    <t>PEDIATR ANESTH</t>
  </si>
  <si>
    <t>Pediatr. Anesth.</t>
  </si>
  <si>
    <t>10.1111/pan.14743</t>
  </si>
  <si>
    <t>Anesthesiology; Pediatrics</t>
  </si>
  <si>
    <t>O5MR8</t>
  </si>
  <si>
    <t>WOS:001044254700001</t>
  </si>
  <si>
    <t>Xiao, ZJ; Liu, LT; Chen, Y; Lu, ZY; Yang, XK; Gong, ZQ; Li, WY; Kong, LA; Ding, SM; Li, ZW; Lu, DL; Ma, LK; Liu, SL; Liu, X; Liu, Y</t>
  </si>
  <si>
    <t>Xiao, Zhaojing; Liu, Liting; Chen, Yang; Lu, Zheyi; Yang, Xiaokun; Gong, Zhenqi; Li, Wanying; Kong, Lingan; Ding, Shuimei; Li, Zhiwei; Lu, Donglin; Ma, Likuan; Liu, Songlong; Liu, Xiao; Liu, Yuan</t>
  </si>
  <si>
    <t>High-Density Vertical Transistors with Pitch Size Down to 20 nm</t>
  </si>
  <si>
    <t>graphene; Au hybrid drain; pitch size; vertical field effect transistor</t>
  </si>
  <si>
    <t>BORON-NITRIDE; GRAPHENE</t>
  </si>
  <si>
    <t>Vertical field effect transistors (VFETs) have attracted considerable interest for developing ultra-scaled devices. In particular, individual VFET can be stacked on top of another and does not consume additional chip footprint beyond what is needed for a single device at the bottom, representing another dimension for high-density transistors. However, high-density VFETs with small pitch size are difficult to fabricate and is largely limited by the trade-offs between drain thickness and its conductivity. Here, a simple approach is reported to scale the drain to sub-10 nm. By combining 7 nm thick Au with monolayer graphene, the hybrid drain demonstrates metallic behavior with low sheet resistance of &amp; AP;100 &amp; omega; sq(-1). By van der Waals laminating the hybrid drain on top of 3 nm thick channel and scaling gate stack, the total VFET pitch size down to 20 nm and demonstrates a higher on-state current of 730 A cm(-2). Furthermore, three individual VFETs together are vertically stacked within a vertical distance of 59 nm, representing the record low pitch size for vertical transistors. The method pushes the scaling limit and pitch size limit of VFET, opening up a new pathway for high-density vertical transistors and integrated circuits.</t>
  </si>
  <si>
    <t>[Xiao, Zhaojing; Liu, Liting; Chen, Yang; Lu, Zheyi; Yang, Xiaokun; Gong, Zhenqi; Li, Wanying; Kong, Lingan; Ding, Shuimei; Li, Zhiwei; Lu, Donglin; Ma, Likuan; Liu, Songlong; Liu, Xiao; Liu, Yuan] Hunan Univ, Sch Phys &amp; Elect, Key Lab Micronano Optoelect Devices, Minist Educ, Changsha 410082, Peoples R China</t>
  </si>
  <si>
    <t>Hunan University</t>
  </si>
  <si>
    <t>Liu, Y (corresponding author), Hunan Univ, Sch Phys &amp; Elect, Key Lab Micronano Optoelect Devices, Minist Educ, Changsha 410082, Peoples R China.</t>
  </si>
  <si>
    <t>yuanliuhnu@hnu.edu.cn</t>
  </si>
  <si>
    <t>National Key Ramp;D Program of China [2021YFA1200503]; National Natural Science Foundation of China [51991340, 51991341, 52221001, U22A2074]; Science and Technology Innovation Program of Hunan Province</t>
  </si>
  <si>
    <t>National Key Ramp;D Program of China; National Natural Science Foundation of China(National Natural Science Foundation of China (NSFC)); Science and Technology Innovation Program of Hunan Province</t>
  </si>
  <si>
    <t>Acknowledgements This work was supported by the financial support from the National Key R &amp; D Program of China (no. 2021YFA1200503), from the National Natural Science Foundation of China (grant nos. 51991340, 51991341, 52221001, and U22A2074), and from the Science and Technology Innovation Program of Hunan Province.</t>
  </si>
  <si>
    <t>10.1002/advs.202302760</t>
  </si>
  <si>
    <t>O3RM6</t>
  </si>
  <si>
    <t>WOS:001043022700001</t>
  </si>
  <si>
    <t>Asif, A; Rajpoot, K; Graham, S; Snead, D; Minhas, F; Rajpoot, N</t>
  </si>
  <si>
    <t>Asif, Amina; Rajpoot, Kashif; Graham, Simon; Snead, David; Minhas, Fayyaz; Rajpoot, Nasir</t>
  </si>
  <si>
    <t>Unleashing the potential of AI for pathology: challenges and recommendations</t>
  </si>
  <si>
    <t>artificial intelligence; computational pathology; histopathology; whole slide images; deep learning; machine learning</t>
  </si>
  <si>
    <t>ARTIFICIAL-INTELLIGENCE; HISTOPATHOLOGY IMAGES; RACIAL BIAS; DEEP; HISTOLOGY; HEALTH; CLASSIFICATION; SEGMENTATION; DISPARITIES; SURVIVAL</t>
  </si>
  <si>
    <t>Computational pathology is currently witnessing a surge in the development of AI techniques, offering promise for achieving breakthroughs and significantly impacting the practices of pathology and oncology. These AI methods bring with them the potential to revolutionize diagnostic pipelines as well as treatment planning and overall patient care. Numerous peer-reviewed studies reporting remarkable performance across diverse tasks serve as a testimony to the potential of AI in the field. However, widespread adoption of these methods in clinical and pre-clinical settings still remains a challenge. In this review article, we present a detailed analysis of the major obstacles encountered during the development of effective models and their deployment in practice. We aim to provide readers with an overview of the latest developments, assist them with insights into identifying some specific challenges that may require resolution, and suggest recommendations and potential future research directions. &amp; COPY; 2023 The Authors. The Journal of Pathology published by John Wiley &amp; Sons Ltd on behalf of The Pathological Society of Great Britain and Ireland.</t>
  </si>
  <si>
    <t>[Asif, Amina; Minhas, Fayyaz; Rajpoot, Nasir] Univ Warwick, Tissue Image Analyt Ctr, Dept Comp Sci, Coventry, England; [Rajpoot, Kashif] Univ Birmingham, Sch Comp Sci, Birmingham, England; [Graham, Simon; Snead, David; Rajpoot, Nasir] Histofy Ltd, Birmingham Business Pk, Birmingham, England; [Snead, David] Univ Hosp Coventry &amp; Warwickshire NHS Trust, Dept Pathol, Coventry, England; [Minhas, Fayyaz; Rajpoot, Nasir] Univ Warwick, Canc Res Ctr, Coventry, W Midlands, England; [Rajpoot, Nasir] Alan Turing Inst, London, England; [Rajpoot, Nasir] Univ Warwick, issue Image Analyt Ctr, Dept Comp Sci, Coventry CV4 7AL, England</t>
  </si>
  <si>
    <t>University of Warwick; University of Birmingham; University of Warwick; University of Warwick; University of Warwick</t>
  </si>
  <si>
    <t>Rajpoot, N (corresponding author), Univ Warwick, issue Image Analyt Ctr, Dept Comp Sci, Coventry CV4 7AL, England.</t>
  </si>
  <si>
    <t>n.m.rajpoot@warwick.ac.uk</t>
  </si>
  <si>
    <t>NIHR [17/84/07]; Data to Early Diagnosis and Precision Medicine strand of the government's Industrial Strategy Challenge Fund; Engineering amp; Physical Sciences Research Council [EP/W02909X/1]; National Institutes of Health Research (NIHR) [17/84/07] Funding Source: National Institutes of Health Research (NIHR)</t>
  </si>
  <si>
    <t>NIHR(National Institutes of Health Research (NIHR)); Data to Early Diagnosis and Precision Medicine strand of the government's Industrial Strategy Challenge Fund; Engineering amp; Physical Sciences Research Council; National Institutes of Health Research (NIHR)(National Institutes of Health Research (NIHR))</t>
  </si>
  <si>
    <t>AA was partially funded by NIHR (17/84/07). DS is funded partly through PathLAKE digital pathology consortium, which is funded by the Data to Early Diagnosis and Precision Medicine strand of the government's Industrial Strategy Challenge Fund, managed and delivered by UK Research and Innovation (UKRI). FM acknowledges funding support from Engineering &amp; Physical Sciences Research Council (grant EP/W02909X/1).</t>
  </si>
  <si>
    <t>2023 AUG 7</t>
  </si>
  <si>
    <t>10.1002/path.6168</t>
  </si>
  <si>
    <t>O4LV9</t>
  </si>
  <si>
    <t>WOS:001043555600001</t>
  </si>
  <si>
    <t>Ay, R</t>
  </si>
  <si>
    <t>Ay, Resul</t>
  </si>
  <si>
    <t>The Problem of Early Islamic Diversity in Anatolia: Rethinking Dervish Piety Through Pantheistic Ideas</t>
  </si>
  <si>
    <t>MUSLIM WORLD</t>
  </si>
  <si>
    <t>Islam in Anatolia; Sufism; Alevism; Dervish Piety; Folk piety in Anatolia</t>
  </si>
  <si>
    <t>The Islamic diversity that developed parallel to the Islamization of Anatolia from roughly the 12(th) century onwards and was called dervish religiosity, is often defined by its inattentive and indifferent attitude toward Shari'a, although some of its other features are mentioned more or less. However, in this dervish-based religiosity, it draws attention that both the perception of Shari'a and some other religiosity practices are more related to the tawhid beliefs in pantheistic sense. This paper aims to analyze how both dervish religiosity and folk religiosity, which developed largely under its influence, are shaped through some mystical thoughts and spiritual experiences such as 'identification with God', 'immanence of God in man' and 'the human divinity'. The folk piety, which appears to be shaped within the framework of faith in saints, including high respect and various types of veneration that neglect the norms of Islamic worship, will be seen in relation to the pantheistic thoughts, as reflected in the understanding of seeing man as the qibla.</t>
  </si>
  <si>
    <t>[Ay, Resul] Hacettepe Univ, Dept Hist, Ankara, Turkiye</t>
  </si>
  <si>
    <t>Hacettepe University</t>
  </si>
  <si>
    <t>Ay, R (corresponding author), Hacettepe Univ, Dept Hist, Ankara, Turkiye.</t>
  </si>
  <si>
    <t>resul.ay@hacettepe.edu.tr</t>
  </si>
  <si>
    <t>0027-4909</t>
  </si>
  <si>
    <t>1478-1913</t>
  </si>
  <si>
    <t>Muslim World</t>
  </si>
  <si>
    <t>JUN</t>
  </si>
  <si>
    <t>10.1111/muwo.12472</t>
  </si>
  <si>
    <t>Asian Studies; Religion</t>
  </si>
  <si>
    <t>S2DN3</t>
  </si>
  <si>
    <t>WOS:001043617000001</t>
  </si>
  <si>
    <t>Callegari, D; Airoldi, L; Brucculeri, R; Tamburini, UA; Quartarone, E</t>
  </si>
  <si>
    <t>Callegari, Daniele; Airoldi, Lorenzo; Brucculeri, Riccardo; Tamburini, Umberto Anselmi; Quartarone, Eliana</t>
  </si>
  <si>
    <t>Extrusion 3D Printing of Patterned Cu Current Collectors for Advanced Lithium Metal Anodes</t>
  </si>
  <si>
    <t>BATTERIES &amp; SUPERCAPS</t>
  </si>
  <si>
    <t>material extrusion; 3D printing; current collectors; copper; lithium metal anode; dendrite suppression</t>
  </si>
  <si>
    <t>BATTERIES; SKELETON</t>
  </si>
  <si>
    <t>Lithium (Li) metal is the most attractive anode material for the next generation Li batteries. However, crucial open challenges still limit its applicability at large scale, such as the low coulombic efficiency, unstable electrodeposition, and dendrite propagation with severe safety concerns. One strategy to address these drawbacks is the rational design of innovative current collectors for the Li anode. Here, we report on a simple, low-cost, and easily scalable process based on Additive Manufacturing technology via extrusion 3D printing to produce Cu current collectors with different and tuneable patterned structures. The current collectors are characterized by means of X-ray diffractometry, electron microscopy, profilometry and galvanostatic cycling. We show that the three-dimensional network can significantly stabilize the electrodeposition of Li, thanks to an enhanced electroactive surface area that enables a better Li accommodation without uncontrollable dendrite growth. Contrary to the planar current collector, the Li anode supported by the 3D current collectors exhibits stable and low voltage hysteresis at different current densities and can run for at least 330 hours without short-circuiting. Moreover, the evaluation of Li@3DCu anode in a LiFePO4-based full cell by galvanostatic cycling reveals excellent rate performances, achieving specific capacity exceeding 100 mAh g(-1) at 1 C and coulombic efficiency higher than 99 %. These results show that the material extrusion 3D printing approach is a versatile strategy to develop new and safer anodes with a long lifespan and reduced amount of Li metal.</t>
  </si>
  <si>
    <t>[Callegari, Daniele; Tamburini, Umberto Anselmi; Quartarone, Eliana] Univ Pavia, Dept Chem, Via Taramelli 12, I-27100 Pavia, Pavia, Italy; [Airoldi, Lorenzo; Brucculeri, Riccardo] Univ Pavia, Dept Civil Engn &amp; Architecture, Via Ferrata, I-27100 Pavia, Italy</t>
  </si>
  <si>
    <t>University of Pavia; University of Pavia</t>
  </si>
  <si>
    <t>Quartarone, E (corresponding author), Univ Pavia, Dept Chem, Via Taramelli 12, I-27100 Pavia, Pavia, Italy.</t>
  </si>
  <si>
    <t>eliana.quartarone@unipv.it</t>
  </si>
  <si>
    <t>quartarone, eliana/0000-0002-1192-7747; Callegari, Daniele/0000-0001-6632-0793</t>
  </si>
  <si>
    <t>Digital Smart Fluidics (DSF) project [FESR20142020]</t>
  </si>
  <si>
    <t>Digital Smart Fluidics (DSF) project</t>
  </si>
  <si>
    <t>L.A. acknowledges the POR Lombardia - FESR2014-2020 for the financial support through the Digital Smart Fluidics (DSF) project.</t>
  </si>
  <si>
    <t>2566-6223</t>
  </si>
  <si>
    <t>BATTERIES SUPERCAPS</t>
  </si>
  <si>
    <t>Batteries Supercaps</t>
  </si>
  <si>
    <t>10.1002/batt.202300202</t>
  </si>
  <si>
    <t>Electrochemistry; Materials Science, Multidisciplinary</t>
  </si>
  <si>
    <t>Electrochemistry; Materials Science</t>
  </si>
  <si>
    <t>R0WL1</t>
  </si>
  <si>
    <t>WOS:001043316000001</t>
  </si>
  <si>
    <t>Carrington, M; Sims, M</t>
  </si>
  <si>
    <t>Carrington, Michael; Sims, Michael</t>
  </si>
  <si>
    <t>How can counselling training courses better prepare their trainee therapists to work with LGBTQ+ clients?</t>
  </si>
  <si>
    <t>COUNSELLING &amp; PSYCHOTHERAPY RESEARCH</t>
  </si>
  <si>
    <t>counselling training; cultural competence; LGBTQ; novice counsellors</t>
  </si>
  <si>
    <t>BISEXUAL CLIENTS; MENTAL-HEALTH; GAY; EXPERIENCES; COMPETENCES; KNOWLEDGE; AWARENESS</t>
  </si>
  <si>
    <t>AimThe purpose of this study was to explore the clinical and training experiences of recently qualified, LGBTQ+ identifying therapists who work with sexuality and gender diverse clients, in order to discover ways in which counselling training organisations might better prepare their trainees to work competently with this particular client group. MethodOne-to-one, semistructured interviews with five therapists were conducted. Data collected from these interviews were subsequently analysed using the seven steps of interpretative phenomenological analysis. FindingsThe analysis revealed six superordinate themes: Enhance tutors' LGBTQ+ knowledge and cultural awareness; Provide students with adequate supervision; Teach a range of LGBTQ+ topics; Integrate LGBTQ cultural competence training throughout the curriculum; Invite LGBTQ+ specialists; and Signpost students to additional resources. ConclusionsParticipants felt unprepared by their entry-level counselling training to work with LGBTQ+ clients. The perceived lack of LGBTQ+ knowledge and understanding of their tutors was regarded as a contributing factor to the limited time and depth of LGBTQ cultural competence training received. Several suggestions to improve training in this area were offered. RecommendationsEntry-level counselling training courses should integrate LGBTQ cultural competence training throughout their curriculums in order to adequately prepare their trainees to work competently with LGBTQ+ clients. Additionally, it is important that counselling educators maintain their own LGBTQ+ knowledge, understanding and skills.</t>
  </si>
  <si>
    <t>[Carrington, Michael] Bath Spa Univ, Bath, England; [Sims, Michael] Bath Spa Univ, Sch Educ, Bath, England; [Sims, Michael] Bath Spa Univ, Sch Educ, Newton St Loe, Bath BA2 9BN, England</t>
  </si>
  <si>
    <t>Bath Spa University; Bath Spa University</t>
  </si>
  <si>
    <t>Sims, M (corresponding author), Bath Spa Univ, Sch Educ, Newton St Loe, Bath BA2 9BN, England.</t>
  </si>
  <si>
    <t>m.sims@bathspa.ac.uk</t>
  </si>
  <si>
    <t>1473-3145</t>
  </si>
  <si>
    <t>1746-1405</t>
  </si>
  <si>
    <t>COUNS PSYCHOTHER RES</t>
  </si>
  <si>
    <t>Couns. Psychother. Res.</t>
  </si>
  <si>
    <t>10.1002/capr.12684</t>
  </si>
  <si>
    <t>O3VS5</t>
  </si>
  <si>
    <t>WOS:001043133600001</t>
  </si>
  <si>
    <t>Cavalcante, KKD; Cavalcante, FRA; Boigny, RN; Borges, KMO; Alencar, CH</t>
  </si>
  <si>
    <t>Cavalcante, Kellyn Kessiene de Sousa; Cavalcante, Francisco Roger Aguiar; Boigny, Reagan Nzundu; Borges, Kelvia Maria Oliveira; Alencar, Carlos Henrique</t>
  </si>
  <si>
    <t>Diagnosis of visceral leishmaniasis in Ceara state, Brazil: A flow analysis of cases between 2007 and 2021</t>
  </si>
  <si>
    <t>TROPICAL MEDICINE &amp; INTERNATIONAL HEALTH</t>
  </si>
  <si>
    <t>ecological studies; epidemiological surveillance; flow profiles; leishmaniasis; visceral</t>
  </si>
  <si>
    <t>Objectives To analyse the flow of cases of visceral leishmaniasis (VL) in the state of Ceara, Brazil, between 2007 and 2021.Methods An ecological study was conducted using a spatial approach of newly confirmed cases of VL recorded in the Notifiable Diseases Information System. We identified individuals whose municipality of diagnosis differed from that of their residence. Flow maps, constructed using Tabwin 32 and ArcMap 9.2, allowed for the identification of the volume of traffic between the municipality of residence and that of initial care.Results There were 6775 confirmed VL cases. As a flow indicator, 178 counties had at least one resident diagnosed in another municipality in Ceara, with 2491 VL cases and an average trip of 79 km. The largest hub for receiving cases for diagnosis was the capital Fortaleza (1478 patients from 129 other municipalities), followed by Sobral, located in the northwestern region of Ceara (599 from 55 municipalities), and Barbalha, in the southern region (171 from 29 municipalities). In this southern region, 25 municipalities moved 55 people for treatment to Juazeiro do Norte and 11 municipalities moved 39 patients to Crato. A total of 255 patients with VL from 11 municipalities in other Brazilian states, mainly from the Northeast and North, were observed and notified in health services in Ceara.Conclusions The major centres of VL diagnosis outside residence were in the cities of Fortaleza, Sobral, Barbalha, Juazeiro do Norte and Crato. There was also an outflow of cases from other municipalities located in the northeastern and northern regions of Brazil. The flows were more intense during the first triennium of the analysis and milder from 2019 to 2021. Understanding the diagnostic flow of VL helps in decision making and the development of public policies to improve the lives of the population.</t>
  </si>
  <si>
    <t>[Cavalcante, Kellyn Kessiene de Sousa; Alencar, Carlos Henrique] Univ Fed Ceara, Med Coll, Posgrad program Publ Hlth, Fortaleza, Brazil; [Cavalcante, Francisco Roger Aguiar; Boigny, Reagan Nzundu] Ctr Univ INTA, UNINTA, Sobral, Brazil; [Borges, Kelvia Maria Oliveira] Secretaria Saude Estado Ceara SESA, Coordenadoria Vigilancia &amp; Prevencao Saude, Fortaleza, Brazil; [Alencar, Carlos Henrique] Fac Med, PPG Saude Publ, Rua Prof Costa Mendes,1608 Bloco Didat, 5 andar, BR-60430140 Fortaleza, CE, Brazil</t>
  </si>
  <si>
    <t>Universidade Federal do Ceara</t>
  </si>
  <si>
    <t>Alencar, CH (corresponding author), Fac Med, PPG Saude Publ, Rua Prof Costa Mendes,1608 Bloco Didat, 5 andar, BR-60430140 Fortaleza, CE, Brazil.</t>
  </si>
  <si>
    <t>carllosalencar@ufc.br</t>
  </si>
  <si>
    <t>Borges, Kelvia/U-9758-2017</t>
  </si>
  <si>
    <t>Borges, Kelvia/0000-0003-3554-1918; Alencar, Carlos Henrique/0000-0003-2967-532X; Nzundu, Reagan/0000-0002-4487-5509; Cavalcante, Kellyn/0000-0002-7501-3995</t>
  </si>
  <si>
    <t>1360-2276</t>
  </si>
  <si>
    <t>1365-3156</t>
  </si>
  <si>
    <t>TROP MED INT HEALTH</t>
  </si>
  <si>
    <t>Trop. Med. Int. Health</t>
  </si>
  <si>
    <t>10.1111/tmi.13918</t>
  </si>
  <si>
    <t>Public, Environmental &amp; Occupational Health; Tropical Medicine</t>
  </si>
  <si>
    <t>O4PU0</t>
  </si>
  <si>
    <t>WOS:001043658000001</t>
  </si>
  <si>
    <t>Cheng, X; Xu, XH; Dong, ZB</t>
  </si>
  <si>
    <t>Cheng, Xi; Xu, Xiao-Hu; Dong, Zhi-Bing</t>
  </si>
  <si>
    <t>One pot synthesis of 2-substituted thiobenzoazoles containing &amp; alpha;-sulfenylated aromatic ketones under transition metal-free conditions</t>
  </si>
  <si>
    <t>JOURNAL OF HETEROCYCLIC CHEMISTRY</t>
  </si>
  <si>
    <t>EFFICIENT SYNTHESIS; BOND-CLEAVAGE</t>
  </si>
  <si>
    <t>An efficient synthesis of 2-substituted thiobenzoazoles in pot manner was reported. Thus, tetramethylthiuram disulfide (TMTD) reacted with 2-aminothiophenol, 2-aminophenol, or 1,2-phenylenediamine to form 2-mercaptobenzo heterocycles through cyclization, and the subsequent C-S bonding with 2-bromoacetophenones gave the desired 2-substituted thiobenzoazoles containing &amp; alpha;-sulfenylated aromatic ketones smoothly. The method features transition metal-free, simple operation, mild conditions, short reaction time, and good yields, showing potential synthetic value for the synthesis of a variety of biological or pharmaceutically active compounds.</t>
  </si>
  <si>
    <t>[Cheng, Xi; Dong, Zhi-Bing] Wuhan Inst Technol, Sch Chem &amp; Environm Engn, Wuhan, Peoples R China; [Xu, Xiao-Hu] Henan Normal Univ, Sch Chem &amp; Chem Engn, Xinxiang, Peoples R China; [Dong, Zhi-Bing] Minist Educ, Wuhan Inst Technol, Key Lab Green Chem Proc, Wuhan, Peoples R China; [Dong, Zhi-Bing] Wuhan Inst Technol, Sch Chem &amp; Environm Engn, Wuhan 430205, Peoples R China</t>
  </si>
  <si>
    <t>Wuhan Institute of Technology; Henan Normal University; Wuhan Institute of Technology; Wuhan Institute of Technology</t>
  </si>
  <si>
    <t>Dong, ZB (corresponding author), Wuhan Inst Technol, Sch Chem &amp; Environm Engn, Wuhan 430205, Peoples R China.</t>
  </si>
  <si>
    <t>dzb04982@wit.edu.cn</t>
  </si>
  <si>
    <t>School of Chemistry and Chemical Engineering, Henan Normal University [2020ZD02]; State Key Laboratory of Environmental Chemistry and Ecotoxicology, Research Center for Eco-Environmental Sciences, Chinese Academy of Sciences [KF2021-06]; Natural Science Foundation of Henan Province [232300421126]; Wuhan Science and Technology Bureau</t>
  </si>
  <si>
    <t>School of Chemistry and Chemical Engineering, Henan Normal University; State Key Laboratory of Environmental Chemistry and Ecotoxicology, Research Center for Eco-Environmental Sciences, Chinese Academy of Sciences(Chinese Academy of Sciences); Natural Science Foundation of Henan Province; Wuhan Science and Technology Bureau</t>
  </si>
  <si>
    <t>Open Research Fund of the School of Chemistry and Chemical Engineering, Henan Normal University, Grant/Award Number: 2020ZD02; State Key Laboratory of Environmental Chemistry and Ecotoxicology, Research Center for Eco-Environmental Sciences, Chinese Academy of Sciences, Grant/Award Number: KF2021-06; Natural Science Foundation of Henan Province, Grant/Award Number: 232300421126; Wuhan Science and Technology Bureau</t>
  </si>
  <si>
    <t>0022-152X</t>
  </si>
  <si>
    <t>1943-5193</t>
  </si>
  <si>
    <t>J HETEROCYCLIC CHEM</t>
  </si>
  <si>
    <t>J. Heterocycl. Chem.</t>
  </si>
  <si>
    <t>10.1002/jhet.4721</t>
  </si>
  <si>
    <t>O4LR5</t>
  </si>
  <si>
    <t>WOS:001043551200001</t>
  </si>
  <si>
    <t>Chiang, CP; Li, JL; Chiou, TJ</t>
  </si>
  <si>
    <t>Chiang, Chih-Pin; Li, Jia-Ling; Chiou, Tzyy-Jen</t>
  </si>
  <si>
    <t>Dose-dependent long-distance movement of microRNA399 duplex regulates phosphate homeostasis in Arabidopsis</t>
  </si>
  <si>
    <t>long-distance movement; microRNA399; PHO2; phosphate transport; small RNA duplex</t>
  </si>
  <si>
    <t>PHO2; IDENTIFICATION; EVOLUTION; NETWORK; PHLOEM; SIRNA; ROOT</t>
  </si>
  <si>
    <t>MicroRNA399 (miR399), a phosphate (Pi) starvation-induced long-distance signal, is first produced in shoots and moves to roots to suppress PHO2 encoding a ubiquitin conjugase, leading to enhanced Pi uptake and root-to-shoot translocation. However, the molecular mechanism underlying miR399 long-distance movement remains elusive.Hypocotyl grafting with various Arabidopsis mutants or transgenic lines expressing artificial miR399f was employed. The movement of miR399 across graft junction and the rootstock PHO2 transcript and scion Pi levels were analyzed to elucidate the potential factors involved.Our results showed that miR399f precursors are cell-autonomous and mature miR399f movement is independent of its biogenesis, sequence context, and length (21 or 22 nucleotides). Expressing viral silencing suppressor P19 in the root stele or blocking unloading in the root phloem pore pericycle (PPP) antagonized its silencing effect, suggesting that the miR399f/miR399f* duplex is a mobile entity unloaded through PPP. Notably, the scion miR399f level positively correlates with its amount translocated to rootstocks, implying dose-dependent movement.This study uncovers the molecular basis underlying the miR399-mediated long-distance silencing in coordinating shoot Pi demand with Pi acquisition and translocation activities in the roots.</t>
  </si>
  <si>
    <t>[Chiang, Chih-Pin; Li, Jia-Ling; Chiou, Tzyy-Jen] Acad Sinica, Agr Biotechnol Res Ctr, Taipei 11529, Taiwan</t>
  </si>
  <si>
    <t>Academia Sinica - Taiwan</t>
  </si>
  <si>
    <t>Chiou, TJ (corresponding author), Acad Sinica, Agr Biotechnol Res Ctr, Taipei 11529, Taiwan.</t>
  </si>
  <si>
    <t>tjchiou@gate.sinica.edu.tw</t>
  </si>
  <si>
    <t>Chiou, Tzyy-Jen/0000-0001-5953-4144</t>
  </si>
  <si>
    <t>Academia Sinica [AS-IR111-03-A]; National Science and Technology Council, Taiwan [MOST 107-2311-B-001-005-MY3]</t>
  </si>
  <si>
    <t>Academia Sinica(Academia Sinica - Taiwan); National Science and Technology Council, Taiwan</t>
  </si>
  <si>
    <t>We thank Dr Olivier Voinnet at ETH Zuerich, Switzerland, for sharing the Arabidopsis seeds expressing pSHR::GFP:P19 and Dr. Ykae Helariutta at Sainsbury Laboratory, University of Cambridge, United Kingdom, for sharing the Arabidopsis seeds expressing pCALS8::i-cals3m. We also thank Su-Fen Chiang for constructing pGLV2::miR399f, Yu-Ying Hsu for generating i-399f lines and Hung-Ling Yeh for examining the callose induction. This study was supported by Academia Sinica (AS-IR-111-03-A to T-JC) and the National Science and Technology Council, Taiwan (MOST 107-2311-B-001-005-MY3 to T-JC).</t>
  </si>
  <si>
    <t>10.1111/nph.19182</t>
  </si>
  <si>
    <t>O3VD2</t>
  </si>
  <si>
    <t>WOS:001043118100001</t>
  </si>
  <si>
    <t>Dai, JG; Yang, CY; Xu, YT; Wang, XH; Yang, SY; Li, DX; Luo, LL; Xia, L; Li, JS; Qi, XQ; Cabot, A; Dai, LZ</t>
  </si>
  <si>
    <t>Dai, Juguo; Yang, Chunying; Xu, Yiting; Wang, Xiaohong; Yang, Siyu; Li, Dongxu; Luo, Lili; Xia, Long; Li, Junshan; Qi, Xueqiang; Cabot, Andreu; Dai, Lizong</t>
  </si>
  <si>
    <t>MoS2@Polyaniline for Aqueous Ammonium-Ion Supercapacitors</t>
  </si>
  <si>
    <t>MoS2; non-metal charge carriers; polyaniline; sulfur vacancies; supercapacitors</t>
  </si>
  <si>
    <t>Ammonium-ion aqueous supercapacitors are raising notable attention owing to their cost, safety, and environmental advantages, but the development of optimized electrode materials for ammonium-ion storage still lacks behind expectations. To overcome current challenges, here, a sulfide-based composite electrode based on MoS2 and polyaniline (MoS2@PANI) is proposed as an ammonium-ion host. The optimized composite possesses specific capacitances above 450 F g(-1) at 1 A g(-1), and 86.3% capacitance retention after 5000 cycles in a three-electrode configuration. PANI not only contributes to the electrochemical performance but also plays a key role in defining the final MoS2 architecture. Symmetric supercapacitors assembled with such electrodes display energy densities above 60 Wh kg(-1) at a power density of 725 W kg(-1). Compared with Li+ and K+ ions, the surface capacitive contribution in NH4+-based devices is lower at every scan rate, which points to an effective generation/breaking of H-bonds as the mechanism controlling the rate of NH4+ insertion/de-insertion. This result is supported by density functional theory calculations, which also show that sulfur vacancies effectively enhance the NH4+ adsorption energy and improve the electrical conductivity of the whole composite. Overall, this work demonstrates the great potential of composite engineering in optimizing the performance of ammonium-ion insertion electrodes.</t>
  </si>
  <si>
    <t>[Dai, Juguo; Yang, Chunying; Xu, Yiting; Wang, Xiaohong; Yang, Siyu; Li, Dongxu; Luo, Lili; Xia, Long; Dai, Lizong] Xiamen Univ, Coll Mat, Fujian Prov Key Lab Fire Retardant Mat, Xiamen 361005, Peoples R China; [Dai, Juguo; Li, Junshan; Cabot, Andreu] Catalonia Inst Energy Res IREC, Barcelona 08930, Catalonia, Spain; [Li, Junshan] Chengdu Univ, Inst Adv Study, Chengdu 610106, Peoples R China; [Qi, Xueqiang] Chongqing Univ Technol, Coll Chem &amp; Chem Engn, Chongqing 400054, Peoples R China; [Cabot, Andreu] ICREA, Pg Lluis Co 23, Barcelona 08010, Catalonia, Spain</t>
  </si>
  <si>
    <t>Xiamen University; Institut de Recerca en Energia de Catalunya (IREC); Chengdu University; Chongqing University of Technology; ICREA</t>
  </si>
  <si>
    <t>Xu, YT; Dai, LZ (corresponding author), Xiamen Univ, Coll Mat, Fujian Prov Key Lab Fire Retardant Mat, Xiamen 361005, Peoples R China.;Cabot, A (corresponding author), Catalonia Inst Energy Res IREC, Barcelona 08930, Catalonia, Spain.;Qi, XQ (corresponding author), Chongqing Univ Technol, Coll Chem &amp; Chem Engn, Chongqing 400054, Peoples R China.;Cabot, A (corresponding author), ICREA, Pg Lluis Co 23, Barcelona 08010, Catalonia, Spain.</t>
  </si>
  <si>
    <t>xyting@xmu.edu.cn; xqqi@cqut.edu.cn; acabot@irec.cat; lzdai@xmu.edu.cn</t>
  </si>
  <si>
    <t>Li, Junshan/ITT-2788-2023</t>
  </si>
  <si>
    <t>National Natural Science Foundation of China [52033008, 52273275]; Xiamen Public Technology Service Platform Oriented Project [YDZX20193502000004]; China Scholarship Council [202206310046-DAI JUGUO]</t>
  </si>
  <si>
    <t>National Natural Science Foundation of China(National Natural Science Foundation of China (NSFC)); Xiamen Public Technology Service Platform Oriented Project; China Scholarship Council(China Scholarship Council)</t>
  </si>
  <si>
    <t>Acknowledgements J.D. and C.Y. contributed equally to this work. This work was financially supported by the National Natural Science Foundation of China (52033008 and 52273275), the Xiamen Public Technology Service Platform Oriented Project (YDZX20193502000004). Thanks for the scholarship support by the China Scholarship Council (202206310046-DAI JUGUO).</t>
  </si>
  <si>
    <t>10.1002/adma.202303732</t>
  </si>
  <si>
    <t>O2LR6</t>
  </si>
  <si>
    <t>WOS:001042191300001</t>
  </si>
  <si>
    <t>Dalwadi, N; Deb, D; Ozana, S</t>
  </si>
  <si>
    <t>Dalwadi, Nihal; Deb, Dipankar; Ozana, Stepan</t>
  </si>
  <si>
    <t>Performance evaluation of RW-Quadrotor and Bi-Quadrotor for payload delivery</t>
  </si>
  <si>
    <t>control engineering computing; intelligent sensors; Internet of Things; path planning</t>
  </si>
  <si>
    <t>TRAJECTORY TRACKING; SYSTEMS; DESIGN; CONTROLLER; VEHICLE; GAINS; UAV</t>
  </si>
  <si>
    <t>Payload delivery is one of the many Unmanned Aerial Vehicle (UAV) applications that save time, energy, and human resources. The present simulation study compares rotary-wing quadrotors (RW-Quadrotors) and tail-sitter biplane quadrotors (Bi-Quadrotors) under payload delivery conditions that help to choose the best UAV for the particular mission. A comparative study is performed based on (i) time taken to accomplish the given mission, (ii) trajectory tracking performance, (iii) motor speed throughout the entire flight envelope, and (iv) remains SoC (State of Charge) after the mission. Furthermore, a Backstepping Controller (BSC) and an Adaptive Backstepping Controller (ABSC) are developed for both UAVs to handle mass changes during flight while Genetic Algorithm (GA) is used for the gain optimization. MATLAB Simulink-based numerical simulation reveals that the Bi-Quadrotor has a lower average rotor speed than the RW-Quadrotor. However, the Bi-Quadrotor's SoC after the mission is higher than the RW-Quadrotor, and it took less time to accomplish the mission. The ABSC designed for RW-Quadrotor and Bi-Quadrotor effectively handles mass change during the mission. However, the BSC controller increases energy consumption for the Bi-Quadrotor in the presence of wind gusts.</t>
  </si>
  <si>
    <t>[Dalwadi, Nihal; Deb, Dipankar] Inst Infrastructure Technol Res &amp; Management, Dept Elect Engn, Ahmadabad, India; [Ozana, Stepan] VSB Tech Univ Ostrava, Fac Elect Engn &amp; Comp Sci, Dept Cybernet &amp; Biomed Engn, Ostrava, Czech Republic; [Deb, Dipankar] Inst Infrastructure Technol Res &amp; Management, Dept Elect Engn, Ahmadabad 380026, India</t>
  </si>
  <si>
    <t>Institute of Infrastructure, Technology, Research &amp; Management; Technical University of Ostrava; Institute of Infrastructure, Technology, Research &amp; Management</t>
  </si>
  <si>
    <t>Deb, D (corresponding author), Inst Infrastructure Technol Res &amp; Management, Dept Elect Engn, Ahmadabad 380026, India.</t>
  </si>
  <si>
    <t>panmingyang@dlmu.edu.cn</t>
  </si>
  <si>
    <t>Development of algorithms and systems for control, measurement and safety applications IX of Student Grant System, VSB-TU~Ostrava [SP2023/009]</t>
  </si>
  <si>
    <t>Development of algorithms and systems for control, measurement and safety applications IX of Student Grant System, VSB-TU~Ostrava</t>
  </si>
  <si>
    <t>Development of algorithms and systems for control, measurement and safety applications IX of Student Grant System, VSB-TU Ostrava, Grant/Award Number: SP2023/009</t>
  </si>
  <si>
    <t>10.1049/itr2.12403</t>
  </si>
  <si>
    <t>O3VE1</t>
  </si>
  <si>
    <t>WOS:001043119100001</t>
  </si>
  <si>
    <t>Day, J</t>
  </si>
  <si>
    <t>Day, John</t>
  </si>
  <si>
    <t>The intensification of parenting and generational fracturing of spontaneous physical activity from childhood play in the United Kingdom</t>
  </si>
  <si>
    <t>SOCIOLOGY OF HEALTH &amp; ILLNESS</t>
  </si>
  <si>
    <t>childhood; dialectic tensions; generations; parenting; physical activity; play</t>
  </si>
  <si>
    <t>OUTDOOR PLAY; HEALTH; REPRESENTATIONS; MANAGEMENT; POSITION; CHILDREN; CONTEXT; GENDER</t>
  </si>
  <si>
    <t>Despite an increased drive over the past two decades in Western societies to promote children's physically active play to improve their health, there are concerns that childhood has become less physically active. There are also fears that a previously naturally occurring aspect of childhood has become less authentically playful. Both trends highlight changes over time in the amount and type of play practiced by children and are often cited as consequences of generational shifts. Yet, research which analytically employs the concept of generation to connect changes to childhood with relevant social transformations is lacking. Inspired by Mannheim's conceptualisation of generations, this paper draws on life history interviews with 28 United Kingdom residents born between 1950 and 1994 to propose a fracturing of naturally occurring physical activity from childhood play. As shifts in childhood and parenting have become inextricably linked, this argument illustrates the impact of an intensification to parenting upon greater parental surveillance of increasingly organised forms of childhood physical activity at the expense of spontaneous play. Future physical activity policy should be sensitive to the social climate in which recommendations for children are made, as this places expectations upon parents due to how childhood is currently understood within neoliberal contexts.</t>
  </si>
  <si>
    <t>[Day, John] Univ Essex, Sch Hlth &amp; Social Care, Colchester, England; [Day, John] Canterbury Christ Church Univ, Sport &amp; Body Cultures Res Grp, Canterbury, England; [Day, John] Univ Essex, Sch Hlth &amp; Social Care, Kimmy Eldridge Bldg, Wivenhoe Pk, Colchester CO4 3SQ, England</t>
  </si>
  <si>
    <t>University of Essex; Canterbury Christ Church University; University of Essex</t>
  </si>
  <si>
    <t>Day, J (corresponding author), Univ Essex, Sch Hlth &amp; Social Care, Kimmy Eldridge Bldg, Wivenhoe Pk, Colchester CO4 3SQ, England.</t>
  </si>
  <si>
    <t>john.day@essex.ac.uk</t>
  </si>
  <si>
    <t>Day, John/0000-0003-2887-6015</t>
  </si>
  <si>
    <t>0141-9889</t>
  </si>
  <si>
    <t>1467-9566</t>
  </si>
  <si>
    <t>SOCIOL HEALTH ILL</t>
  </si>
  <si>
    <t>Sociol. Health Ill.</t>
  </si>
  <si>
    <t>10.1111/1467-9566.13701</t>
  </si>
  <si>
    <t>Public, Environmental &amp; Occupational Health; Social Sciences, Biomedical; Sociology</t>
  </si>
  <si>
    <t>Public, Environmental &amp; Occupational Health; Biomedical Social Sciences; Sociology</t>
  </si>
  <si>
    <t>O2UW9</t>
  </si>
  <si>
    <t>WOS:001042432300001</t>
  </si>
  <si>
    <t>Deng, ZY; Chiang, HH; Kang, LW; Li, HC</t>
  </si>
  <si>
    <t>Deng, Zong-Yue; Chiang, Hsin-Han; Kang, Li-Wei; Li, Hsiao-Chi</t>
  </si>
  <si>
    <t>A lightweight deep learning model for real-time face recognition</t>
  </si>
  <si>
    <t>convolutional neural nets; face recognition; image recognition; lightweight deep model; one-shot learning; deep convolutional neural network</t>
  </si>
  <si>
    <t>Lightweight deep learning models for face recognition are becoming increasingly crucial for deployment on resource-constrained devices such as embedded systems or mobile devices. This paper presents a highly efficient and compact deep learning (DL) model that achieves state-of-the-art performance on various face recognition benchmarks. The developed DL model employs one- or few-shot learning to obtain effective feature embeddings and draws inspiration from FaceNet with significant refinements to achieve a memory size of only 3.5 MB-about 30 times smaller than FaceNet-while maintaining high accuracy and real-time performance. The study demonstrates the model's effectiveness through extensive experiments, which include testing on public datasets and the model's ability to recognize occluded faces in uncontrolled environments using grayscale input images. Compared to the state-of-the-art lightweight models, the proposed model requires fewer FLOPs (0.06G), has a smaller number of parameters (1.2 M), and occupies a smaller model size (3.5 MB) while achieving a competitive level of recognition accuracy and real-time performance. The results show that the model is well-suited for deployment in embedded domains, including live entrance security checks, driver authorization, and in-class attendance systems. The entire code of FN8 is available on GitHub.</t>
  </si>
  <si>
    <t>[Deng, Zong-Yue; Kang, Li-Wei] Natl Taiwan Normal Univ, Dept Elect Engn, Taipei, Taiwan; [Chiang, Hsin-Han] Natl Taipei Univ Technol, Dept Vehicle Engn, Taipei, Taiwan; [Li, Hsiao-Chi] Natl Taipei Univ Technol, Dept Elect Engn, Taipei, Taiwan; [Li, Hsiao-Chi] Natl Taipei Univ Technol, 1Sec 3,Zhongxiao E Rd, Taipei 10608, Taiwan</t>
  </si>
  <si>
    <t>National Taiwan Normal University; National Taipei University of Technology; National Taipei University of Technology; National Taipei University of Technology</t>
  </si>
  <si>
    <t>Li, HC (corresponding author), Natl Taipei Univ Technol, 1Sec 3,Zhongxiao E Rd, Taipei 10608, Taiwan.</t>
  </si>
  <si>
    <t>hcli@mail.ntut.edu.tw</t>
  </si>
  <si>
    <t>National Science and Technology Council [109-2221-E-027-124-MY3, 111-2221-E-027-147-MY2]</t>
  </si>
  <si>
    <t>National Science and Technology Council</t>
  </si>
  <si>
    <t>National Science and Technology Council, Grant/Award Numbers: 109-2221-E-027-124-MY3, 111-2221-E-027-147-MY2</t>
  </si>
  <si>
    <t>10.1049/ipr2.12903</t>
  </si>
  <si>
    <t>O4AG0</t>
  </si>
  <si>
    <t>WOS:001043252100001</t>
  </si>
  <si>
    <t>Free, CM; Smith, JG; Lopazanski, CJ; Brun, J; Francis, TB; Eurich, JG; Claudet, J; Dugan, JE; Gill, DA; Hamilton, SL; Kaschner, K; Mouillot, D; Ziegler, SL; Caselle, JE; Nickols, KJ</t>
  </si>
  <si>
    <t>Free, Christopher M.; Smith, Joshua G.; Lopazanski, Cori J.; Brun, Julien; Francis, Tessa B.; Eurich, Jacob G.; Claudet, Joachim; Dugan, Jenifer E.; Gill, David A.; Hamilton, Scott L.; Kaschner, Kristin; Mouillot, David; Ziegler, Shelby L.; Caselle, Jennifer E.; Nickols, Kerry J.</t>
  </si>
  <si>
    <t>If you build it, they will come: Coastal amenities facilitate human engagement in marine protected areas</t>
  </si>
  <si>
    <t>California; citizen science; community engagement; human dimensions; human use; marine protected areas; recreation; tourism</t>
  </si>
  <si>
    <t>CULTURAL ECOSYSTEM SERVICES; CALIFORNIA; COMMUNITY; MANAGEMENT; BENEFITS; RESERVES; DRIVERS; LESSONS; PROVIDE; IMPACT</t>
  </si>
  <si>
    <t>Calls for using marine protected areas (MPAs) to achieve goals for nature and people are increasing globally. While the conservation and fisheries impacts of MPAs have been comparatively well-studied, impacts on other dimensions of human use have received less attention. Understanding how humans engage with MPAs and identifying traits of MPAs that promote engagement is critical to designing MPA networks that achieve multiple goals effectively, equitably and with minimal environmental impact.In this paper, we characterize human engagement in California's MPA network, the world's largest MPA network scientifically designed to function as a coherent network (124 MPAs spanning 16% of state waters and 1300 km of coastline) and identify traits associated with higher human engagement. We assemble and compare diverse indicators of human engagement that capture recreational, educational and scientific activities across California's MPAs.We find that human engagement is correlated with nearby population density and that site charisma can expand human engagement beyond what would be predicted based on population density alone. Charismatic MPAs tend to be located near tourist destinations, have long sandy beaches and be adjacent to state parks and associated amenities. In contrast, underutilized MPAs were often more remote and lacked both sandy beaches and parking lot access.Synthesis and applications: These results suggest that achieving MPA goals associated with human engagement can be promoted by developing land-based amenities that increase access to coastal MPAs or by locating new MPAs near existing amenities during the design phase. Alternatively, human engagement can be limited by locating MPAs in areas far from population centres, coastal amenities or sandy beaches. Furthermore, managers may want to prioritize monitoring, enforcement, education and outreach programmes in MPAs with traits that predict high human engagement. Understanding the extent to which human engagement impacts the conservation performance of MPAs is a critical next step to designing MPAs that minimize tradeoffs among potentially competing objectives.Read the free Plain Language Summary for this article on the Journal blog.</t>
  </si>
  <si>
    <t>[Free, Christopher M.; Dugan, Jenifer E.; Caselle, Jennifer E.] Univ Calif Santa Barbara, Marine Sci Inst, Santa Barbara, CA 93106 USA; [Free, Christopher M.; Lopazanski, Cori J.] Univ Calif Santa Barbara, Bren Sch Environm Sci &amp; Management, Santa Barbara, CA 93106 USA; [Smith, Joshua G.; Brun, Julien; Eurich, Jacob G.] Univ Calif Santa Barbara, Natl Ctr Ecol Anal &amp; Synth, Santa Barbara, CA USA; [Smith, Joshua G.] Monterey Bay Aquarium, Conservat &amp; Sci Div, California, CA USA; [Francis, Tessa B.] Univ Washington, Puget Sound Inst, Tacoma, WA USA; [Eurich, Jacob G.] Environm Def Fund, Santa Barbara, CA USA; [Claudet, Joachim] PSL Univ Paris, Natl Ctr Sci Res, CRIOBE, CNRS EPHE UPVD Maison Ocean, Paris, France; [Gill, David A.] Duke Univ, Nicholas Sch Environm, Duke Marine Lab, Beaufort, NC USA; [Hamilton, Scott L.] San Jose State Univ, Moss Landing Marine Labs, Moss Landing, CA USA; [Kaschner, Kristin] Albert Ludwigs Univ Freiburg, Dept Biometry &amp; Environm Syst Anal, Freiburg, Germany; [Mouillot, David] Univ Montpellier, MARBEC, CNRS, IFREMER,IRD, Montpellier, France; [Mouillot, David] Inst Univ France, Paris, France; [Ziegler, Shelby L.] Univ Georgia, Odum Sch Ecol, Athens, GA USA; [Nickols, Kerry J.] Calif State Univ Northridge, Dept Biol, Northridge, CA USA; [Nickols, Kerry J.] Ocean Vis, Leesburg, VA USA</t>
  </si>
  <si>
    <t>University of California System; University of California Santa Barbara; University of California System; University of California Santa Barbara; University of California System; University of California Santa Barbara; National Center for Ecological Analysis &amp; Synthesis; Monterey Bay Aquarium Research Institute; University of Washington; University of Washington Tacoma; UDICE-French Research Universities; Universite PSL; Duke University; Moss Landing Marine Laboratories; California State University System; San Jose State University; University of Freiburg; Institut de Recherche pour le Developpement (IRD); Ifremer; Centre National de la Recherche Scientifique (CNRS); Universite de Montpellier; Institut Universitaire de France; University System of Georgia; University of Georgia; California State University System; California State University Northridge</t>
  </si>
  <si>
    <t>Free, CM (corresponding author), Univ Calif Santa Barbara, Marine Sci Inst, Santa Barbara, CA 93106 USA.;Free, CM (corresponding author), Univ Calif Santa Barbara, Bren Sch Environm Sci &amp; Management, Santa Barbara, CA 93106 USA.</t>
  </si>
  <si>
    <t>cfree14@gmail.com</t>
  </si>
  <si>
    <t>Claudet, Joachim/C-6335-2008; Francis, Tessa/B-6965-2012; Free, Christopher/N-2813-2013</t>
  </si>
  <si>
    <t>Claudet, Joachim/0000-0001-6295-1061; Lopazanski, Cori/0000-0002-4086-102X; Smith, Joshua/0000-0003-4633-4519; Eurich, Jacob G/0000-0003-1764-7524; Gill, David/0000-0002-7550-1761; Francis, Tessa/0000-0002-3383-5392; Hamilton, Scott/0000-0001-5034-4213; Free, Christopher/0000-0002-2557-8920</t>
  </si>
  <si>
    <t>California Ocean Protection Council (OPC); California Department of Fish and Wildlife; Arnhold UC Santa Barbara-Conservation International Climate Solutions Collaborative; BiodivERsA METRODIVER; Fondation de France MultiNet Projects; National Science Foundation [OCE-1831937]</t>
  </si>
  <si>
    <t>California Ocean Protection Council (OPC); California Department of Fish and Wildlife; Arnhold UC Santa Barbara-Conservation International Climate Solutions Collaborative; BiodivERsA METRODIVER; Fondation de France MultiNet Projects; National Science Foundation(National Science Foundation (NSF))</t>
  </si>
  <si>
    <t>California Ocean Protection Council (OPC) and California Department of Fish and Wildlife; Arnhold UC Santa Barbara-Conservation International Climate Solutions Collaborative; BiodivERsA METRODIVER and Fondation de France MultiNet Projects; National Science Foundation, Grant/Award Number: OCE-1831937</t>
  </si>
  <si>
    <t>10.1002/pan3.10524</t>
  </si>
  <si>
    <t>O4OQ8</t>
  </si>
  <si>
    <t>Green Submitted, Green Published, gold</t>
  </si>
  <si>
    <t>WOS:001043628800001</t>
  </si>
  <si>
    <t>Hohler, C; Trigili, E; Astarita, D; Hermsdorfer, J; Jahn, K; Krewer, C</t>
  </si>
  <si>
    <t>Hoehler, Chiara; Trigili, Emilio; Astarita, Davide; Hermsdoerfer, Joachim; Jahn, Klaus; Krewer, Carmen</t>
  </si>
  <si>
    <t>The efficacy of hybrid neuroprostheses in the rehabilitation of upper limb impairment after stroke, a narrative and systematic review with a meta-analysis</t>
  </si>
  <si>
    <t>ARTIFICIAL ORGANS</t>
  </si>
  <si>
    <t>electrical stimulation; exoskeleton; hybrid neuroprosthesis; rehabilitation; review; robotics; stroke; treatment efficacy; upper limb</t>
  </si>
  <si>
    <t>FUNCTIONAL ELECTRICAL-STIMULATION; FUGL-MEYER ASSESSMENT; UPPER-EXTREMITY; ROBOT; RECOVERY; THERAPY; FEASIBILITY; DISABILITY; ARM</t>
  </si>
  <si>
    <t>BackgroundParesis of the upper limb (UL) is the most frequent impairment after a stroke. Hybrid neuroprostheses, i.e., the combination of robots and electrical stimulation, have emerged as an option to treat these impairments. MethodsTo give an overview of existing devices, their features, and how they are linked to clinical metrics, four different databases were systematically searched for studies on hybrid neuroprostheses for UL rehabilitation after stroke. The evidence on the efficacy of hybrid therapies was synthesized. ResultsSeventy-three studies were identified, introducing 32 hybrid systems. Among the most recent devices (n = 20), most actively reinforce movement (3 passively) and are typical exoskeletons (3 end-effectors). If classified according to the International Classification of Functioning, Disability and Health, systems for proximal support are expected to affect body structures and functions, while the activity and participation level are targeted when applying Functional Electrical Stimulation distally plus the robotic component proximally. The meta-analysis reveals a significant positive effect on UL functions (p &lt; 0.001), evident in a 7.8-point M-diff between groups in the Fugl-Meyer assessment. This positive effect remains at the 3-month follow-up (M-diff = 8.4, p &lt; 0.001). ConclusionsHybrid neuroprostheses have a positive effect on UL recovery after stroke, with effects persisting at least three months after the intervention. Non-significant studies were those with the shortest intervention periods and the oldest patients. Improvements in UL functions are not only present in the subacute phase after stroke but also in long-term chronic stages. In addition to further technical development, more RCTs are needed to make assumptions about the determinants of successful therapy.</t>
  </si>
  <si>
    <t>[Hoehler, Chiara; Jahn, Klaus; Krewer, Carmen] Schoen Clin Bad Aibling, Res Dept, Bad Aibling, Germany; [Hoehler, Chiara; Hermsdoerfer, Joachim; Krewer, Carmen] Tech Univ Munich, Fac Sport &amp; Hlth Sci, Chair Human Movement Sci, Munich, Germany; [Trigili, Emilio; Astarita, Davide] Scuola Super Sant Anna, Biorobot Inst, Pisa, Italy; [Trigili, Emilio; Astarita, Davide] Scuola Super Sant Anna, Dept Excellence Robot &amp; AI, Pisa, Italy; [Jahn, Klaus] Ludwig Maximilians Univ Munich LMU, German Ctr Vertigo &amp; Balance Disorders DSGZ, Munich, Germany</t>
  </si>
  <si>
    <t>Technical University of Munich; Scuola Superiore Sant'Anna; Scuola Superiore Sant'Anna; University of Munich</t>
  </si>
  <si>
    <t>Hohler, C (corresponding author), Schoen Clin Bad Aibling, Res Dept, Bad Aibling, Germany.</t>
  </si>
  <si>
    <t>choehler@schoen-klinik.de</t>
  </si>
  <si>
    <t>Krewer, Carmen/H-2845-2019; Jahn, Klaus/F-9902-2010</t>
  </si>
  <si>
    <t>Krewer, Carmen/0000-0002-4153-0791; Astarita, Davide/0000-0002-0140-3405; Jahn, Klaus/0000-0002-1669-3652; Hohler, Chiara/0000-0001-6533-7841</t>
  </si>
  <si>
    <t>European Unions Horizon 2020 research and innovation programme ReHyb [871767]</t>
  </si>
  <si>
    <t>European Unions Horizon 2020 research and innovation programme ReHyb</t>
  </si>
  <si>
    <t>European Unions Horizon 2020 research and innovation programme ReHyb under grant agreement no &amp; nbsp;871767</t>
  </si>
  <si>
    <t>0160-564X</t>
  </si>
  <si>
    <t>1525-1594</t>
  </si>
  <si>
    <t>ARTIF ORGANS</t>
  </si>
  <si>
    <t>Artif. Organs</t>
  </si>
  <si>
    <t>10.1111/aor.14618</t>
  </si>
  <si>
    <t>Engineering, Biomedical; Transplantation</t>
  </si>
  <si>
    <t>Engineering; Transplantation</t>
  </si>
  <si>
    <t>O3WV3</t>
  </si>
  <si>
    <t>WOS:001043162400001</t>
  </si>
  <si>
    <t>Li, DF; An, N; Tan, K; Ren, YR; Wang, H; Li, ST; Deng, Q; Song, JW; Bu, LJ; Lu, GH</t>
  </si>
  <si>
    <t>Li, Dongfan; An, Ning; Tan, Kai; Ren, Yurong; Wang, Hong; Li, Shengtao; Deng, Qian; Song, Jianwei; Bu, Laju; Lu, Guanghao</t>
  </si>
  <si>
    <t>Insulating Electrets Converted from Organic Semiconductor for High-Performance Transistors, Memories, and Artificial Synapses</t>
  </si>
  <si>
    <t>artificial synapses; electrets; organic electronics; organic field-effect transistors; organic semiconductors</t>
  </si>
  <si>
    <t>THIN-FILM TRANSISTORS; MOBILITY; TRANSPORT</t>
  </si>
  <si>
    <t>Electrets are commonly used charged insulators that generate a quasi-permanent electric field. However, when conventional electrets come into direct contact with semiconductors, the energy level mismatch at the interface results in low memory speed and high energy consumption of electret devices due to both charge injection and storage being non-conducive. To address this, the n-type semiconductor N,N &amp; PRIME;-dioctyl-3,4,9,10-perylene tetracarboxylic diimide (C-8-PTCDI) is converted to C-8-PTCDI (D) via oxygen degradation. The resulting C-8-PTCDI (D) electrets, when charged using an electric field and/or light, retain the energy level of the n-type semiconductors to facilitate charge trapping. They also exhibit deeper trap energy levels and increased trap density, thereby enhancing the sheet charge density of C-8-PTCDI (D) electrets (7.47 x 10(12) cm(-2)). As a result, devices based on n-type electrets demonstrate lower operation voltage (2 V) of transistors, lower operation voltage (20 V) of memories, and lower energy consumption (3.5 fJ per spike) of artificial synapses compared to those without n-type electrets.</t>
  </si>
  <si>
    <t>[Li, Dongfan; Ren, Yurong; Wang, Hong; Li, Shengtao; Lu, Guanghao] Xi An Jiao Tong Univ, Frontier Inst Sci &amp; Technol, Xian 710054, Peoples R China; [Li, Dongfan; Ren, Yurong; Wang, Hong; Li, Shengtao; Lu, Guanghao] Xi An Jiao Tong Univ, State Key Lab Elect Insulat &amp; Power Equipment, Xian 710054, Peoples R China; [An, Ning; Tan, Kai; Song, Jianwei] Xi An Jiao Tong Univ, Sch Aerosp Engn, State Key Lab Strength &amp; Vibrat Mech Struct, Xian 710049, Peoples R China; [Deng, Qian] Huazhong Univ Sci &amp; Technol, Sch Aerosp Engn, Dept Engn Mech, Hubei Key Lab Engn Struct Anal &amp; Safety Assessment, Wuhan 430074, Peoples R China; [Bu, Laju] Xi An Jiao Tong Univ, Sch Chem, Xian 710054, Peoples R China</t>
  </si>
  <si>
    <t>Xi'an Jiaotong University; Xi'an Jiaotong University; Xi'an Jiaotong University; Huazhong University of Science &amp; Technology; Xi'an Jiaotong University</t>
  </si>
  <si>
    <t>Lu, GH (corresponding author), Xi An Jiao Tong Univ, Frontier Inst Sci &amp; Technol, Xian 710054, Peoples R China.;Lu, GH (corresponding author), Xi An Jiao Tong Univ, State Key Lab Elect Insulat &amp; Power Equipment, Xian 710054, Peoples R China.;Song, JW (corresponding author), Xi An Jiao Tong Univ, Sch Aerosp Engn, State Key Lab Strength &amp; Vibrat Mech Struct, Xian 710049, Peoples R China.;Deng, Q (corresponding author), Huazhong Univ Sci &amp; Technol, Sch Aerosp Engn, Dept Engn Mech, Hubei Key Lab Engn Struct Anal &amp; Safety Assessment, Wuhan 430074, Peoples R China.</t>
  </si>
  <si>
    <t>tonydqian@hust.edu.cn; songjianwei@mail.xjtu.edu.cn; guanghao.lu@mail.xjtu.edu.cn</t>
  </si>
  <si>
    <t>Lu, Guanghao/0000-0001-7829-7308</t>
  </si>
  <si>
    <t>National Natural Science Foundation of China [51873172, 51473132, 21973072]; Young Elite Scientist Sponsorship Program by CAST [2019QNRC001]; 1000-Plan program of Shaanxi Province; Fundamental Research Funds for the Central Universities; Cyrus Tang Foundation</t>
  </si>
  <si>
    <t>National Natural Science Foundation of China(National Natural Science Foundation of China (NSFC)); Young Elite Scientist Sponsorship Program by CAST; 1000-Plan program of Shaanxi Province; Fundamental Research Funds for the Central Universities(Fundamental Research Funds for the Central Universities); Cyrus Tang Foundation</t>
  </si>
  <si>
    <t>&amp; nbsp;D.L. and N.A. contributed equally to this work. This work is financially supported by the National Natural Science Foundation of China (Grant No.51873172, 51473132, and 21973072), the Young Elite Scientist Sponsorship Program by CAST (Grant No. 2019QNRC001) and the 1000-Plan program of Shaanxi Province. G. L. thanks the Fundamental Research Funds for the Central Universities and Cyrus Tang Foundation. The authors would like to thank Yuyao Zhang from Shiyanjia Lab (www.shivyania.com) for the 1H NMR analysis. The authors thank Yangfei Gao, Zongze Qin, and Prof. Xiaojie Lou for their help.</t>
  </si>
  <si>
    <t>10.1002/adfm.202305012</t>
  </si>
  <si>
    <t>O3VJ8</t>
  </si>
  <si>
    <t>WOS:001043124800001</t>
  </si>
  <si>
    <t>Lin, X; Powell, SR</t>
  </si>
  <si>
    <t>Lin, Xin; Powell, Sarah R.</t>
  </si>
  <si>
    <t>Initial Efficacy of a Fraction-Vocabulary Intervention for Students Experiencing Mathematics Difficulty in Grade 4</t>
  </si>
  <si>
    <t>LEARNING DISABILITIES RESEARCH &amp; PRACTICE</t>
  </si>
  <si>
    <t>WHOLE-NUMBER; INSTRUCTION; KNOWLEDGE; CONNECTIONS; LANGUAGE; CHILDREN</t>
  </si>
  <si>
    <t>This quasi-experimental study was designed to investigate the initial efficacy of a fraction-vocabulary intervention for Grade 4 students with mathematics difficulty (MD) and to explore its impact on relevant fraction competencies. Thirty-three students were assigned to either the intervention condition (n = 16) or a business-as-usual comparison condition (n = 17). The intervention occurred 3 sessions per week for 4 weeks, for a total of 11 sessions. Results indicated the main effect of the fraction-vocabulary intervention was significant for fraction-vocabulary posttest and one fraction competency-fraction arithmetic. That is, students with MD can successfully learn fraction vocabulary via a brief intervention, and improved fraction-vocabulary knowledge may positively affect their fraction competencies.</t>
  </si>
  <si>
    <t>[Lin, Xin] Univ Macau, Taipa, Peoples R China; [Powell, Sarah R.] Univ Texas Austin, Austin, TX USA</t>
  </si>
  <si>
    <t>University of Macau; University of Texas System; University of Texas Austin</t>
  </si>
  <si>
    <t>Lin, X (corresponding author), Univ Macau, Taipa, Peoples R China.</t>
  </si>
  <si>
    <t>xin.lin@utexas.edu</t>
  </si>
  <si>
    <t>Institute of Education Sciences in the US Department of Education to the University of Texas at Austin [R324A200176]</t>
  </si>
  <si>
    <t>Institute of Education Sciences in the US Department of Education to the University of Texas at Austin</t>
  </si>
  <si>
    <t>This research was supported by Grant R324A200176 from the Institute of Education Sciences in the US Department of Education to the University of Texas at Austin.</t>
  </si>
  <si>
    <t>0938-8982</t>
  </si>
  <si>
    <t>1540-5826</t>
  </si>
  <si>
    <t>LEARN DISABIL RES PR</t>
  </si>
  <si>
    <t>10.1111/ldrp.12321</t>
  </si>
  <si>
    <t>Education, Special; Rehabilitation</t>
  </si>
  <si>
    <t>Education &amp; Educational Research; Rehabilitation</t>
  </si>
  <si>
    <t>O4GZ5</t>
  </si>
  <si>
    <t>WOS:001043428900001</t>
  </si>
  <si>
    <t>Lloveras, LB; Lawrence, OC; Galynker, I</t>
  </si>
  <si>
    <t>Lloveras, Lauren B.; Lawrence, Olivia C.; Galynker, Igor</t>
  </si>
  <si>
    <t>A conditional process analysis of suicidal thoughts and behaviors in outpatient parents: Examining the Narrative Crisis Model by parenthood status</t>
  </si>
  <si>
    <t>parenthood; suicidal thoughts and behaviors; suicide; Suicide Crisis Syndrome; interpersonal distress</t>
  </si>
  <si>
    <t>UNITED-STATES; RISK-FACTORS; FAMILY; TRANSITION; MORTALITY; CHILDREN; MOTHERS; STRESS; HEALTH; SCALE</t>
  </si>
  <si>
    <t>No study to date has examined the moderating effect of parenthood on suicidal states and outcomes using a conditional process model. The Narrative Crisis Model, a multi-stage model from interpersonal distress to suicidal outcomes mediated by Suicide Crisis Syndrome severity, was assessed (H1). The present study tested whether (H2) parenthood moderates the indirect association between interpersonal distress and suicidality to reduce suicide risk. Psychiatric outpatients (N = 466) completed measures assessing the severity of interpersonal distress and Suicide Crisis Syndrome, as well as a clinical interview of suicidal thoughts and behaviors. The sample was predominantly female (65.7%), with ages ranging from 18 to 84 years. Mediation was conducted on the total sample (H1) and a conditional process analysis compared parents (n = 170) and non-parents (H2). Suicide Crisis Syndrome severity mediated the relationship between interpersonal distress and suicidal outcomes. Parenthood moderated the indirect relationship between interpersonal distress and suicidal outcomes through Suicide Crisis Syndrome such that parents had a significantly higher suicide risk than non-parents (index = 0.058; 95% CI [0.005, 0.139]). In the context of an outpatient population, parents appear to be more at risk for developing a suicidal crisis and engaging in suicidal thoughts and behaviors than non-parents. Parenthood may act as a pile-up stressor for this population, outweighing the protective effects of having children. In this way, the Narrative Crisis Model is a theoretical model suitable for the examination of complex factors impacting risk for near-term suicidal thoughts and behaviors.</t>
  </si>
  <si>
    <t>[Lloveras, Lauren B.] St Johns Univ, Queens, NY 11439 USA; [Lloveras, Lauren B.; Lawrence, Olivia C.; Galynker, Igor] Mt Sinai Beth Israel, New York, NY USA</t>
  </si>
  <si>
    <t>Saint John's University</t>
  </si>
  <si>
    <t>Lloveras, LB (corresponding author), St Johns Univ, Queens, NY 11439 USA.</t>
  </si>
  <si>
    <t>lauren.lloveras@gmail.com</t>
  </si>
  <si>
    <t>Lloveras, Lauren Baker/0000-0003-4745-5523</t>
  </si>
  <si>
    <t>American Foundation for Suicide Prevention [RFA-1-015-14]</t>
  </si>
  <si>
    <t>American Foundation for Suicide Prevention</t>
  </si>
  <si>
    <t>American Foundation for Suicide Prevention, Grant/Award Number: Focus Grant #RFA-1-015-14</t>
  </si>
  <si>
    <t>10.1111/famp.12922</t>
  </si>
  <si>
    <t>O5IO7</t>
  </si>
  <si>
    <t>WOS:001044147600001</t>
  </si>
  <si>
    <t>Mather, AJ; Chanoit, G; Meakin, L; Friend, E</t>
  </si>
  <si>
    <t>Mather, Alastair J. J.; Chanoit, Guillaume; Meakin, Lee; Friend, Ed</t>
  </si>
  <si>
    <t>Anatomical considerations for the surgical approach to the canine accessory lung lobe</t>
  </si>
  <si>
    <t>BRONCHIAL TREE; THORACOTOMY; DOG</t>
  </si>
  <si>
    <t>ObjectiveTo describe (1) the surgical anatomy of the accessory lung lobe (ALL) including vasculature and pulmonary ligamentous attachments and (2) lobectomy through a right thoracotomy and median sternotomy. Study designCadaveric anatomical study. AnimalsNine adult canine cadavers, free of disease affecting the thoracic cavity and lung parenchyma. MethodsMedian sternotomy and right and left lateral thoracotomies were performed to describe and image relevant variations in anatomy using accompanying photographs and thorough voice notes. Consideration for ALL removal via right thoracotomy at the fifth through seventh intercostal spaces and median sternotomy were documented and compared. ResultsThe median weight of the cadavers was 20.85 kg (6.9-45.5 kg). Variation in the configuration of venous drainage of the ALL was identified. The lateral vein varied in its location and was also observed to combine with the medial vein in one cadaver. The pulmonary ligament attached to the ALL in a caudally pointing apex on the dorsal process of the lobe. Medial and lateral extensions of the ALL parenchyma were found. The ALL was most easily accessed by a right lateral thoracotomy at the sixth intercostal space. Although not optimal, removal of this lung lobe via median sternotomy was feasible. ConclusionSignificant variations were found in the blood supply to the ALL. A right lateral thoracotomy at the sixth intercostal space was preferred for a surgical approach to the ALL. Clinical significanceSurgeons should be aware of several anatomical particularities including the venous drainage, ligamentous attachments, and parenchymal extensions of the ALL.</t>
  </si>
  <si>
    <t>[Mather, Alastair J. J.; Chanoit, Guillaume; Meakin, Lee; Friend, Ed] Univ Bristol, Langford Vets Hosp, Bristol, Avon, England</t>
  </si>
  <si>
    <t>University of Bristol</t>
  </si>
  <si>
    <t>Friend, E (corresponding author), Univ Bristol, Langford Vets Hosp, Bristol, Avon, England.</t>
  </si>
  <si>
    <t>e.friend@bristol.ac.uk</t>
  </si>
  <si>
    <t>; Chanoit, Guillaume/T-3702-2017</t>
  </si>
  <si>
    <t>Meakin, Lee/0000-0002-2161-9414; Chanoit, Guillaume/0000-0002-7414-6403</t>
  </si>
  <si>
    <t>10.1111/vsu.14010</t>
  </si>
  <si>
    <t>O2UV3</t>
  </si>
  <si>
    <t>WOS:001042430700001</t>
  </si>
  <si>
    <t>Mitarai, Y; Tanino, R; Nakashima, K; Hotta, T; Isobe, T; Tsubata, Y</t>
  </si>
  <si>
    <t>Mitarai, Yuki; Tanino, Ryosuke; Nakashima, Kazuhisa; Hotta, Takamasa; Isobe, Takeshi; Tsubata, Yukari</t>
  </si>
  <si>
    <t>Effects of single nucleotide polymorphisms of the folylpolyglutamate synthase gene on pemetrexed administration-induced nephropathy</t>
  </si>
  <si>
    <t>folylpolyglutamate synthase; pemetrexed; renal function; single nucleotide polymorphism</t>
  </si>
  <si>
    <t>GLUTAMATE SYNTHASE; FOLATE; RISK; METHOTREXATE; PHARMACOLOGY</t>
  </si>
  <si>
    <t>AimsLong-term administration of pemetrexed (PEM) in patients with lung cancer can cause renal damage, leading to treatment discontinuation. Previous reports have suggested that specific single nucleotide polymorphisms (SNPs) in the folylpolyglutamate synthase (FPGS) gene affect therapeutic efficacy; however, whether the FPGS SNPs affect renal function is unclear. Identifying SNPs related to renal damage during PEM administration may help predict the decrease in renal function caused by PEM. MethodsWe retrospectively examined age, sex, body weight, total administered PEM, combined platinum, estimated glomerular filtration rate (eGFR) and serum creatinine (SCr) levels before and after PEM administration in patients with non-small cell lung cancer and searched for the alleles of FPGS SNPs (rs1544105 and rs10106) using DNA extracted from whole blood samples of patients. ResultsRenal function decreased after PEM administration in 26 cases overall. The SCr and eGFR indices showed decreased renal function irrespective of concomitant cisplatin use. Based on promoter activity and miRNA binding predictions, rs1544105-C and rs10106-T were hypothesized to increase FPGS expression. Single SNP analyses showed no significant differences in renal function between groups with and without each SNP. Multiple regression analysis revealed that the most significant factors for decreased renal function were sex on SCr and the number of SNPs on eGFR. In subgroup analyses, the patients with rs10106-T showed a decline in renal function in the older group. ConclusionsThe number of FPGS SNPs may contribute to PEM-induced renal impairment. Detecting FPGS SNPs may help predict PEM-induced renal damage.</t>
  </si>
  <si>
    <t>[Mitarai, Yuki; Tanino, Ryosuke; Nakashima, Kazuhisa; Isobe, Takeshi; Tsubata, Yukari] Shimane Univ Fac Med, Dept Internal Med, Div Med Oncol &amp; Resp Med, Izumo, Japan; [Hotta, Takamasa] Shimane Prefectural Cent Hosp, Dept Resp Med, Izumo, Japan</t>
  </si>
  <si>
    <t>Shimane University</t>
  </si>
  <si>
    <t>Tanino, R (corresponding author), Shimane Univ Fac Med, Dept Internal Med, Div Med Oncol &amp; Resp Med, Izumo, Japan.</t>
  </si>
  <si>
    <t>rtanino@med.shimane-u.ac.jp</t>
  </si>
  <si>
    <t>Tanino, Ryosuke/0000-0002-5148-9526; Mitarai, Yuki/0000-0001-5945-6641</t>
  </si>
  <si>
    <t>10.1111/bcp.15851</t>
  </si>
  <si>
    <t>O3VN0</t>
  </si>
  <si>
    <t>WOS:001043128100001</t>
  </si>
  <si>
    <t>Morales-Romero, D; Rosas-Becerra, R; Ortega-Rosas, CI; Molina-Freaner, F</t>
  </si>
  <si>
    <t>Morales-Romero, Daniel; Rosas-Becerra, Rosangelica; Ortega-Rosas, Carmen Isela; Molina-Freaner, Francisco</t>
  </si>
  <si>
    <t>Can legume seeds establish after land degradation by buffelgrass? Evidence to initiate restoration in Central Sonora, Mexico</t>
  </si>
  <si>
    <t>desertification; restoration; seedling emergence; seedling survival; Sonoran Desert</t>
  </si>
  <si>
    <t>GROWTH-PROMOTING MICROORGANISMS; SOIL; DESERT; FOREST; REGENERATION; GERMINATION; CONVERSION; SURVIVAL; PASTURE; CACTUS</t>
  </si>
  <si>
    <t>Buffelgrass (Pennisetum ciliare) has been introduced in many localities of northwestern Mexico for cattle grazing. Recent studies have documented how the conversion of natural vegetation to buffelgrass pastures affects several ecological processes that result in high levels of desertification and the subsequent abandonment of lands. However, no previous study has documented successful restoration in these habitats. In this paper we report the results of several experiments focused on the restoration of these areas using native legume species of the region. We selected a degraded buffelgrass pasture considered unproductive by local ranchers in central Sonora. We carried out experiments to evaluate seed removal, seedling emergence, and seedling establishment of native legumes species (Prosopis glandulosa, Parkinsonia microphylla and P. praecox). Our results showed that P. microphylla had greater emergence (10%) than the other two species despite the high seed removal recorded. In addition, P. microphylla was the species with the highest survival (1.4%). Thus, our results show that ecological recovery using native species is possible in desertified buffelgrass pastures. Considering the ecological benefits of P. microphylla in the Sonoran Desert (i.e., nurse plant, positive associations, plant-growth promoting), this species could be considered highly valuable in restoration procedures.</t>
  </si>
  <si>
    <t>[Morales-Romero, Daniel] Univ Estatal Sonora, Programa Educat Ingn Ambiental, Hermosillo, Sonora, Mexico; [Rosas-Becerra, Rosangelica; Ortega-Rosas, Carmen Isela] Univ Estatal Sonora, Programa Educat Licenciado Ecol, Hermosillo, Sonora, Mexico; [Molina-Freaner, Francisco] Univ Nacl Autonoma Mex, Dept Ecol Biodivers, Inst Ecol, Hermosillo, Sonora, Mexico; [Morales-Romero, Daniel] Univ Estatal Sonora, Programa Educat Ingn Ambiental, Ley Fed del Trabajo S-N,Col Apolo, Hermosillo 83100, Sonora, Mexico</t>
  </si>
  <si>
    <t>Universidad Nacional Autonoma de Mexico</t>
  </si>
  <si>
    <t>Morales-Romero, D (corresponding author), Univ Estatal Sonora, Programa Educat Ingn Ambiental, Ley Fed del Trabajo S-N,Col Apolo, Hermosillo 83100, Sonora, Mexico.</t>
  </si>
  <si>
    <t>daniel.morales@ues.mx</t>
  </si>
  <si>
    <t>PRODEP [CESUES-PTC-024]; Universidad Estatal de Sonora</t>
  </si>
  <si>
    <t>PRODEP; Universidad Estatal de Sonora</t>
  </si>
  <si>
    <t>PRODEP, Grant/Award Number: CESUES-PTC-024; Universidad Estatal de Sonora</t>
  </si>
  <si>
    <t>10.1002/ldr.4855</t>
  </si>
  <si>
    <t>O4LV8</t>
  </si>
  <si>
    <t>WOS:001043555500001</t>
  </si>
  <si>
    <t>Motmaen, I; Sereda, S; Brobeil, A; Shankar, A; Braeuninger, A; Hasenclever, D; Gattenlohner, S</t>
  </si>
  <si>
    <t>Motmaen, Ila; Sereda, Sergej; Brobeil, Alexander; Shankar, Ananth; Braeuninger, Andreas; Hasenclever, Dirk; Gattenloehner, Stefan</t>
  </si>
  <si>
    <t>Deep-learning based classification of a tumor marker for prognosis on Hodgkin's disease</t>
  </si>
  <si>
    <t>digital pathology; Hodgkin lymphoma; MMP9; pediatrics; picrosirius red</t>
  </si>
  <si>
    <t>STEM-CELL TRANSPLANTATION; RESPONSE-ADAPTED OMISSION; CLINICOPATHOLOGICAL BEHAVIOR; MATRIX METALLOPROTEINASES; LYMPHOMA; MMP-9; EURONET-PHL-C1; DIGITIZATION; RADIOTHERAPY; ADOLESCENTS</t>
  </si>
  <si>
    <t>PurposeHodgkin's disease is a common malignant disorder in adolescent patients. Although most patients are cured, approximately 10%-15% of patients experience a relapse or have resistant disease. Furthermore, there are no definitive molecular predictors for early identification of patients at high risk of treatment failure to first line therapy. The aim of this study was to evaluate the deep learning-based classifier model of medical image classification to predict clinical outcome that may help in appropriate therapeutic decisions.MethodsEighty-three FFPE biopsy specimens from patients with Hodgkin's disease were stratified according to the patient's qPET scores, stained with picrosirius red dye and digitalized by whole slide image scanning. The resulting whole slide images were cut into tiles and annotated by two classes based on the collagen fibers' degree of coloring with picrosirius red. The neural network (YOLOv4) was then trained with the annotated data. Training was performed with 30 cases. Prognostic power of the weakly stained picrosirius red fibers was evaluated with 53 cases. The same neural network was trained with MMP9 stained tissue slides from the same cases and the quantification results were compared with the variant from the picrosirius red cases.ResultsThere was a weak monotonically increasing relationship by parametric ANOVA between the qPET groups and the percentages of weakly stained fibers (p = .0185). The qPET-positive cases showed an average of 18% of weakly stained fibers, and the qPET-negative cases 10%-14%. Detection performance showed an AUC of 0.79.ConclusionsPicrosirius red shows distinct associations as a prognostic metric candidate of disease progression in Hodgkin's disease cases using whole slide images but not sufficiently as a prognostic device.</t>
  </si>
  <si>
    <t>[Motmaen, Ila; Sereda, Sergej; Braeuninger, Andreas; Gattenloehner, Stefan] Justus Liebig Univ, Univ Hosp Giessen &amp; Marburg GmbH, Dept Pathol, Giessen, Germany; [Brobeil, Alexander] Heidelberg Univ, Univ Hosp Heidelberg, Dept Pathol, Heidelberg, Germany; [Shankar, Ananth] Univ Coll London Hosp NHS Fdn Trust, Children &amp; Young Peoples Canc Serv, London, England; [Hasenclever, Dirk] Univ Leipzig, Inst Med Informat Stat &amp; Epidemiol, Leipzig, Germany; [Motmaen, Ila] Univ Hosp Giessen &amp; Marburg UKGM, Dept Pathol, Giessen, Germany</t>
  </si>
  <si>
    <t>Justus Liebig University Giessen; University Hospital of Giessen &amp; Marburg; Ruprecht Karls University Heidelberg; University of London; University College London; University College London Hospitals NHS Foundation Trust; Leipzig University; University Hospital of Giessen &amp; Marburg</t>
  </si>
  <si>
    <t>Motmaen, I (corresponding author), Univ Hosp Giessen &amp; Marburg UKGM, Dept Pathol, Giessen, Germany.</t>
  </si>
  <si>
    <t>imotmaen@t-online.de</t>
  </si>
  <si>
    <t>Brobeil, Alexander/0000-0002-1003-8577</t>
  </si>
  <si>
    <t>Elternverein fuer leukaemie-und krebskranke Kinder, Giessen e.V.; Deutsche Krebshilfe [DKH-70114098]; Tour der Hoffnung e.V.</t>
  </si>
  <si>
    <t>Elternverein fuer leukaemie-und krebskranke Kinder, Giessen e.V.; Deutsche Krebshilfe(Deutsche Krebshilfe); Tour der Hoffnung e.V.</t>
  </si>
  <si>
    <t>Elternverein fuer leukaemie-und krebskranke Kinder, Giessen e.V. and Tour der Hoffnung e.V.; Deutsche Krebshilfe, Grant/Award Number: DKH-70114098</t>
  </si>
  <si>
    <t>10.1111/ejh.14066</t>
  </si>
  <si>
    <t>O5CU7</t>
  </si>
  <si>
    <t>WOS:001043997600001</t>
  </si>
  <si>
    <t>Mubanga, M; Ploner, A; Schuppe-Koistinen, I; Magnusson, PKE; Boulund, F; Debelius, JW; Almqvist, C</t>
  </si>
  <si>
    <t>Mubanga, Mwenya; Ploner, Alexander; Schuppe-Koistinen, Ina; Magnusson, Patrik K. E.; Boulund, Fredrik; Debelius, Justine W.; Almqvist, Catarina</t>
  </si>
  <si>
    <t>The gut microbiome and asthma in a Swedish twin study</t>
  </si>
  <si>
    <t>CLINICAL AND EXPERIMENTAL ALLERGY</t>
  </si>
  <si>
    <t>asthma; environment and hygiene hypothesis; epidemiology; IgE; pediatrics</t>
  </si>
  <si>
    <t>[Mubanga, Mwenya; Ploner, Alexander; Magnusson, Patrik K. E.; Almqvist, Catarina] Karolinska Inst, Dept Med Epidemiol &amp; Biostat, Stockholm, Sweden; [Schuppe-Koistinen, Ina; Boulund, Fredrik; Debelius, Justine W.] Karolinska Inst, Ctr Translat Microbiome Res, Dept Microbiol Tumor &amp; Cell Biol, Stockholm, Sweden; [Debelius, Justine W.] Johns Hopkins Bloomberg Sch Publ Hlth, Dept Epidemiol, Baltimore, MD USA; [Almqvist, Catarina] Karolinska Univ Hosp, Pediat Allergy &amp; Pulmonol Unit, Astrid Lindgren Childrens Hosp, Stockholm, Sweden; [Mubanga, Mwenya] Karolinska Inst, Dept Med Epidemiol &amp; Biostat, Box 281, SE-17177 Stockholm, Sweden</t>
  </si>
  <si>
    <t>Karolinska Institutet; Karolinska Institutet; Johns Hopkins University; Johns Hopkins Bloomberg School of Public Health; Karolinska Institutet; Karolinska University Hospital; Karolinska Institutet</t>
  </si>
  <si>
    <t>Mubanga, M (corresponding author), Karolinska Inst, Dept Med Epidemiol &amp; Biostat, Box 281, SE-17177 Stockholm, Sweden.</t>
  </si>
  <si>
    <t>mwenya.mubanga@ki.se</t>
  </si>
  <si>
    <t>Almqvist, Catarina/0000-0002-1045-1898</t>
  </si>
  <si>
    <t>Swedish Research Council [2017-00641, 2018-02640]; Heart-Lung Foundation; Swedish Asthma and Allergy research foundation; Stiftelsen Frimurare Barnhuset in Stockholm, Sweden</t>
  </si>
  <si>
    <t>Swedish Research Council(Swedish Research Council); Heart-Lung Foundation(Swedish Heart-Lung Foundation); Swedish Asthma and Allergy research foundation; Stiftelsen Frimurare Barnhuset in Stockholm, Sweden</t>
  </si>
  <si>
    <t>Obtained from the Swedish Research Council (number 2017-00641; 2018-02640), the Heart-Lung Foundation, the Swedish Asthma and Allergy research foundation and Stiftelsen Frimurare Barnhuset in Stockholm, Sweden</t>
  </si>
  <si>
    <t>0954-7894</t>
  </si>
  <si>
    <t>1365-2222</t>
  </si>
  <si>
    <t>CLIN EXP ALLERGY</t>
  </si>
  <si>
    <t>Clin. Exp. Allergy</t>
  </si>
  <si>
    <t>10.1111/cea.14379</t>
  </si>
  <si>
    <t>O5BY2</t>
  </si>
  <si>
    <t>WOS:001043975000001</t>
  </si>
  <si>
    <t>Patelli, C; Berti, G; Marra, MC; Lu, JLA; Resta, S; Mappa, I; Rizzo, G</t>
  </si>
  <si>
    <t>Patelli, Chiara; Berti, Giorgia; Marra, Maria Chiara; Lu, Jia Li Angela; Resta, Serena; Mappa, Ilenia; Rizzo, Giuseppe</t>
  </si>
  <si>
    <t>Modeling fetal cavum septum pellucidi width by quantile regression at 18-34 weeks of gestation: A prospective cross-sectional study</t>
  </si>
  <si>
    <t>cavum septum pellucidi; central nervous system; fetal brain; gender; reference ranges</t>
  </si>
  <si>
    <t>FETUSES; SEX</t>
  </si>
  <si>
    <t>Objective Develop charts for cavum septum pellucidi (CSP) following a standardized methodology and using quantile regression. The secondary objective was to assess the influence of fetal gender on the generated reference curves.Methods In a cross-sectional prospective study 453 low-risk singleton pregnancies were evaluated at a gestational age interval between 18 and 34 weeks. The width of CSP were measured on ultrasound images using a standardized technique and their changes were evaluated by quantile regression as a function of gestational age (GA) interval or head circumference (HC). Differences between sex were evaluated.Results The measurement of CSP significantly increased with gestation and HC. Linear models better described the changes of CSP with GA and HC. The fits of CSP width with GA and HC were not significantly different. Male fetuses showed significantly higher CSP width when compared to female fetuses (u = 2.973; p = 0.005).Conclusions We generated prospective nomograms of fetal CSP development using quantile regression and following a strict standardized methodology. These new charts may be useful to better identify abnormal cases at higher risk of associated anomalies. Further our findings underline the potential effect of gender in developing fetal brain.</t>
  </si>
  <si>
    <t>[Patelli, Chiara] Univ Verona, Dept Obstet &amp; Gynecol, Verona, Italy; [Berti, Giorgia; Marra, Maria Chiara; Lu, Jia Li Angela; Resta, Serena; Mappa, Ilenia; Rizzo, Giuseppe] Univ Tor Vergata, Dept Obstet &amp; Gynecol, Rome, Italy; [Rizzo, Giuseppe] Univ Roma Tor Vergata, Dept Obstet &amp; Gynecol, Via Montepellier 1, I-00133 Rome, Italy</t>
  </si>
  <si>
    <t>University of Verona; University of Rome Tor Vergata; University of Rome Tor Vergata</t>
  </si>
  <si>
    <t>Rizzo, G (corresponding author), Univ Roma Tor Vergata, Dept Obstet &amp; Gynecol, Via Montepellier 1, I-00133 Rome, Italy.</t>
  </si>
  <si>
    <t>giuseppe.rizzo@uniroma2.it</t>
  </si>
  <si>
    <t>Lu, Jia Li Angela/IAM-7957-2023; Rizzo, Giuseppe/G-8234-2018</t>
  </si>
  <si>
    <t>Lu, Jia Li Angela/0000-0002-5962-2846; Rizzo, Giuseppe/0000-0002-5525-4353; Berti, Giorgia/0000-0003-1016-9048</t>
  </si>
  <si>
    <t>PNRR Project of the European Union [E83C22004710001]</t>
  </si>
  <si>
    <t>PNRR Project of the European Union</t>
  </si>
  <si>
    <t>PNRR Project of the European Union,Grant/Award Number: E83C22004710001This project was partially funded with support from PNRR Project of the European Union (MNESYS agreement number E83C22004710001)</t>
  </si>
  <si>
    <t>10.1002/jcu.23533</t>
  </si>
  <si>
    <t>O4OF9</t>
  </si>
  <si>
    <t>WOS:001043617900001</t>
  </si>
  <si>
    <t>Peng, M; Xiao, SY; Zhang, W; Nie, YT; Lai, WS; Deng, YL; Yu, L; Liu, HY; Zhou, Y; Liu, B; Li, XX; Liu, JY; Zhou, XH; Jiang, S; Zhu, T; Yue, QR; Ding, YL</t>
  </si>
  <si>
    <t>Peng, Mei; Xiao, Songyuan; Zhang, Wen; Nie, Yanting; Lai, Weisi; Deng, Yali; Yu, Ling; Liu, Hongyu; Zhou, Yang; Liu, Bo; Li, Xiaoxue; Liu, Jinyu; Zhou, Xihong; Jiang, Song; Zhu, Ting; Yue, Qiaorong; Ding, Yiling</t>
  </si>
  <si>
    <t>Chitosan-Low Molecular Weight Heparin Sodium Nanoparticles Regulate Treg/Th17 Immune Balance and Inflammation at the Maternal-Fetal Interface to Ameliorate Pre-Eclampsia by HB-EGF</t>
  </si>
  <si>
    <t>ADVANCED THERAPEUTICS</t>
  </si>
  <si>
    <t>chitosan-heparin sodium nanoparticles; HB-EGF; inflammation; low molecular weight heparin sodium; pre-eclampsia; Treg; Th17</t>
  </si>
  <si>
    <t>GROWTH-FACTOR; POTENT INDUCER; EXPRESSION; CELLS; HYPERTENSION; PROLIFERATION; MECHANISMS; MIGRATION; DRUG; DIFFERENTIATION</t>
  </si>
  <si>
    <t>Pre-eclampsia is a major cause of maternal and fetal mortality. Low molecular weight heparin sodium (LMWH) reduced the incidence of pre-eclampsia, may be an effective treatment of pre-eclampsia. But the underlying mechanism of LMWH is unknown. To improve the molecular utilization rate, chitosan-LMWH nanoparticles (CHsN) are purchased for the study. The prague of pregnancy Sprague-Dawley rats are injected with nitroso l-arginine methyl ester to construct a pre-eclampsia model. Trichotrophoblast cells HTR-8/SVneo are cultured under Hypoxia/reoxygenation injury (H/R) simulation conditions to construct the cell model. CHsN ameliorates the integrity of fetal membrane tissue. Administration of CHsN results in decreased urine protein and HB-EGF levels, accompanied by increased numbers of pups and placenta. Treatment with CHsN increases the proportion of Treg cells and decreases the proportion of Th17 cells. After treatment with CHsN, the levels of LPS, TNF-&amp; alpha;, rank1, slp1, Foxo, NF-&amp; kappa;B, and HIF-1 &amp; alpha; are down-regulated, while the levels of IL-2, Foxp3, and TGF &amp; beta;1 are up-regulated. CRM197 reverses the effect of CHsN. The CHsN improves H/R-induced HTR-8/SVneo cells apoptosis through HB-EGF and affected CD4+T cell differentiation. CHsN ameliorates pre-eclampsia by regulating Treg/Th17 immune balance and inflammation at the maternal-fetal interface through HB-EGF. This provides a theoretical reference for relieving pre-eclampsia by CHsN.</t>
  </si>
  <si>
    <t>[Peng, Mei; Xiao, Songyuan; Zhang, Wen; Nie, Yanting; Lai, Weisi; Deng, Yali; Yu, Ling; Liu, Hongyu; Zhou, Yang; Liu, Bo; Li, Xiaoxue; Liu, Jinyu; Zhou, Xihong; Jiang, Song; Zhu, Ting; Yue, Qiaorong; Ding, Yiling] Cent South Univ, Xiangya Hosp 2, Dept Obstet &amp; Gynecol, Changsha 410011, Hunan, Peoples R China</t>
  </si>
  <si>
    <t>Central South University</t>
  </si>
  <si>
    <t>Peng, M (corresponding author), Cent South Univ, Xiangya Hosp 2, Dept Obstet &amp; Gynecol, Changsha 410011, Hunan, Peoples R China.</t>
  </si>
  <si>
    <t>pm3971@csu.edu.cn</t>
  </si>
  <si>
    <t>Central South University Degree and Graduate Education and Teaching Reform Research Project [2021JGB149]; Natural Science Foundation of Hunan [2023JJ60083]</t>
  </si>
  <si>
    <t>Central South University Degree and Graduate Education and Teaching Reform Research Project; Natural Science Foundation of Hunan(Natural Science Foundation of Hunan Province)</t>
  </si>
  <si>
    <t>Acknowledgements This study was supported by Central South University Degree and Graduate Education and Teaching Reform Research Project (No. 2021JGB149) and Natural Science Foundation of Hunan (No. 2023JJ60083).</t>
  </si>
  <si>
    <t>2366-3987</t>
  </si>
  <si>
    <t>ADV THER-GERMANY</t>
  </si>
  <si>
    <t>Adv. Therap.</t>
  </si>
  <si>
    <t>10.1002/adtp.202300145</t>
  </si>
  <si>
    <t>O2VJ6</t>
  </si>
  <si>
    <t>WOS:001042445100001</t>
  </si>
  <si>
    <t>Ponce, A; Marquart-Pyatt, S</t>
  </si>
  <si>
    <t>Ponce, Aaron; Marquart-Pyatt, Sandra</t>
  </si>
  <si>
    <t>The Religious Foundations of Welfare, Social Inclusion, and Anti-Immigrant Attitudes in Europe</t>
  </si>
  <si>
    <t>JOURNAL FOR THE SCIENTIFIC STUDY OF RELIGION</t>
  </si>
  <si>
    <t>anti-immigrant attitudes; religious nationalism; religious boundaries; welfare chauvinism; welfare state</t>
  </si>
  <si>
    <t>POLICY; PREJUDICE; CATHOLICISM; CHAUVINISM; BOUNDARIES; SALIENCE; IDENTITY; SUPPORT; POVERTY; GERMANY</t>
  </si>
  <si>
    <t>This paper unites disparate literature to test the influence of religious belonging and behavior characteristics along with secular welfare boundaries on anti-immigrant attitudes. We suggest that welfare states varied in their religious foundations during the transition from religious-based solidarity to modern state-based solidarity and formulate a novel analytical framework to hypothesize effects across individuals and welfare regime types. Using eight waves of the European Social Survey (2002-16), we find that religious effects are strongest in welfare states with the most religious foundations, the Southern European welfare states, and weak in the universalist welfare states, which lacked historical state-church tensions. Other welfare types show a mix of religious effects, with some challenging expectations. Furthermore, Christian majority membership is often associated with heightened anti-immigrant attitudes, most consistently in contrast to the non-Christian minority. For welfare-based forms of inclusion, we find consistent institutional trust effects and two competing logics for secular boundaries: a propensity for welfare chauvinism and a culture of inclusion.</t>
  </si>
  <si>
    <t>[Ponce, Aaron] Indiana Univ, Dept Int Studies, 355 North Eagleson Ave, Bloomington, IN 47405 USA; [Marquart-Pyatt, Sandra] Michigan State Univ, Dept Geog Environm &amp; Spatial Sci, Dept Polit Sci, E Lansing, MI USA</t>
  </si>
  <si>
    <t>Indiana University System; Indiana University Bloomington; Michigan State University</t>
  </si>
  <si>
    <t>Ponce, A (corresponding author), Indiana Univ, Dept Int Studies, 355 North Eagleson Ave, Bloomington, IN 47405 USA.</t>
  </si>
  <si>
    <t>ajponce@indiana.edu</t>
  </si>
  <si>
    <t>0021-8294</t>
  </si>
  <si>
    <t>1468-5906</t>
  </si>
  <si>
    <t>J SCI STUD RELIG</t>
  </si>
  <si>
    <t>J. Sci. Stud. Relig.</t>
  </si>
  <si>
    <t>10.1111/jssr.12869</t>
  </si>
  <si>
    <t>Sociology; Religion</t>
  </si>
  <si>
    <t>O3VD5</t>
  </si>
  <si>
    <t>WOS:001043118400001</t>
  </si>
  <si>
    <t>Tanaka, T; Suzuki, J; Inomata, A</t>
  </si>
  <si>
    <t>Tanaka, Toyohito; Suzuki, Jin; Inomata, Akiko</t>
  </si>
  <si>
    <t>Reproductive and neurobehavioral effects of dinotefuran in an F-1-generation toxicity study in mice</t>
  </si>
  <si>
    <t>behavioral development; dinotefuran; exploratory behavior; mice; movement activity; neonicotinoid insecticide; reproductive toxicity; spontaneous behavior</t>
  </si>
  <si>
    <t>SEX-RATIO; BEHAVIORAL-DEVELOPMENT; EMOTIONAL BEHAVIOR; MATERNAL DIET; EXPOSURE; NEONICOTINOIDS; INSECTICIDES; METABOLITES; PREGNANCY; ONTOGENY</t>
  </si>
  <si>
    <t>Background: Few studies were found for neurobehavioral toxicity of dinotefuran in mammals. This study was designed to evaluate the reproductive and neurobehavioral effects of dinotefuran exposure in mice.Methods: Dinotefuran was given in the diet to provide levels of 0% (control), 0.015%, 0.03%, and 0.06% from 5 weeks of age of the F-0 generation to 11 weeks of age of the F-1 generation in mice. Selected reproductive and neurobehavioral parameters were measured.Results: Movement time increased with a significant dose-related trend, and the related variables of rearing time decreased in significant dose-related trends in adult males in the F-0 generation. Litter size and weight increased in significant dose-related trends, and sex ratio decreased in a significant dose-related trend. The average body weight of offspring increased in a significant dose-related trend on postnatal day (PND) 21 in both sexes. In the olfactory orientation on PND 14 in female offspring, the time required lengthened in a significant dose-related trend. In male offspring, total distance and the average speed decreased in significant dose-related trends, and the average time of rearing, number of defecations, and frequencies of mice with urination increased in a significant dose-related trend. In female offspring, the related variables of rearing increased in significant dose-related trends. In spontaneous behavior of males, the parallel lines during the control and treatment groups indicated a significant distance in the number of horizontal activities.Conclusions: The dose levels of dinotefuran in the present study produced several adverse effects on reproductive and neurobehavioral parameters in mice.</t>
  </si>
  <si>
    <t>[Tanaka, Toyohito; Suzuki, Jin] Tokyo Metropolitan Inst Publ Hlth, Dept Pharmaceut &amp; Environm Sci, Div Toxicol, Tokyo, Japan; [Inomata, Akiko] Tokyo Metropolitan Inst Publ Hlth, Dept Pharmaceut &amp; Environm Sci, Tokyo, Japan; [Tanaka, Toyohito] Tokyo Metropolitan Inst Publ Hlth, Dept Pharmaceut &amp; Environm Sci, Div Toxicol, 3-24-1, Hyakunincho,Shinjuku Ku, Tokyo 1690073, Japan</t>
  </si>
  <si>
    <t>Tokyo Metropolitan Institute of Public Health; Tokyo Metropolitan Institute of Public Health</t>
  </si>
  <si>
    <t>Tanaka, T (corresponding author), Tokyo Metropolitan Inst Publ Hlth, Dept Pharmaceut &amp; Environm Sci, Div Toxicol, 3-24-1, Hyakunincho,Shinjuku Ku, Tokyo 1690073, Japan.</t>
  </si>
  <si>
    <t>t-tanaka@poohlover.net</t>
  </si>
  <si>
    <t>10.1002/bdr2.2234</t>
  </si>
  <si>
    <t>O4PQ6</t>
  </si>
  <si>
    <t>WOS:001043654600001</t>
  </si>
  <si>
    <t>Tanigawa, K; Tomioka, Y; Misono, S; Asai, S; Kikkawa, N; Hagihara, Y; Suetsugu, T; Inoue, H; Mizuno, K; Seki, N</t>
  </si>
  <si>
    <t>Tanigawa, Kengo; Tomioka, Yuya; Misono, Shunsuke; Asai, Shunichi; Kikkawa, Naoko; Hagihara, Yoko; Suetsugu, Takayuki; Inoue, Hiromasa; Mizuno, Keiko; Seki, Naohiko</t>
  </si>
  <si>
    <t>Minichromosome maintenance proteins in lung adenocarcinoma: Clinical significance and therapeutic targets</t>
  </si>
  <si>
    <t>lung adenocarcinoma; MCM; miR-139-3p; miR-2110; miR-378a-5p; simurosertib</t>
  </si>
  <si>
    <t>DNA-REPLICATION; CANCER; COMPLEX; EXPRESSION; KINASE; MICRORNAS; CARCINOMA; CLASSIFICATION; RESISTANCE; SIZE</t>
  </si>
  <si>
    <t>Lung cancer is the most common cause of cancer-related death worldwide, accounting for 1.8 million deaths annually. Analysis of The Cancer Genome Atlas data showed that all members of the minichromosome maintenance (MCM) family (hexamers involved in DNA replication: MCM2-MCM7) were upregulated in lung adenocarcinoma (LUAD) tissues. High expression of MCM4 (P = 0.0032), MCM5 (P = 0.0032), and MCM7 (P = 0.0110) significantly predicted 5-year survival rates in patients with LUAD. Simurosertib (TAK-931) significantly suppressed the proliferation of LUAD cells by inhibiting cell division cycle 7-mediated MCM2 phosphorylation. This finding suggested that MCM2 might be a therapeutic target for LUAD. Moreover, analysis of the epigenetic regulation of MCM2 showed that miR-139-3p, miR-378a-5p, and miR-2110 modulated MCM2 expression in LUAD cells. In patients with LUAD, understanding the role of these miRNAs may improve prognoses.</t>
  </si>
  <si>
    <t>[Tanigawa, Kengo; Tomioka, Yuya; Misono, Shunsuke; Hagihara, Yoko; Suetsugu, Takayuki; Inoue, Hiromasa; Mizuno, Keiko] Kagoshima Univ, Grad Sch Med &amp; Dent Sci, Dept Pulm Med, Kagoshima, Japan; [Misono, Shunsuke; Asai, Shunichi; Seki, Naohiko] Chiba Univ, Dept Funct Genom, Grad Sch Med, Chiba, Japan; [Seki, Naohiko] Chiba Univ, Grad Sch Med, Dept Funct Genom, 1-8-1 Inohana Chuo Ku, Chiba 2608670, Japan; [Mizuno, Keiko] Kagoshima Univ, Grad Sch Med &amp; Dent Sci, Dept Pulm Med, 8-35-1 Sakuragaoka, Kagoshima, Kagoshima 8908544, Japan</t>
  </si>
  <si>
    <t>Kagoshima University; Chiba University; Chiba University; Kagoshima University</t>
  </si>
  <si>
    <t>Seki, N (corresponding author), Chiba Univ, Grad Sch Med, Dept Funct Genom, 1-8-1 Inohana Chuo Ku, Chiba 2608670, Japan.;Mizuno, K (corresponding author), Kagoshima Univ, Grad Sch Med &amp; Dent Sci, Dept Pulm Med, 8-35-1 Sakuragaoka, Kagoshima, Kagoshima 8908544, Japan.</t>
  </si>
  <si>
    <t>keim@m.kufm.kagoshima-u.ac.jp; naoseki@faculty.chiba-u.jp</t>
  </si>
  <si>
    <t>Inoue, Hiromasa/0000-0001-8080-3812; Tanigawa, Kengo/0000-0002-6785-8808</t>
  </si>
  <si>
    <t>JSPS KAKENHI [JP22K08260, JP22K16196]</t>
  </si>
  <si>
    <t>Acknowledgments The current study was supported by JSPS KAKENHI Grant Number JP22K08260, JP22K16196.</t>
  </si>
  <si>
    <t>10.1002/2211-5463.13681</t>
  </si>
  <si>
    <t>WOS:001043116200001</t>
  </si>
  <si>
    <t>Timbate, L; Asrat, DF</t>
  </si>
  <si>
    <t>Timbate, Lukas; Asrat, Dereje Ferede</t>
  </si>
  <si>
    <t>Firms' exposure to political risk and financial reporting quality</t>
  </si>
  <si>
    <t>JOURNAL OF CORPORATE ACCOUNTING AND FINANCE</t>
  </si>
  <si>
    <t>agency costs; financial reporting; firm-level political risk; U; S; accounting information</t>
  </si>
  <si>
    <t>POLICY UNCERTAINTY; EARNINGS MANAGEMENT; INFORMATION; IMPACT</t>
  </si>
  <si>
    <t>We examine the effects of political risk at the firm level on the integrity of financial reports between 2009 and 2019 using a data from U.S. firms. We provide evidence that, as evaluated by quarterly earnings conference call transcripts of companies with analysts that focus on political risk or uncertainty, political risk at the firm level is inversely related to the quality of accounting information. This effect is more likely to happen to firms with a higher agency problem, faster growth, and greater reliance on outside finance. The results persist after controlling macroeconomic variables. Our findings are also robust to alternative financial reporting quality criteria and endogeneity tests, and are economically significant.</t>
  </si>
  <si>
    <t>[Timbate, Lukas] Kyungsung Univ, Sch Global Studies, Busan, South Korea; [Asrat, Dereje Ferede] Cote DAzur Univ, Fac Econ &amp; Management, Nice, France; [Asrat, Dereje Ferede] Bahir Dar Univ, Dept Accounting &amp; Finance, Bahir Dar, Ethiopia; [Timbate, Lukas] Kyungsung Univ, Sch Global Studies, Busam, South Korea</t>
  </si>
  <si>
    <t>Kyungsung University; UDICE-French Research Universities; Universite Cote d'Azur; Bahir Dar University; Kyungsung University</t>
  </si>
  <si>
    <t>Timbate, L (corresponding author), Kyungsung Univ, Sch Global Studies, Busam, South Korea.</t>
  </si>
  <si>
    <t>lukas@ks.ac.kr</t>
  </si>
  <si>
    <t>Timbate, Lukas/0000-0002-2714-7913</t>
  </si>
  <si>
    <t>1044-8136</t>
  </si>
  <si>
    <t>1097-0053</t>
  </si>
  <si>
    <t>J CORP ACCOUNT FINAN</t>
  </si>
  <si>
    <t>J. Corp. Account. Financ.</t>
  </si>
  <si>
    <t>10.1002/jcaf.22653</t>
  </si>
  <si>
    <t>O4FV7</t>
  </si>
  <si>
    <t>WOS:001043399000001</t>
  </si>
  <si>
    <t>Wu, HC; Murphy, H; Greer, A; Clay, L</t>
  </si>
  <si>
    <t>Wu, Hao-Che; Murphy, Haley; Greer, Alex; Clay, Lauren</t>
  </si>
  <si>
    <t>Evacuate or social distance? Modeling the influence of threat perceptions on hurricane evacuation in a dual-threat environment</t>
  </si>
  <si>
    <t>COVID-19; hurricane evacuation; hurricane hazard intrusiveness; optimistic bias; risk perception</t>
  </si>
  <si>
    <t>DECISION-MAKING; UNREALISTIC OPTIMISM; PROTECTION MOTIVATION; HOUSEHOLD ADJUSTMENT; CONFIDENCE-INTERVALS; INFORMATION-SOURCES; EARTHQUAKE HAZARD; RISK PERCEPTION; FIT INDEXES; RESPONSES</t>
  </si>
  <si>
    <t>This study investigates how different risk predictors influenced households' evacuation decisions during a dual-threat event (Hurricane Laura and COVID-19 pandemic). The Protective Action Decision Model (PADM) literature indicates that perceived threat variables are the most influential variables that drive evacuation decisions. This study applies the PADM to investigate a dual-threat disaster that has conflicting protective action recommendations. Given the novelty, scale, span, impact, and messaging around COVID-19, it is crucial to see how hurricanes along the Gulf Coast-a hazard addressed seasonally by residents with mostly consistent protective action messaging-produce different reactions in residents in this pandemic context. Household survey data were collected during early 2021 using a disproportionate stratified sampling procedure to include households located in mandatory and voluntary evacuation areas across the coastal counties in Texas and parishes in Louisiana that were affected by Hurricane Laura. Structural equation modeling was used to identify the relationships between perceived threats and evacuation decisions. The findings suggest affective risk perceptions strongly affected cognitive risk perceptions (CRPs). Notably, hurricane and COVID-19 CRPs are significant predictors of hurricane evacuation decisions in different ways. Hurricane CRPs encourage evacuation, but COVID-19 CRPs hinder evacuation decisions.</t>
  </si>
  <si>
    <t>[Wu, Hao-Che] Univ North Texas, Dept Emergency Management &amp; Disaster Sci, 1155 Union Circle 310637, Denton, TX 76203 USA; [Murphy, Haley] Oklahoma State Univ, Fire &amp; Emergency Management Adm Program, Still Water, OK USA; [Greer, Alex] SUNY Albany, Dept Emergency Management &amp; Homeland Secur, New York, NY USA; [Clay, Lauren] Univ Maryland Baltimore Cty, Dept Emergency Hlth Serv, Baltimore, MD USA</t>
  </si>
  <si>
    <t>University of North Texas System; University of North Texas Denton; Oklahoma State University System; Oklahoma State University - Stillwater; State University of New York (SUNY) System; State University of New York (SUNY) Albany; University System of Maryland; University of Maryland Baltimore County</t>
  </si>
  <si>
    <t>Wu, HC (corresponding author), Univ North Texas, Dept Emergency Management &amp; Disaster Sci, 1155 Union Circle 310637, Denton, TX 76203 USA.</t>
  </si>
  <si>
    <t>Tristan.wu@unt.edu</t>
  </si>
  <si>
    <t>National Science Foundation [CMMI 2051578]; Natural Hazard Centerat University of Colorado Boulder, USA</t>
  </si>
  <si>
    <t>National Science Foundation(National Science Foundation (NSF)); Natural Hazard Centerat University of Colorado Boulder, USA</t>
  </si>
  <si>
    <t>National Science Foundation, Grant/Award Number: CMMI: 2051578; Natural Hazard Centerat University of Colorado Boulder, USA</t>
  </si>
  <si>
    <t>10.1111/risa.14202</t>
  </si>
  <si>
    <t>O4LP2</t>
  </si>
  <si>
    <t>WOS:001043548900001</t>
  </si>
  <si>
    <t>Xiong, MY; Wu, YT; Kong, GZ; Lewis, W; Yang, ZL; Zhang, HX; Xu, L; Liu, Y; Liu, Q; Zhao, XH; Zhang, XB; Lu, Y</t>
  </si>
  <si>
    <t>Xiong, Mengyi; Wu, Yuting; Kong, Gezhi; Lewis, Whitney; Yang, Zhenglin; Zhang, Hanxiao; Xu, Li; Liu, Ying; Liu, Qin; Zhao, Xuhua; Zhang, Xiao-Bing; Lu, Yi</t>
  </si>
  <si>
    <t>A Semisynthetic Bioluminescence Sensor for Ratiometric Imaging of Metal Ions In Vivo Using DNAzymes Conjugated to An Engineered Nano-Luciferase</t>
  </si>
  <si>
    <t>Bioluminescence; DNAzyme; Nucleic Acid Sensor; In Vivo Imaging; Protein Engineering</t>
  </si>
  <si>
    <t>FLUORESCENT SENSOR; ZINC; PROTEINS; POINT; RNA; PLATFORM; HEALTHY; DESIGN; COPPER; PROBE</t>
  </si>
  <si>
    <t>DNA-based probes have gained significant attention as versatile tools for biochemical analysis, benefiting from their programmability and biocompatibility. However, most existing DNA-based probes rely on fluorescence as the signal output, which can be problematic due to issues like autofluorescence and scattering when applied in complex biological materials such as living cells or tissues. Herein, we report the development of bioluminescent nucleic acid (bioLUNA) sensors that offer laser excitation-independent and ratiometric imaging of the target in vivo. The system is based on computational modelling and mutagenesis investigations of a genetic fusion between circular permutated Nano-luciferase (NLuc) and HaloTag, enabling the conjugation of the protein with a DNAzyme. In the presence of Zn2+, the DNAzyme sensor releases the fluorophore-labelled strand, leading to a reduction in bioluminescent resonance energy transfer (BRET) between the luciferase and fluorophore. Consequently, this process induces ratiometric changes in the bioluminescent signal. We demonstrated that this bioLUNA sensor enabled imaging of both exogenous Zn2+ in vivo and endogenous Zn2+ efflux in normal epithelial prostate and prostate tumors. This work expands the DNAzyme sensors to using bioluminescence and thus has enriched the toolbox of nucleic acid sensors for a broad range of biomedical applications.</t>
  </si>
  <si>
    <t>[Xiong, Mengyi; Kong, Gezhi; Xu, Li; Liu, Ying; Liu, Qin; Zhang, Xiao-Bing] Hunan Univ, Coll Chem &amp; Chem Engn, Mol Sci &amp; Biomed Lab, State Key Lab Chemo Biosensing &amp; Chemometr, Changsha 410082, Hunan, Peoples R China; [Wu, Yuting; Lewis, Whitney; Yang, Zhenglin; Lu, Yi] Univ Texas Austin, Dept Chem, Austin, TX 78712 USA; [Zhang, Hanxiao; Zhao, Xuhua] Shanxi Med Univ, Dept Biochem &amp; Mol Biol, Taiyuan 030001, Shanxi, Peoples R China</t>
  </si>
  <si>
    <t>Hunan University; University of Texas System; University of Texas Austin; Shanxi Medical University</t>
  </si>
  <si>
    <t>Zhang, XB (corresponding author), Hunan Univ, Coll Chem &amp; Chem Engn, Mol Sci &amp; Biomed Lab, State Key Lab Chemo Biosensing &amp; Chemometr, Changsha 410082, Hunan, Peoples R China.;Lu, Y (corresponding author), Univ Texas Austin, Dept Chem, Austin, TX 78712 USA.</t>
  </si>
  <si>
    <t>xbzhang@hnu.edu.cn; yi.lu@utexas.edu</t>
  </si>
  <si>
    <t>Wu, Yuting/0000-0003-3196-5916; Lewis, Whitney/0000-0003-1203-6441; Xiong, Mengyi/0000-0001-9826-2284; Yang, Zhenglin/0000-0003-2743-5779</t>
  </si>
  <si>
    <t>National Natural Science Foundation of China [21890744, 22104032]; National Key Ramp;D Program of China [2019YFA0210100]; China Postdoctoral Science Foundation [2020 M672470]; National Postdoctoral Program for Innovative Talents [BX2020118]; US National Institute of Health [GM141931]</t>
  </si>
  <si>
    <t>National Natural Science Foundation of China(National Natural Science Foundation of China (NSFC)); National Key Ramp;D Program of China; China Postdoctoral Science Foundation(China Postdoctoral Science Foundation); National Postdoctoral Program for Innovative Talents; US National Institute of Health(United States Department of Health &amp; Human ServicesNational Institutes of Health (NIH) - USA)</t>
  </si>
  <si>
    <t>&amp; nbsp;This work was supported by the National Natural Science Foundation of China (21890744) to X. B. Z. and (22104032) to M.Y.X, the National Key R &amp; amp;D Program of China (2019YFA0210100) to X. B. Z., the China Postdoctoral Science Foundation (2020 M672470) to M. Y. X., the National Postdoctoral Program for Innovative Talents (BX2020118) to M. Y. X. and the US National Institute of Health (GM141931) to Y. L.</t>
  </si>
  <si>
    <t>10.1002/anie.202308086</t>
  </si>
  <si>
    <t>O4DE5</t>
  </si>
  <si>
    <t>WOS:001043329100001</t>
  </si>
  <si>
    <t>Arab, M; Danesh, S</t>
  </si>
  <si>
    <t>Arab, Maliheh; Danesh, Shahnaz</t>
  </si>
  <si>
    <t>A sustainable system for decontamination of cephalexin antibiotic using electrocoagulation technology and response surface methodology</t>
  </si>
  <si>
    <t>REMEDIATION-THE JOURNAL OF ENVIRONMENTAL CLEANUP COSTS TECHNOLOGIES &amp; TECHNIQUES</t>
  </si>
  <si>
    <t>WASTE-WATER; CURRENT-DENSITY; REMOVAL; EFFICIENCY; METRONIDAZOLE</t>
  </si>
  <si>
    <t>The emergence of synthetic micropollutants in wastewater due to domestic and industrial use has presented new challenges for treatment processes. Among these pollutants, pharmaceutical and personal care products (PPCPs) are considered emerging contaminants due to their potential to enter drinking water sources. Antibiotics, in particular, are of significant concern due to their high consumption in veterinary and human applications. In this study, the electrocoagulation (EC) process is used as an efficient technique for the removal of cephalexin (CFX) from pharmaceutical wastewater. The study aims to explore the ability of the EC process to remove CFX and optimize its performance using the response surface method based on Central Composite Design (RSM-CCD). The effects of initial CFX concentration, electrolysis time, initial pH, and electrode type (non-insulated and insulated) were considered in the optimization process. This research is distinct as it examines the influence of key factors on the elimination of CFX. The results showed that electrolysis time had the most significant effect on CFX removal using the EC process. The analysis of variance (ANOVA) test was used to evaluate the importance of independent variables and their interaction. The optimal operating conditions for maximum removal efficiency (86.53%) were an initial cephalexin concentration, reaction time, and initial pH of 34 mg/L, 34.35 min, and 6.5, respectively, using an insulated electrode. Under these optimal conditions, predicted cephalexin removal was 93.54%. These findings demonstrate that RSM-CCD is a useful tool for optimizing electrochemical removal processes for micropollutants such as CFX from wastewater streams. The study highlights the importance of considering electrode type in optimizing EC processes for micropollutant removal from wastewater.</t>
  </si>
  <si>
    <t>[Arab, Maliheh; Danesh, Shahnaz] Ferdowsi Univ Mashhad, Dept Civil Engn, Mashhad, Iran</t>
  </si>
  <si>
    <t>Ferdowsi University Mashhad</t>
  </si>
  <si>
    <t>Arab, M (corresponding author), Ferdowsi Univ Mashhad, Dept Civil Engn, Mashhad, Iran.</t>
  </si>
  <si>
    <t>arab.m9473@gmail.com</t>
  </si>
  <si>
    <t>Arab, Maliheh/JAX-6672-2023</t>
  </si>
  <si>
    <t>Arab, Maliheh/0000-0003-1998-9544</t>
  </si>
  <si>
    <t>1051-5658</t>
  </si>
  <si>
    <t>1520-6831</t>
  </si>
  <si>
    <t>REMEDIATION</t>
  </si>
  <si>
    <t>Remediation</t>
  </si>
  <si>
    <t>2023 AUG 6</t>
  </si>
  <si>
    <t>10.1002/rem.21761</t>
  </si>
  <si>
    <t>Engineering, Environmental</t>
  </si>
  <si>
    <t>O3RO9</t>
  </si>
  <si>
    <t>WOS:001043025000001</t>
  </si>
  <si>
    <t>Hunnestad, KA; Schultheiss, J; Mathisen, AC; Ushakov, IN; Hatzoglou, C; van Helvoort, ATJ; Meier, D</t>
  </si>
  <si>
    <t>Hunnestad, Kasper A.; Schultheiss, Jan; Mathisen, Anders C.; Ushakov, Ivan N.; Hatzoglou, Constantinos; van Helvoort, Antonius T. J.; Meier, Dennis</t>
  </si>
  <si>
    <t>Quantitative Mapping of Chemical Defects at Charged Grain Boundaries in a Ferroelectric Oxide</t>
  </si>
  <si>
    <t>ferroelectrics; grain boundaries; hexagonal manganite; impurity; polar materials; polycrystals</t>
  </si>
  <si>
    <t>SPECIMEN PREPARATION; ATOMIC-SCALE; CONDUCTIVITY; TRANSPORT; ORIGIN; FILM</t>
  </si>
  <si>
    <t>Polar discontinuities, as well as compositional and structural changes at oxide interfaces can give rise to a large variety of electronic and ionic phenomena. In contrast to earlier work focused on domain walls and epitaxial systems, this work investigates the relation between polar discontinuities and the local chemistry at grain boundaries in polycrystalline ferroelectric ErMnO3. Using orientation mapping and scanning probe microscopy (SPM) techniques, the polycrystalline material is demonstrated to develop charged grain boundaries with enhanced electronic conductance. By performing atom probe tomography (APT) measurements, an enrichment of erbium and a depletion of oxygen at all grain boundaries are found. The observed compositional changes translate into a charge that exceeds possible polarization-driven effects, demonstrating that structural phenomena rather than electrostatics determine the local chemical composition and related changes in the electronic transport behavior. The study shows that the charged grain boundaries behave distinctly different from charged domain walls, giving additional opportunities for property engineering at polar oxide interfaces.</t>
  </si>
  <si>
    <t>[Hunnestad, Kasper A.; Schultheiss, Jan; Ushakov, Ivan N.; Hatzoglou, Constantinos; Meier, Dennis] Norwegian Univ Sci &amp; Technol NTNU, Dept Mat Sci &amp; Engn, N-7491 Trondheim, Norway; [Mathisen, Anders C.; van Helvoort, Antonius T. J.] Norwegian Univ Sci &amp; Technol NTNU, Dept Phys, N-7491 Trondheim, Norway</t>
  </si>
  <si>
    <t>Norwegian University of Science &amp; Technology (NTNU); Norwegian University of Science &amp; Technology (NTNU)</t>
  </si>
  <si>
    <t>Hunnestad, KA; Meier, D (corresponding author), Norwegian Univ Sci &amp; Technol NTNU, Dept Mat Sci &amp; Engn, N-7491 Trondheim, Norway.</t>
  </si>
  <si>
    <t>jan.schultheiss@ntnu.no; dennis.meier@ntnu.no</t>
  </si>
  <si>
    <t>; van Helvoort, Antonius T. J./A-1400-2013</t>
  </si>
  <si>
    <t>Hunnestad, Kasper/0000-0003-1732-3634; van Helvoort, Antonius T. J./0000-0001-6437-1474; Schultheiss, Jan/0000-0001-7389-1295; Meier, Dennis/0000-0002-8623-6705</t>
  </si>
  <si>
    <t>Research Council of Norway (RCN); Norwegian Laboratory for Mineral and Materials Characterization, MiMaC; Norwegian Center for Transmission Electron Microscopy, NORTEM; Department of Materials Science and Engineering at NTNU; Alexander-von-Humboldt Foundation; European Research Council (ERC) under the European Union; NTNU; [295864]; [269842/F50]; [197405/F50]; [863691]</t>
  </si>
  <si>
    <t>Research Council of Norway (RCN)(Research Council of Norway); Norwegian Laboratory for Mineral and Materials Characterization, MiMaC; Norwegian Center for Transmission Electron Microscopy, NORTEM; Department of Materials Science and Engineering at NTNU; Alexander-von-Humboldt Foundation(Alexander von Humboldt Foundation); European Research Council (ERC) under the European Union(European Research Council (ERC)); NTNU; ; ; ;</t>
  </si>
  <si>
    <t>The Research Council of Norway (RCN) is acknowledged for the support to the Norwegian Micro- and Nano-Fabrication Facility, NorFab, project number 295864, the Norwegian Laboratory for Mineral and Materials Characterization, MiMaC, project number 269842/F50, and the Norwegian Center for Transmission Electron Microscopy, NORTEM (197405/F50). Emil Christiansen is thanked for the support in collecting SPED data. K.A.H. and D.M. thank the Department of Materials Science and Engineering at NTNU for direct financial support. J.S. thanks the Alexander-von-Humboldt Foundation for support through a Feodor-Lynen research fellowship. D.M. acknowledges funding from the European Research Council (ERC) under the European Union's Horizon 2020 research and innovation program (Grant Agreement No. 863691) and further thanks NTNU for support through the Onsager Fellowship Program and NTNU Stjerneprogrammet. Hanne-Sofie Soreide is thanked for her support to the APT lab facilities, Sverre Magnus Selbach is acknowledged for helpful discussions.</t>
  </si>
  <si>
    <t>10.1002/adma.202302543</t>
  </si>
  <si>
    <t>O3MT5</t>
  </si>
  <si>
    <t>WOS:001042899300001</t>
  </si>
  <si>
    <t>Iwata, S; Iwata, K; Okuno, M</t>
  </si>
  <si>
    <t>Iwata, Shota; Iwata, Keisuke; Okuno, Mitsuru</t>
  </si>
  <si>
    <t>Antegrade stenting for pancreaticojejunostomy stricture following successful guidewire placement through the pancreaticogastrostomy facilitated by peroral pancreatoscopy</t>
  </si>
  <si>
    <t>PANCREATICODUODENECTOMY</t>
  </si>
  <si>
    <t>[Iwata, Shota; Iwata, Keisuke; Okuno, Mitsuru] Gifu Municipal Hosp, Dept Gastroenterol, Gifu, Japan; [Iwata, Keisuke] Gifu Municipal Hosp, Dept Gastroenterol, 7-1 Kashimacho, Gifu, Gifu 5008513, Japan</t>
  </si>
  <si>
    <t>Gifu Municipal Hospital; Gifu Municipal Hospital</t>
  </si>
  <si>
    <t>Iwata, K (corresponding author), Gifu Municipal Hosp, Dept Gastroenterol, 7-1 Kashimacho, Gifu, Gifu 5008513, Japan.</t>
  </si>
  <si>
    <t>keisukeiwata@nifty.com</t>
  </si>
  <si>
    <t>Okuno, Mitsuru/0000-0001-8989-6437</t>
  </si>
  <si>
    <t>E121</t>
  </si>
  <si>
    <t>E122</t>
  </si>
  <si>
    <t>10.1111/den.14634</t>
  </si>
  <si>
    <t>R6PD2</t>
  </si>
  <si>
    <t>WOS:001042798500001</t>
  </si>
  <si>
    <t>Li, XK; Jiang, B; Wei, C; Lin, HL; Zhao, W; Ni, KY; Mu, YX; Bian, J; Chen, DQ</t>
  </si>
  <si>
    <t>Li, Xin Kang; Jiang, Bing; Wei, Cong; Lin, Hai Lan; Zhao, Wei; Ni, Ke Yang; Mu, Yan Xiao; Bian, Jun; Chen, Dai Qiang</t>
  </si>
  <si>
    <t>Mechanical properties, thermal stability, and mechanism of main-chain polybenzoxazine composites fabricated based on multi-scale effects and surface functionalization of graphene oxide nanosheets</t>
  </si>
  <si>
    <t>analytical modeling; impact behavior; multi-scale effect toughening; polymer-matrix composites (PMCs); strength</t>
  </si>
  <si>
    <t>POLYMER COMPOSITES; CARBON NANOTUBES; FREE-ENERGY; NANOCOMPOSITES; BENZOXAZINE; BEHAVIOR; NETWORK</t>
  </si>
  <si>
    <t>Polybenzoxazine (PBZ) has been recognized as a potential substitute for traditional phenolic resin. However, poor flexibility and low heat resistance limited obviously the application of PBZ. Herein, graphene oxide (GO) nanosheet and its amino-rich derivatives (fGO-g-SiO2) with multi-scale surfaces were designed, synthesized and incorporated into main-chain PBZ through in-situ polymerization to fabricate PBZ composites. The morphology, mechanical properties, and thermal stability of the composites were systematically investigated using x-ray diffraction (XRD), contact angle tests, field emission scanning electron microscopy (FESEM), tensile and impact tests, and thermogravimetric analysis (TGA). FTIR and XRD analyses confirmed the multi-scale surfaces of GO derivatives and ordered structures, respectively. The size of the in-situ grown SiO2 and the thickness of GO coated on PBZ were estimated as 6.5 and 19.07 nm, respectively. The contact angle test revealed that fGO-g-SiO2 and BZ had the closest solid surface energy of 32.002 and 43.519 mN/m, respectively, among the components of the composites. The impact and tensile evaluation revealed the highest impact, tensile strength and Young's modulus of 16.75 kJ/m(2), 107.24 MPa and 3.17 GPa, respectively for 1.2% fGO-g-SiO2/PBZ composite. The modified Halpin-Tsai equation was also utilized to develop a predictive function for the tensile strength. FESEM of fGO-g-SiO2/PBZ composites indicated that the multi-scale effect and amination effectively improved the restriction of GO derivatives on crack propagation in PBZ composites and played a more significant role in crack deflection and bridging. In addition, the highest thermal decomposition activation energy of 166.94 kJ/mol was achieved for 1.2% fGO-g-SiO2/PBZ composite. Highlights circle Graphene oxide (GO) nanosheets were incorporated into main-chain polybenzoxazine (PBZ) to improve its mechanical properties and heat resistance. circle GO with multi-scale structure and amino-rich interface were designed, synthesized to improve the interface interactions with PBZ matrix. circle The GO with multi-scale structure and amino-rich interface showed excellent similarity in the term of solid surface energy with benzoxazine oligomers. circle The morphology, mechanical and thermal stability of resulting PBZ composites was systematically investigated by using experimental and mathematical model to elucidate the relationships between the structure and properties. circle The composites exhibited excellent mechanical and thermal properties, and it is expected to be used as advanced engineering material in demanding environments.</t>
  </si>
  <si>
    <t>[Li, Xin Kang; Jiang, Bing; Wei, Cong; Lin, Hai Lan; Zhao, Wei; Ni, Ke Yang; Mu, Yan Xiao; Bian, Jun] Xihua Univ, Sch Mat Sci &amp; Engn, Chengdu, Peoples R China; [Chen, Dai Qiang] Sichuan Univ, Coll Polymer Sci &amp; Engn, Chengdu, Peoples R China</t>
  </si>
  <si>
    <t>Xihua University; Sichuan University</t>
  </si>
  <si>
    <t>Lin, HL; Bian, J (corresponding author), Xihua Univ, Sch Mat Sci &amp; Engn, Chengdu, Peoples R China.</t>
  </si>
  <si>
    <t>linhl@mail.xhu.edu.cn; bianj@mail.xhu.edu.cn</t>
  </si>
  <si>
    <t>Cooperation project of Chunhui plan of the ministry of education of China [Z2023XXX, Z2018088]; Innovation and entrepreneurship project of Sichuan provincial for college students [S202110650004, S202110650005]; Construction project of Double Carbon material innovation research studio of Xihua University; Xihua Cup undergraduate innovation and entrepreneurship training program of Xihua University [xhb2023067, xhb2023068]</t>
  </si>
  <si>
    <t>Cooperation project of Chunhui plan of the ministry of education of China(Ministry of Education, China); Innovation and entrepreneurship project of Sichuan provincial for college students; Construction project of Double Carbon material innovation research studio of Xihua University; Xihua Cup undergraduate innovation and entrepreneurship training program of Xihua University</t>
  </si>
  <si>
    <t>&amp; nbsp;The authors would like to acknowledge the Cooperation project of Chunhui plan of the ministry of education of China (Grant No. Z2023XXX, Z2018088); Innovation and entrepreneurship project of Sichuan provincial for college students (Grant No. S202110650004, S202110650005); Construction project of Double Carbon material innovation research studio of Xihua University; Xihua Cup undergraduate innovation and entrepreneurship training program of Xihua University (Grant No. xhb2023067, xhb2023068) to support financially on this work.</t>
  </si>
  <si>
    <t>10.1002/pc.27595</t>
  </si>
  <si>
    <t>O4EY3</t>
  </si>
  <si>
    <t>WOS:001043375600001</t>
  </si>
  <si>
    <t>Liu, P; Li, L; Liu, K; McIntosh, S; Grundy, J</t>
  </si>
  <si>
    <t>Liu, Pei; Li, Li; Liu, Kui; McIntosh, Shane; Grundy, John</t>
  </si>
  <si>
    <t>Understanding the quality and evolution of Android app build systems</t>
  </si>
  <si>
    <t>Android; Apache ANT; Apache Maven; build systems; Gradle; open source</t>
  </si>
  <si>
    <t>CONTINUOUS INTEGRATION</t>
  </si>
  <si>
    <t>Build systems are used to transform static source code into executable software. They play a crucial role in modern software development and maintenance. As such, much research effort has been invested in understanding the quality and evolution of build systems, including Apache ANT, Apache Maven, and Make-based ones. However, the quality and evolution of build systems for mobile apps, such as on the Android platform, have not as yet been investigated in detail. Mobile app development, and the Android development context in particular, impose unique constrains, such as different device conditions and capabilities. It presents unique challenges, such as frequently upgraded Android frameworks, which those who implement and maintain build systems must tackle. In this paper, we present an exploratory empirical study of the build systems of 5222 Android projects to better understand their quality and evolution. We (a) study the build technology choices that Android developers make (Gradle being recommended and the most popular choice), (b) explore the sustainability of the official Gradle build system (parts of build files are updated more frequent that others and the update of the special Gradle plugin would induce unrecommended configurations), and (c) analyze the quality of Gradle scripts for Android apps-more than a half of the open-source Android apps cannot be successfully built due to five common root causes.</t>
  </si>
  <si>
    <t>[Liu, Pei; Li, Li] Beihang Univ, Sch Software, Beijing, Peoples R China; [Liu, Kui] Huawei, Huawei Software Engn Applicat Technol Lab, Hangzhou, Peoples R China; [McIntosh, Shane] Univ Waterloo, David R Cheriton Sch Comp Sci, Waterloo, ON, Canada; [Grundy, John] Monash Univ, Fac Informat Technol, Clayton, Vic, Australia</t>
  </si>
  <si>
    <t>Beihang University; Huawei Technologies; University of Waterloo; Monash University</t>
  </si>
  <si>
    <t>Li, L (corresponding author), Beihang Univ, Sch Software, Beijing, Peoples R China.</t>
  </si>
  <si>
    <t>peiliu.pliu@gmail.com; lilicoding@ieee.org</t>
  </si>
  <si>
    <t>LIU, Kui/0000-0003-0145-615X; Li, Li/0000-0003-2990-1614</t>
  </si>
  <si>
    <t>Australian Research Council (ARC) [FL190100035, DE200100016, DP200100020]</t>
  </si>
  <si>
    <t>Australian Research Council (ARC)(Australian Research Council)</t>
  </si>
  <si>
    <t>Australian Research Council (ARC), Grant/Award Numbers: FL190100035, DE200100016, DP200100020</t>
  </si>
  <si>
    <t>10.1002/smr.2602</t>
  </si>
  <si>
    <t>O3RN9</t>
  </si>
  <si>
    <t>WOS:001043024000001</t>
  </si>
  <si>
    <t>Pennington-FitzGerald, W; Joshi, A; Honzel, E; Hernandez-Morato, I; Pitman, MJ; Moayedi, Y</t>
  </si>
  <si>
    <t>Pennington-FitzGerald, William; Joshi, Abhinav; Honzel, Emily; Hernandez-Morato, Ignacio; Pitman, Michael J.; Moayedi, Yalda</t>
  </si>
  <si>
    <t>Development and Application of Automated Vocal Fold Tracking Software in a Rat Surgical Model</t>
  </si>
  <si>
    <t>vocal fold paralysis; artificial intelligence; automated tracking; rat; recurrent laryngeal nerve injury</t>
  </si>
  <si>
    <t>RECURRENT LARYNGEAL NERVE; NEUROTROPHIC FACTOR; MUSCLES; INJURY; RECOVERY; SEGMENTATION; LOCALIZATION; IMPACT; VOICE</t>
  </si>
  <si>
    <t>Objective: The rat is a widely used model for studying vocal fold (VF) function after recurrent laryngeal nerve injury, but common techniques for evaluating rat VF motion remain subjective and imprecise. To address this, we developed a software package, called RatVocalTracker1.0 (RVT1.0), to quantify VF motion and tested it on rats with iatrogenic unilateral vocal fold paralysis (VFP).Methods: A deep neural network was trained to identify the positions of the VFs and arytenoid cartilages (ACs) in trans -oral laryngoscope videos of the rat glottis. Software was developed to estimate glottic midline, VF displacement, VF velocity, and AC angle. The software was applied to laryngoscope videos of adult rats before and after right recurrent and superior laryngeal nerve transection (N = 15; 6M, 9F). All software calculated metrics were compared before and after injury and validated against manually calculated metrics.Results: RVT1.0 accurately tracked and quantified VF displacement, VF velocity, and AC angle. Significant differences were found before and after surgery for all RVT1.0 calculated metrics. There was strong agreement between programmatically and manually calculated measures. Automated analysis was also more efficient than nearly all manual methods.Conclusion: This approach provides fast, accurate assessment of VF motion in rats with minimal labor and allows for quantitative comparison of lateral differences in movement. Through this novel analysis method, we can differentiate healthy movement from unilateral VFP. RVT1.0 is open-source and will be a valuable tool for researchers using the rat model for laryn-gology research.</t>
  </si>
  <si>
    <t>[Pennington-FitzGerald, William; Honzel, Emily] Columbia Univ, Coll Phys &amp; Surg, New York, NY USA; [Joshi, Abhinav; Hernandez-Morato, Ignacio; Pitman, Michael J.; Moayedi, Yalda] Columbia Univ, Irving Med Ctr, Ctr Voice &amp; Swallowing, Dept Otolaryngol Head &amp; Neck Surg, New York, NY USA; [Moayedi, Yalda] Columbia Univ, Dept Neurol, New York, NY USA; [Moayedi, Yalda] 180 Ft Washington Ave 8-844, New York, NY 10032 USA</t>
  </si>
  <si>
    <t>Columbia University; Columbia University; NewYork-Presbyterian Hospital; Columbia University</t>
  </si>
  <si>
    <t>Moayedi, Y (corresponding author), 180 Ft Washington Ave 8-844, New York, NY 10032 USA.</t>
  </si>
  <si>
    <t>moayediyalda@gmail.com</t>
  </si>
  <si>
    <t>; Hernandez-Morato, Ignacio/E-7263-2012</t>
  </si>
  <si>
    <t>Moayedi, Yalda/0000-0002-0600-1253; Hernandez-Morato, Ignacio/0000-0003-3628-030X; Pitman, Michael/0000-0001-6637-4302</t>
  </si>
  <si>
    <t>10.1002/lary.30930</t>
  </si>
  <si>
    <t>O4FA7</t>
  </si>
  <si>
    <t>WOS:001043378000001</t>
  </si>
  <si>
    <t>Stevens, S</t>
  </si>
  <si>
    <t>Stevens, Sean</t>
  </si>
  <si>
    <t>International advances in simulation-based training in surgery: lessons for Australasia</t>
  </si>
  <si>
    <t>[Stevens, Sean] Univ Melbourne, Dept Surg, Melbourne, Vic, Australia; [Stevens, Sean] Univ Melbourne, Dept Surg, Surg Educ Res Grp, Melbourne, Vic, Australia</t>
  </si>
  <si>
    <t>Stevens, S (corresponding author), Univ Melbourne, Dept Surg, Melbourne, Vic, Australia.;Stevens, S (corresponding author), Univ Melbourne, Dept Surg, Surg Educ Res Grp, Melbourne, Vic, Australia.</t>
  </si>
  <si>
    <t>Stevens, Sean/0000-0003-3522-1412</t>
  </si>
  <si>
    <t>Churchill Trust</t>
  </si>
  <si>
    <t>Sean Stevens was supported with a Churchill Fellowship by the Churchill Trust.</t>
  </si>
  <si>
    <t>10.1111/ans.18651</t>
  </si>
  <si>
    <t>S0FE0</t>
  </si>
  <si>
    <t>WOS:001043528000001</t>
  </si>
  <si>
    <t>Kloos, N; Kraiss, J; ten Klooster, P; Bohlmeijer, E</t>
  </si>
  <si>
    <t>Kloos, Noortje; Kraiss, Jannis; ten Klooster, Peter; Bohlmeijer, Ernst</t>
  </si>
  <si>
    <t>First validation of the model of sustainable mental health: Structural model validity and the indirect role of adaptation</t>
  </si>
  <si>
    <t>JOURNAL OF CLINICAL PSYCHOLOGY</t>
  </si>
  <si>
    <t>adaptation; implementation model; mental health care; positive psychology; psychopathology; well-being</t>
  </si>
  <si>
    <t>MAJOR DEPRESSIVE DISORDER; POSITIVE PSYCHOLOGY; EMOTION REGULATION; PSYCHOTHERAPY; SYMPTOMS; ANXIETY; PSYCHOPATHOLOGY; METAANALYSIS; STRATEGIES; CONTINUUM</t>
  </si>
  <si>
    <t>ObjectivesThere is a growing interest in mental well-being as a vital outcome in clinical practice in addition to mental illness. The model of sustainable mental health (SMH) was recently introduced to delineate how interventions can improve mental health by targeting barriers and resources of adaptation to life stressors, improving the ability to adapt and thereby reducing mental illness and improving mental well-being. The aim of the current study is to empirically validate the conceptual model of SMH as well as the assumed indirect role of ability to adapt. MethodsThis study used an existing dataset of the general population with self-reported reduced well-being due to the corona crisis (n = 849, mean age 53 years, SD = 15). Measurements of mental illness (depression and anxiety), mental well-being, ability to adapt, a specific barrier for adaptation (i.e., repetitive negative thinking), and a specific resource for adaptation (i.e., positive reframing) were included. Structural equation modeling was used to assess both the structural validity of the model and the indirect effect of ability to adapt. ResultsAn acceptable to good fit was found for the model of SMH and all paths between the proposed elements of the model were significant and in the hypothesized direction. Ability to adapt served as an indirect pathway trough which repetitive negative thinking (B = 0.149, 95% confidence interval [CI] = 0.016-0.028) and positive reframing (B = 0.163, 95% CI = 0.065-0.123) were linked with mental illness and mental well-being. ConclusionThe current study provides the first empirical support of the internal validity of the model of SMH in a sample of the general population with reduced well-being, suggesting that barriers and resources to adaptation have an effect on mental illness and mental well-being through the ability to adapt. The model of SMH may therefore be a good model to use in research and clinical practice for developing, implementing, and evaluating a balanced treatment approach targeting both barriers and resources for adaptation.</t>
  </si>
  <si>
    <t>[Kloos, Noortje; Kraiss, Jannis; ten Klooster, Peter; Bohlmeijer, Ernst] Univ Twente, Ctr Ehlth &amp; Well Being Res, Dept Psychol Hlth &amp; Technol, Enschede, Netherlands; [Kloos, Noortje] Radboud Alzheimer Ctr, Dept Primary &amp; Community Care, Nijmegen, Netherlands; [Kloos, Noortje] Trobe Univ, Sch Nursing &amp; Midwifery, Melbourne, Australia; [Kloos, Noortje] Univ Twente, Ctr Ehlth &amp; Well Being Res, Dept Psychol Hlth &amp; Technol, Enschede, Netherlands</t>
  </si>
  <si>
    <t>University of Twente; La Trobe University; University of Twente</t>
  </si>
  <si>
    <t>Kloos, N (corresponding author), Univ Twente, Ctr Ehlth &amp; Well Being Res, Dept Psychol Hlth &amp; Technol, Enschede, Netherlands.</t>
  </si>
  <si>
    <t>n.kloos@utwente.nl</t>
  </si>
  <si>
    <t>Kloos, Noortje/0000-0003-2339-7621</t>
  </si>
  <si>
    <t>0021-9762</t>
  </si>
  <si>
    <t>1097-4679</t>
  </si>
  <si>
    <t>J CLIN PSYCHOL</t>
  </si>
  <si>
    <t>J. Clin. Psychol.</t>
  </si>
  <si>
    <t>2023 AUG 5</t>
  </si>
  <si>
    <t>10.1002/jclp.23574</t>
  </si>
  <si>
    <t>O1EL4</t>
  </si>
  <si>
    <t>WOS:001041319200001</t>
  </si>
  <si>
    <t>Asuzu, PC; Wyatt, VT; Asare-Okai, PN; Tawiah, NA; Jones, KC; Aryee, ANA</t>
  </si>
  <si>
    <t>Asuzu, Peace C.; Wyatt, Victor T.; Asare-Okai, Papa Nii; Tawiah, Nii Adjetey; Jones, Kerby C.; Aryee, Alberta N. A.</t>
  </si>
  <si>
    <t>Comparison of solvent systems on extraction, quality characteristics, and volatile compounds of palm kernel oil</t>
  </si>
  <si>
    <t>JOURNAL OF THE AMERICAN OIL CHEMISTS SOCIETY</t>
  </si>
  <si>
    <t>extraction; fatty acid composition; palm kernel oil; quality characteristics; volatile compounds</t>
  </si>
  <si>
    <t>LIPID EXTRACTION; AROMA</t>
  </si>
  <si>
    <t>Hexane (HEX) and dichloromethane (DCM) have been used to extract oils from various sources due to their expansive solubility and low volatility that ease removal at low temperatures. However, environmental and health concerns make them undesirable solvents. The aim of this study was to evaluate the extraction efficiency and physicochemical characteristics of palm kernel oil (PKO) extracted with the addition of acetone in HEX-acetone (1:1, vol/vol) and DCM-acetone (1:1, vol/vol) mixtures as an alternative to DCM and HEX alone. PKO extracted with co-solvent systems had better quality characteristics compared with single solvent extracts. The oil recovered, free fatty acid content, peroxide value and other quality characteristics, and thermal properties were within the range for PKO, and similar oils as stipulated in standards. Monounsaturated fatty acid content in PKO was up to 70% of which lauric acid was the most abundant (48%-52%). A total of 50 volatile compounds were identified by GC-MS in all the extracts including amide (1), alcohol (1), aldehydes (2), ketones (3), acids (6), esters (6) and hydrocarbons (31) with higher numbers of volatiles in the HEX extracts compared to the DCM extracts. Dodecanoic acid, hexanal, and 2-undecanone were the most abundant acid, aldehyde, and ketone, respectively. Principal component analysis (PCA) differentiated the volatiles identified on the polar and non-polar columns with 88.2% and 8.8%, and 67.3% and 19.6% of the variation accounted for by PC1 and PC2, respectively, with several common volatile components forming a cluster from all the solvents used.</t>
  </si>
  <si>
    <t>[Asuzu, Peace C.; Aryee, Alberta N. A.] Delaware State Univ, Coll Agr Sci &amp; Technol, Dept Human Ecol, Food Sci &amp; Biotechnol Program, Dover, DE USA; [Wyatt, Victor T.; Jones, Kerby C.] USDA ARS ERRC, Sustainable Biofuels &amp; Co Prod, Wyndmoor, PA USA; [Asare-Okai, Papa Nii] Univ Delaware, Lammot DuPont Lab, Mass Spectrometry Facil, Newark, DE USA; [Tawiah, Nii Adjetey] Delaware State Univ, Coll Humanities Educ &amp; Social Sci, Dover, DE USA; [Aryee, Alberta N. A.] Delaware State Univ, Coll Agr Sci &amp; Technol, Dept Human Ecol, Food Sci &amp; Biotechnol Program, 1200 N DuPont Highway, Dover, DE 19901 USA</t>
  </si>
  <si>
    <t>Delaware State University; United States Department of Agriculture (USDA); University of Delaware; Delaware State University; Delaware State University</t>
  </si>
  <si>
    <t>Aryee, ANA (corresponding author), Delaware State Univ, Coll Agr Sci &amp; Technol, Dept Human Ecol, Food Sci &amp; Biotechnol Program, 1200 N DuPont Highway, Dover, DE 19901 USA.</t>
  </si>
  <si>
    <t>aaryee@desu.edu</t>
  </si>
  <si>
    <t>Aryee, Alberta/0000-0002-1874-9066</t>
  </si>
  <si>
    <t>USDA NIFA Evans Allen [DELXHMEC2017]</t>
  </si>
  <si>
    <t>USDA NIFA Evans Allen</t>
  </si>
  <si>
    <t>USDA NIFA Evans Allen, Grant/Award Number: DELXHMEC2017</t>
  </si>
  <si>
    <t>0003-021X</t>
  </si>
  <si>
    <t>1558-9331</t>
  </si>
  <si>
    <t>J AM OIL CHEM SOC</t>
  </si>
  <si>
    <t>J. Am. Oil Chem. Soc.</t>
  </si>
  <si>
    <t>2023 AUG 4</t>
  </si>
  <si>
    <t>10.1002/aocs.12728</t>
  </si>
  <si>
    <t>O2JK7</t>
  </si>
  <si>
    <t>WOS:001042132200001</t>
  </si>
  <si>
    <t>Baas, MAM; Stramrood, CAI; Dijksman, LM; Vanhommerig, JW; de Jongh, A; van Pampus, MG</t>
  </si>
  <si>
    <t>Baas, Melanie A. M.; Stramrood, Claire A. I.; Dijksman, Lea M.; Vanhommerig, Joost W.; de Jongh, Ad; van Pampus, Marielle G.</t>
  </si>
  <si>
    <t>How safe is the treatment of pregnant women with fear of childbirth using eye movement desensitization and reprocessing therapy? Obstetric outcomes of a multi-center randomized controlled trial</t>
  </si>
  <si>
    <t>childbirth; childbirth experience; EMDR; eye movement desensitization and reprocessing therapy; fear of childbirth; pregnancy; tocophobia</t>
  </si>
  <si>
    <t>DELIVERY EXPECTANCY/EXPERIENCE QUESTIONNAIRE; PSYCHO-EDUCATION INTERVENTION; DEPRESSION</t>
  </si>
  <si>
    <t>IntroductionPregnant women with fear of childbirth display an elevated risk of a negative delivery experience, birth-related post-traumatic stress disorder, and adverse perinatal outcomes such as preterm birth, low birthweight, and postpartum depression. One of the therapies used to treat fear of childbirth is eye movement desensitization and reprocessing (EMDR) therapy. The purpose of the present study was to determine the obstetric safety and effectiveness of EMDR therapy applied to pregnant women with fear of childbirth. Material and methodsA randomized controlled trial (the OptiMUM-study) was conducted in two teaching hospitals and five community midwifery practices in the Netherlands (, NTR5122). Pregnant women (n = 141) with a gestational age between 8 and 20 weeks and suffering from fear of childbirth (i.e. sum score on the Wijma Delivery Expectations Questionnaire &amp; GE;85) were randomly allocated to either EMDR therapy (n = 70) or care-as-usual (CAU) (n = 71). Outcomes were maternal and neonatal outcomes and patient satisfaction with pregnancy and childbirth. ResultsA high percentage of cesarean sections (37.2%) were performed, which did not differ between groups. However, women in the EMDR therapy group proved seven times less likely to request an induction of labor without medical indication than women in the CAU group. There were no other significant differences between the groups in maternal or neonatal outcomes, satisfaction, or childbirth experience. ConclusionsEMDR therapy during pregnancy does not adversely affect pregnancy or the fetus. Therefore, therapists should not be reluctant to treat pregnant women with fear of childbirth using EMDR therapy.</t>
  </si>
  <si>
    <t>[Baas, Melanie A. M.; van Pampus, Marielle G.] OLVG, Dept Obstet &amp; Gynecol, Amsterdam, Netherlands; [Baas, Melanie A. M.] Martini Hosp, Dept Obstet &amp; Gynecol, Groningen, Netherlands; [Stramrood, Claire A. I.] Beval Beter, Amsterdam, Netherlands; [Dijksman, Lea M.] St Antoniusziekenhuis, Dept Qual &amp; Safety, Nieuwegein, Netherlands; [Vanhommerig, Joost W.] OLVG, Dept Res &amp; Epidemiol, Amsterdam, Netherlands; [de Jongh, Ad] Univ Amsterdam, Acad Ctr Dent Amsterdam ACTA, Amsterdam, Netherlands; [de Jongh, Ad] Vrije Univ Amsterdam, Amsterdam, Netherlands; [de Jongh, Ad] Univ Worcester, Inst Hlth &amp; Soc, Worcester, England; [van Pampus, Marielle G.] OLVG, Dept Obstet &amp; Gynecol, POB 95500, NL-1090 HM Amsterdam, Netherlands</t>
  </si>
  <si>
    <t>Martini Hospital; St. Antonius Hospital Utrecht; Vrije Universiteit Amsterdam; University of Amsterdam; Vrije Universiteit Amsterdam; University of Worcester</t>
  </si>
  <si>
    <t>van Pampus, MG (corresponding author), OLVG, Dept Obstet &amp; Gynecol, POB 95500, NL-1090 HM Amsterdam, Netherlands.</t>
  </si>
  <si>
    <t>m.g.vanpampus@olvg.nl</t>
  </si>
  <si>
    <t>van Pampus, Maria/0000-0002-3020-8908; Vanhommerig, Joost/0000-0002-3776-662X; Dijksman, Lea/0000-0001-9227-1390</t>
  </si>
  <si>
    <t>Fonds Gezond Geboren; Stichting EMDR Nederland (Dutch EMDR Association); Stichting Teaching Hospital OLVG; Stichting Wetenschap OLVG</t>
  </si>
  <si>
    <t>10.1111/aogs.14628</t>
  </si>
  <si>
    <t>O2LB0</t>
  </si>
  <si>
    <t>WOS:001042174600001</t>
  </si>
  <si>
    <t>Demirci, Y; Kalay, E; Kara, Y; Guler, HI; Can, Z; Sahin, E</t>
  </si>
  <si>
    <t>Demirci, Yasin; Kalay, Erbay; Kara, Yakup; Guler, Halil Ibrahim; Can, Zehra; Sahin, Engin</t>
  </si>
  <si>
    <t>Synthesis of Arylsulfonyl Hydrazone Derivatives: Antioxidant Activity, Acetylcholinesterase Inhibition Properties, and Molecular Docking Study</t>
  </si>
  <si>
    <t>Sulfonyl hydrazine; Acetylcholinesterase inhibition; Antioxidant activity; Docking study; DPPH- FRAP</t>
  </si>
  <si>
    <t>SULFONYL HYDRAZONES; ANTIBACTERIAL ACTIVITY; BIOLOGICAL EVALUATION</t>
  </si>
  <si>
    <t>In this current paper, fifteen novel sulfonyl hydrazone derivatives have been successfully synthesized and evaluated for antioxidant activity as well as their effects on inhibitory activity toward acetylcholinesterase (AChE). By using H-1 NMR, C-13 NMR, FT-IR, and high-resolution mass spectrometry methods, the full characterization data of the novel compounds were obtained. The synthesized compounds capacity to inhibition glucosidase and exhibit antioxidant activity were tested in vitro. It was determined that compounds (E)-4-((2-((4-chlorophenyl)sulfonyl)hydrazone)methyl)-2-methoxyphenylfuran-2-carboxylate (21), (E)-2-methoxy-4-((2-(phenylsulfonyl)hydrazone)methyl)phenylfuran-2-carboxylate (17) and (E)-4-((2-((4-bromophenyl)sulfonyl)hydrazone)methyl)-2-methoxyphenylfuran-2-carboxylate (25) showed good antioxidant activity. Upon examining the acetylcholinesterase inhibitory activity, it was determined that compounds (E)-2-methoxy-4-((2-((4-methoxyphenyl)sulfonyl) hydrazone)methyl)phenylacetate (27) (10.39 &amp; mu;M), (E)-4-((2-((4-chloro phenyl)sulfonyl) hydrazone)methyl)-2-methoxyphenylfuran-2-carboxylate (21) (10.81 &amp; mu;M), (E)-4-((2-((4-chloro phenyl)sulfonyl)hydrazone)methyl)-2-methoxyphenyl thiophene-2-carboxylate (22) (12.92 &amp; mu;M) and (E)-2-methoxy-4-((2-(phenylsulfonyl)hydrazone)methyl)phenylfuran-2-carboxylate (17) (12.93 &amp; mu;M) showed potent inhibitory effects. Molecular docking simulations were used to investigate the interactions of novel sulfonyl hydrazone derivatives with human acetylcholinesterase protein. The ligands exhibited strong binding to the receptor protein with potent inhibition.</t>
  </si>
  <si>
    <t>[Demirci, Yasin] Bayburt Univ, Grad Educ Inst, Dept Chem, TR-69000 Bayburt, Turkiye; [Kalay, Erbay] Kafkas Univ, Kars Vocat Sch, Dept Mat &amp; Mat Proc Technol, TR-36100 Kars, Turkiye; [Kara, Yakup] Karadeniz Tech Univ, Fac Sci, Dept Chem, TR-61080 Trabzon, Turkiye; [Guler, Halil Ibrahim] Karadeniz Tech Univ, Fac Sci, Dept Mol Biol &amp; Genet, TR-61080 Trabzon, Turkiye; [Can, Zehra] Bayburt Univ, Fac Appl Sci, Dept Emergency Aid &amp; Disaster Management, TR-69000 Bayburt, Turkiye; [Sahin, Engin] Bayburt Univ, Fac Hlth Sci, Dept Nutr &amp; Dietet, TR-69000 Bayburt, Turkiye</t>
  </si>
  <si>
    <t>Bayburt University; Kafkas University; Karadeniz Technical University; Karadeniz Technical University; Bayburt University; Bayburt University</t>
  </si>
  <si>
    <t>Sahin, E (corresponding author), Bayburt Univ, Fac Hlth Sci, Dept Nutr &amp; Dietet, TR-69000 Bayburt, Turkiye.</t>
  </si>
  <si>
    <t>esahin@bayburt.edu.tr</t>
  </si>
  <si>
    <t>Kara, Yakup/AAW-8736-2020; Guler, Halil Ibrahim/E-4888-2017</t>
  </si>
  <si>
    <t>Guler, Halil Ibrahim/0000-0002-7261-6790</t>
  </si>
  <si>
    <t>AUG 4</t>
  </si>
  <si>
    <t>e202301474</t>
  </si>
  <si>
    <t>10.1002/slct.202301474</t>
  </si>
  <si>
    <t>O0BJ8</t>
  </si>
  <si>
    <t>WOS:001040556600001</t>
  </si>
  <si>
    <t>He, XX; Cai, WX; Li, FF; Fan, QY; Zhang, PP; Cuaron, JJ; Cervino, LI; Moran, JM; Li, X; Li, TF</t>
  </si>
  <si>
    <t>He, Xiuxiu; Cai, Weixing; Li, Feifei; Fan, Qiyong; Zhang, Pengpeng; Cuaron, John J.; Cervino, Laura I.; Moran, Jean M.; Li, Xiang; Li, Tianfang</t>
  </si>
  <si>
    <t>Patient specific prior cross attention for kV decomposition in paraspinal motion tracking</t>
  </si>
  <si>
    <t>image-guided radiation therapy; motion tracking; online x-ray imaging</t>
  </si>
  <si>
    <t>ITERATIVE IMAGE-RECONSTRUCTION; TUMOR; REGISTRATION; RADIOTHERAPY</t>
  </si>
  <si>
    <t>BackgroundX-ray image quality is critical for accurate intrafraction motion tracking in radiation therapy.Purpose: This study aims to develop a deep-learning algorithm to improve kV image contrast by decomposing the image into bony and soft tissue components. In particular, we designed a priori attention mechanism in the neural network framework for optimal decomposition. We show that a patient-specific prior cross-attention (PCAT) mechanism can boost the performance of kV image decomposition. We demonstrate its use in paraspinal SBRT motion tracking with online kV imaging. MethodsOnline 2D kV projections were acquired during paraspinal SBRT for patient motion monitoring. The patient-specific prior images were generated by randomly shifting and rotating spine-only DRR created from the setup CBCT, simulating potential motions. The latent features of the prior images were incorporated into the PCAT using multi-head cross attention. The neural network aimed to learn to selectively amplify the transmission of the projection image features that correlate with features of the priori. The PCAT network structure consisted of (1) a dual-branch generator that separates the spine and soft tissue component of the kV projection image and (2) a dual-function discriminator (DFD) that provides the realness score of the predicted images. For supervision, we used a loss combining mean absolute error loss, discriminator loss, perceptual loss, total variation, and mean squared error loss for soft tissues. The proposed PCAT approach was benchmarked against previous work using the ResNet generative adversarial network (ResNetGAN) without prior information. ResultsThe trained PCAT had improved performance in effectively retaining and preserving the spine structure and texture information while suppressing the soft tissues from the kV projection images. The decomposed spine-only x-ray images had the submillimeter matching accuracy at all beam angles. The decomposed spine-only x-ray significantly reduced the maximum errors to 0.44 mm (&lt;2 pixels) in comparison to 0.92 mm (&amp; SIM;4 pixels) of ResNetGAN. The PCAT decomposed spine images also had higher PSNR and SSIM (p-value &lt; 0.001). ConclusionThe PCAT selectively learned the important latent features by incorporating the patient-specific prior knowledge into the deep learning algorithm, significantly improving the robustness of the kV projection image decomposition, and leading to improved motion tracking accuracy in paraspinal SBRT.</t>
  </si>
  <si>
    <t>[He, Xiuxiu; Cai, Weixing; Li, Feifei; Fan, Qiyong; Zhang, Pengpeng; Cervino, Laura I.; Moran, Jean M.; Li, Xiang; Li, Tianfang] Mem Sloan Kettering Canc Ctr, Dept Med Phys, 1275 York Ave, New York, NY 10065 USA; [Cuaron, John J.] Mem Sloan Kettering Canc Ctr, Dept Radiat Oncol, New York, NY 10065 USA</t>
  </si>
  <si>
    <t>Li, TF (corresponding author), Mem Sloan Kettering Canc Ctr, Dept Med Phys, 1275 York Ave, New York, NY 10065 USA.</t>
  </si>
  <si>
    <t>lit2@mskcc.org</t>
  </si>
  <si>
    <t>MSK Cancer Center [P30 CA008748]</t>
  </si>
  <si>
    <t>MSK Cancer Center</t>
  </si>
  <si>
    <t>MSK Cancer Center Support Grant/CoreGrant, Grant/Award Number: P30 CA008748</t>
  </si>
  <si>
    <t>10.1002/mp.16644</t>
  </si>
  <si>
    <t>O2HZ3</t>
  </si>
  <si>
    <t>WOS:001042094400001</t>
  </si>
  <si>
    <t>Jang, WB; Yi, DW; Nguyen, TM; Lee, YJ; Lee, EJ; Choi, J; Kim, YH; Choi, EJ; Oh, JW; Kwon, SM</t>
  </si>
  <si>
    <t>Jang, Woong Bi; Yi, Dongwon; Nguyen, Thanh Mien; Lee, Yujin; Lee, Eun Ji; Choi, Jaewoo; Kim, You Hwan; Choi, Eun-Jung; Oh, Jin-Woo; Kwon, Sang-Mo</t>
  </si>
  <si>
    <t>Artificial Neural Processing-Driven Bioelectronic Nose for the Diagnosis of Diabetes and Its Complications</t>
  </si>
  <si>
    <t>bioelectronic noses; cellular respiration; diabetes diagnosis; m13 bacteriophage; neural processing</t>
  </si>
  <si>
    <t>MELLITUS</t>
  </si>
  <si>
    <t>Diabetes and its complications affect the younger population and are associated with a high mortality rate; however, early diagnosis can contribute to the selection of appropriate treatment regimens that can reduce mortality. Although diabetes diagnosis via exhaled breath has great potential for early diagnosis, research on such diagnosis is restricted to disease detection, requiring in-depth examination to diagnose and classify diseases and their complications. This study demonstrates the use of an artificial neural processing-based bioelectronic nose to accurately diagnose diabetes and classify diabetic types (type I and II) and their complications, such as heart disease. Specifically, an M13 phage-based electronic nose (e-nose) is used to explore the features of subjects with diabetes at various levels of cellular and organismal organization (cells, liver organoids, and mice). Exhaled breath samples are collected during culturing and exposed to the phage-based e-nose. Compared with cells, liver organoids cultured under conditions mimicking a diabetic environment display properties that closely resemble the characteristics of diabetic mice. Using neural pattern separation, the M13 phage-based e-nose achieves a classification success rate of over 86% for four conditions in mice, namely, type 1 diabetes, type 2 diabetes, diabetic cardiomyopathy, and cardiomyopathy.</t>
  </si>
  <si>
    <t>[Jang, Woong Bi; Lee, Eun Ji; Choi, Jaewoo; Kwon, Sang-Mo] Pusan Natl Univ, Sch Med, Lab Vasc Med &amp; Stem Cell Biol, Dept Physiol,Med Res Inst, Yangsan 50612, South Korea; [Jang, Woong Bi; Lee, Eun Ji; Choi, Jaewoo; Kwon, Sang-Mo] Pusan Natl Univ, Convergence Stem Cell Res Ctr, Yangsan 50612, South Korea; [Yi, Dongwon] Pusan Natl Univ, Yangsan Hosp, Dept Internal Med, Div Endocrinol &amp; Metab,Sch Med, Yangsan 50612, South Korea; [Nguyen, Thanh Mien; Oh, Jin-Woo] Pusan Natl Univ, Bio IT Fus Technol Res Inst, Pusan 46241, South Korea; [Lee, Yujin; Kim, You Hwan; Choi, Eun-Jung; Oh, Jin-Woo] Pusan Natl Univ, Dept Nano Fus Technol, Pusan 46214, South Korea; [Oh, Jin-Woo] Pusan Natl Univ, Korea Nanobiotechnol Ctr, Pusan 46241, South Korea</t>
  </si>
  <si>
    <t>Pusan National University; Pusan National University; Pusan National University; Pusan National University Hospital; Pusan National University; Pusan National University; Pusan National University</t>
  </si>
  <si>
    <t>Kwon, SM (corresponding author), Pusan Natl Univ, Sch Med, Lab Vasc Med &amp; Stem Cell Biol, Dept Physiol,Med Res Inst, Yangsan 50612, South Korea.;Kwon, SM (corresponding author), Pusan Natl Univ, Convergence Stem Cell Res Ctr, Yangsan 50612, South Korea.;Oh, JW (corresponding author), Pusan Natl Univ, Bio IT Fus Technol Res Inst, Pusan 46241, South Korea.;Oh, JW (corresponding author), Pusan Natl Univ, Dept Nano Fus Technol, Pusan 46214, South Korea.;Oh, JW (corresponding author), Pusan Natl Univ, Korea Nanobiotechnol Ctr, Pusan 46241, South Korea.</t>
  </si>
  <si>
    <t>ojw@pusan.ac.kr; smkwon323@pusan.ac.kr</t>
  </si>
  <si>
    <t>Lee, Yujin/JEP-8145-2023; Yi, Dongwon/C-6584-2018</t>
  </si>
  <si>
    <t>Lee, Yujin/0000-0002-3472-9428; Yi, Dongwon/0000-0003-3574-036X</t>
  </si>
  <si>
    <t>National Research Foundation - Korean government [NRF2020R1A2C2101297, 2022R1A5A2027161, 2022M3A9E4017151]; Korean Fund for Regenerative Medicine (KFRM) - Korean government (Ministry of Science and ICT) [21A0101L1]; Korean Fund for Regenerative Medicine (KFRM) - Korean government (Ministry of Health and Welfare) [21A0101L1]; National Research Foundation of Korea [2022M3A9E4017151] Funding Source: Korea Institute of Science &amp; Technology Information (KISTI), National Science &amp; Technology Information Service (NTIS)</t>
  </si>
  <si>
    <t>National Research Foundation - Korean government(Korean Government); Korean Fund for Regenerative Medicine (KFRM) - Korean government (Ministry of Science and ICT); Korean Fund for Regenerative Medicine (KFRM) - Korean government (Ministry of Health and Welfare); National Research Foundation of Korea(National Research Foundation of Korea)</t>
  </si>
  <si>
    <t>W.B.J. and D.Y. contributed equally to this work. This work was supported by grants from the National Research Foundation (NRF2020R1A2C2101297, 2022R1A5A2027161, and 2022M3A9E4017151), funded by the Korean government. This research was supported by the Korean Fund for Regenerative Medicine (KFRM) grant funded by the Korean government (Ministry of Science and ICT, Ministry of Health and Welfare) (21A0101L1).</t>
  </si>
  <si>
    <t>10.1002/adhm.202300845</t>
  </si>
  <si>
    <t>O2SB1</t>
  </si>
  <si>
    <t>WOS:001042358300001</t>
  </si>
  <si>
    <t>Li, ZP; Sun, LH; Zhai, LP; Oh, KS; Seo, JM; Li, CQ; Han, DD; Baek, JB; Lee, SY</t>
  </si>
  <si>
    <t>Li, Zhongping; Sun, Linhai; Zhai, Lipeng; Oh, Kyeong-Seok; Seo, Jeong-Min; Li, Changqing; Han, Diandian; Baek, Jong-Beom; Lee, Sang-Young</t>
  </si>
  <si>
    <t>Olefin-Linked Covalent Organic Frameworks with Electronegative Channels as Cationic Highways for Sustainable Lithium Metal Battery Anodes</t>
  </si>
  <si>
    <t>Cationic Membranes; Covalent Organic Frameworks; Electronegative Channels; Lithium Batteries; Olefin Linkage</t>
  </si>
  <si>
    <t>ELECTROLYTE; STORAGE; DESIGN; LIFE</t>
  </si>
  <si>
    <t>Despite the enormous interest in Li metal as an ideal anode material, the uncontrollable Li dendrite growth and unstable solid electrolyte interphase have plagued its practical application. These limitations can be attributed to the sluggish and uneven Li+ migration towards Li metal surface. Here, we report olefin-linked covalent organic frameworks (COFs) with electronegative channels for facilitating selective Li+ transport. The triazine rings and fluorinated groups of the COFs are introduced as electron-rich sites capable of enhancing salt dissociation and guiding uniform Li+ flux within the channels, resulting in a high Li+ transference number (0.85) and high ionic conductivity (1.78 mS cm(-1)). The COFs are mixed with a polymeric binder to form mixed matrix membranes. These membranes enable reliable Li plating/stripping cyclability over 700 h in Li/Li symmetric cells and stable capacity retention in Li/LiFePO4 cells, demonstrating its potential as a viable cationic highway for accelerating Li+ conduction.</t>
  </si>
  <si>
    <t>[Li, Zhongping; Oh, Kyeong-Seok; Lee, Sang-Young] Yonsei Univ, Dept Chem &amp; Biomol Engn, Seoul 03722, South Korea; [Sun, Linhai; Zhai, Lipeng; Han, Diandian] Zhongyuan Univ Technol, Ctr Adv Mat Res, Henan Key Lab Funct Salt Mat, Zhengzhou 45007, Peoples R China; [Li, Zhongping; Seo, Jeong-Min; Li, Changqing; Baek, Jong-Beom] Ulsan Natl Inst Sci &amp; Technol UNIST, Ctr Dimens Controllable Organ Frameworks, Sch Energy &amp; Chem Engn, Ulsan 44919, South Korea</t>
  </si>
  <si>
    <t>Yonsei University; Zhongyuan University of Technology; Ulsan National Institute of Science &amp; Technology (UNIST)</t>
  </si>
  <si>
    <t>Lee, SY (corresponding author), Yonsei Univ, Dept Chem &amp; Biomol Engn, Seoul 03722, South Korea.;Zhai, LP; Han, DD (corresponding author), Zhongyuan Univ Technol, Ctr Adv Mat Res, Henan Key Lab Funct Salt Mat, Zhengzhou 45007, Peoples R China.</t>
  </si>
  <si>
    <t>zhailp@zut.edu.cn; 6788@zut.edu.cn; syleek@yonsei.ac.kr</t>
  </si>
  <si>
    <t>Oh, Kyeong-Seok/JCN-7747-2023</t>
  </si>
  <si>
    <t>National Natural Science Foundation of China [52103277]; Program for Science amp; Technology Innovation Talents in Universities of Henan Province [23HASTIT015]; Key Projects of Science and Technology of Henan Province [222102240098]; Key Scientific Research Project of Henan Universities [21A150061]; Basic Science Research Program [2021R1A2B5B03001615]; National Research Foundation of Korea (NRF) - Ministry of Science, ICT and future Planning; Technology Innovation Program - Ministry of Trade, Industry amp; Energy (MOTIE, Korea) [20012216]; Ministry of Trade, Industry amp; Energy (MOTIE, Korea)</t>
  </si>
  <si>
    <t>National Natural Science Foundation of China(National Natural Science Foundation of China (NSFC)); Program for Science amp; Technology Innovation Talents in Universities of Henan Province; Key Projects of Science and Technology of Henan Province; Key Scientific Research Project of Henan Universities; Basic Science Research Program; National Research Foundation of Korea (NRF) - Ministry of Science, ICT and future Planning(National Research Foundation of KoreaMinistry of Science, ICT &amp; Future Planning, Republic of Korea); Technology Innovation Program - Ministry of Trade, Industry amp; Energy (MOTIE, Korea)(Ministry of Trade, Industry &amp; Energy (MOTIE), Republic of Korea); Ministry of Trade, Industry amp; Energy (MOTIE, Korea)(Ministry of Trade, Industry &amp; Energy (MOTIE), Republic of Korea)</t>
  </si>
  <si>
    <t>This work was supported by the financial support from the National Natural Science Foundation of China (52103277), the Program for Science &amp; Technology Innovation Talents in Universities of Henan Province (23HASTIT015), Key Projects of Science and Technology of Henan Province (222102240098), Key Scientific Research Project of Henan Universities (21A150061), the Basic Science Research Program (2021R1A2B5B03001615) through the National Research Foundation of Korea (NRF) funded by the Ministry of Science, ICT and future Planning. This work was also supported by the Technology Innovation Program (20012216) funded by the Ministry of Trade, Industry &amp; Energy (MOTIE, Korea).</t>
  </si>
  <si>
    <t>10.1002/anie.202307459</t>
  </si>
  <si>
    <t>O2RY1</t>
  </si>
  <si>
    <t>WOS:001042355300001</t>
  </si>
  <si>
    <t>Lizuain, AA; Maffey, L; Leporace, M; Garzon, M; Schweigmann, N; Santini, MS</t>
  </si>
  <si>
    <t>Lizuain, Arturo Andres; Maffey, Lucia; Leporace, Marina; Garzon, Maximiliano; Schweigmann, Nicolas; Santini, Maria Soledad</t>
  </si>
  <si>
    <t>Culicidae assemblages of artificial containers and possible biotic interactions affecting Aedes albopictus (Diptera: Culicidae) in Argentina</t>
  </si>
  <si>
    <t>MEDICAL AND VETERINARY ENTOMOLOGY</t>
  </si>
  <si>
    <t>Aedes aegypti; competition; Culex quinquefasciatus; predation</t>
  </si>
  <si>
    <t>BEHAVIORAL-RESPONSES; SPATIAL-DISTRIBUTION; HABITAT SEGREGATION; AEGYPTI; MOSQUITOS; DESICCATION; COMPETITION; STEGOMYIA; INVASION; EGGS</t>
  </si>
  <si>
    <t>In Argentina, the distribution of Aedes albopictus (Skuse) is limited to two provinces with a subtropical climate and few records. This study aims to describe and compare assemblies of Culicidae that breed in artificial containers in two areas with different degrees of urbanisation where Ae. albopictus is present and to evaluate possible biotic interactions. We sampled container larval habitats of an urban (Eldorado city) and a rural environment (Colonia Aurora village). We performed generalized linear mixed models to evaluate which variables (containers characteristics or environment) are associated with the presence and abundance of Ae. albopictus, Aedes aegypti Linneaus and Culex quinquefasciatus Say, and the presence of mosquito predators (Lutzia bigoti (Bellardi) and Toxorhynchites spp.). Also, the relationship between the most abundant species was quantified in each environment using Hurlbert's C8 association coefficient. Ae. aegypti was the most abundant species in the urban environment, while Cx. quinquefasciatus and Ae. albopictus were the most abundant in the rural area. Predators were more present in the rural environment and affected the abundance of Aedes mosquitoes. Regarding the C8 index, Ae. aegypti was negatively associated with Ae. albopictus in the urban area, whereas in the rural area these species presented a significantly positive relationship. These results show that in urban environments the high abundance of Ae. aegypti could be affecting the Asian tiger mosquito as evidenced by local studies of food larval competition. Also a greater presence of predators could be affecting Ae. albopictus in rural environments.</t>
  </si>
  <si>
    <t>[Lizuain, Arturo Andres] Ctr Nacl Diagnost Invest Endemo epidemias CeNDIE, Malbran Minist Salud Nac, ANLIS, Buenos Aires, Argentina; [Maffey, Lucia; Garzon, Maximiliano; Schweigmann, Nicolas; Santini, Maria Soledad] Consejo Nacl Invest Cient &amp; Tecn CONICET, Buenos Aires, Argentina; [Maffey, Lucia; Garzon, Maximiliano; Schweigmann, Nicolas] UBA CONICET, Grp Estudios Mosquitos Dto Ecol Genet &amp; Evoluc, FCEN, UBA, Buenos Aires, Argentina; [Maffey, Lucia; Garzon, Maximiliano; Schweigmann, Nicolas] Genet &amp; Evoluc Buenos Aires UBA CONICET, Inst Ecol, Buenos Aires, Argentina; [Leporace, Marina] Inst Univ Ciencias Salud, Fdn H A Barcelo, Lab Control Vectores Entomol Importancia Sanit LaC, Santo Tome, Corrientes, Argentina; [Santini, Maria Soledad] Malbran Minist Salud Nac, Inst Nacl Parasitol INP ANLIS, Buenos Aires, Argentina</t>
  </si>
  <si>
    <t>Consejo Nacional de Investigaciones Cientificas y Tecnicas (CONICET)</t>
  </si>
  <si>
    <t>Lizuain, AA (corresponding author), Ctr Nacl Diagnost Invest Endemo epidemias CeNDIE, Malbran Minist Salud Nac, ANLIS, Buenos Aires, Argentina.</t>
  </si>
  <si>
    <t>arlizuain@gmail.com</t>
  </si>
  <si>
    <t>Santini, Maria Soledad/0000-0002-0797-7020</t>
  </si>
  <si>
    <t>0269-283X</t>
  </si>
  <si>
    <t>1365-2915</t>
  </si>
  <si>
    <t>MED VET ENTOMOL</t>
  </si>
  <si>
    <t>Med. Vet. Entomol.</t>
  </si>
  <si>
    <t>10.1111/mve.12684</t>
  </si>
  <si>
    <t>Entomology; Veterinary Sciences</t>
  </si>
  <si>
    <t>O3LJ4</t>
  </si>
  <si>
    <t>WOS:001042863200001</t>
  </si>
  <si>
    <t>Morris, M; Atterbury, E; Minichetti, C; Santos, N; Farrell, A; Hanel, A; Porras, M; Leak, K; Tepper, L; Whalen, S; Kunzel, C</t>
  </si>
  <si>
    <t>Morris, Melanie; Atterbury, Elizabeth; Minichetti, Cara; Santos, Noemy; Farrell, Alexandria; Hanel, Alyssa; Porras, Mariana; Leak, Kathryne; Tepper, Lynn; Whalen, Stacey; Kunzel, Carol</t>
  </si>
  <si>
    <t>Patient-dental student provider communication in an academic dental clinic setting: A dyadic data analysis</t>
  </si>
  <si>
    <t>appointment assessment; communication; dental student clinic; dyadic data analysis; patient-dental student provider relationship</t>
  </si>
  <si>
    <t>QUALITY-OF-LIFE; SKILLS INSTRUCTION; SATISFACTION</t>
  </si>
  <si>
    <t>PurposePatient-dentist communication is an inherently dyadic social process; however, it is rarely regarded as such in research and pedagogy. This study utilizes a dyadic data analysis approach to study patient-dental student provider communication in an academic dental clinic. ProceduresUsing pairwise data collected from patient-dental student provider dyads, we conducted unadjusted and adjusted actor-partner interdependence models to examine the association of intrapersonal (actor) and interpersonal (partner) effects of three communication skills on the assessment of appointment interaction among patient-dental student provider dyads in a pre-doctoral comprehensive care academic dental clinic setting. Main findingsActor effects were most evident among the associations in the study. Dental student providers' assessment of their own shared decision-making predicted positive changes in their overall interaction assessment in both unadjusted and fully adjusted models. Patients' ratings of their dental student provider's capability/confidence predicted positive changes in their overall interaction assessment in both unadjusted and adjusted models. ConclusionsThis study suggests that dental students and their patients are primarily impacted by actor perspectives regarding dental student communication and its impact on the assessment of their respective overall appointment interaction. Findings suggest a need for the incorporation of interpersonal skill building in collaboration with patients to strengthen the communication skills and practice of dental students.</t>
  </si>
  <si>
    <t>[Morris, Melanie; Atterbury, Elizabeth; Minichetti, Cara; Farrell, Alexandria; Hanel, Alyssa; Tepper, Lynn; Whalen, Stacey; Kunzel, Carol] Columbia Univ, Dent Community Hlth, Coll Dent Med, New York, NY USA; [Morris, Melanie] Boston Univ, Sch Social Work, Boston, MA 02215 USA; [Santos, Noemy; Porras, Mariana; Leak, Kathryne; Whalen, Stacey] Columbia Univ, Sch Social Work, New York, NY USA</t>
  </si>
  <si>
    <t>Columbia University; Boston University; Columbia University</t>
  </si>
  <si>
    <t>Morris, M (corresponding author), Boston Univ, Sch Social Work, Boston, MA 02215 USA.</t>
  </si>
  <si>
    <t>mmmorris@bu.edu</t>
  </si>
  <si>
    <t>10.1002/jdd.13343</t>
  </si>
  <si>
    <t>O2EL3</t>
  </si>
  <si>
    <t>WOS:001042001500001</t>
  </si>
  <si>
    <t>Palanychamy, P; Kong, LL; Issabayeva, G</t>
  </si>
  <si>
    <t>Palanychamy, Prakas; Kong, Leong Loong; Issabayeva, Gulnaziya</t>
  </si>
  <si>
    <t>Impact of Ultrasound Treatment Duration on Dihydrate Precursor Implying the Sesquihydrate Route</t>
  </si>
  <si>
    <t>CHEMICAL ENGINEERING &amp; TECHNOLOGY</t>
  </si>
  <si>
    <t>n-Butane; Maleic anhydride; Selective oxidation; Ultrasound treatment; Vanadium pentoxide</t>
  </si>
  <si>
    <t>N-BUTANE OXIDATION; PHOSPHORUS OXIDE CATALYSTS; DEEP-EUTECTIC SOLVENTS; VANADYL PYROPHOSPHATE; MALEIC-ANHYDRIDE; SELECTIVE OXIDATION; MICROWAVE IRRADIATION; VPO; PHOSPHATE; VOPO4-CENTER-DOT-2H(2)O</t>
  </si>
  <si>
    <t>The present invention relates to a technique for synthesizing vanadium phosphorus oxide (VPO) catalyst employing an ultrasonic treatment approach while assessing phase composition and hydrocarbon oxidation activity to a conventionally synthesized catalyst. The ultrasonic treatment approach has been shown to produce a catalyst with improved surface constitution and accelerated hydrocarbon conversion in 3 h, as opposed to the typically heating process, which takes 24 h. Product selectivity is influenced by the nature of the catalyst, with an integration consisting of (VO)(2)P2O7 (V4+) and VOPO4 (V5+) being optimal for high rate of conversion. A 39 % conversion rate and 89 % maleic anhydride selectivity were achieved under optimum reaction conditions.</t>
  </si>
  <si>
    <t>[Palanychamy, Prakas; Issabayeva, Gulnaziya] Univ Tunku Abdul Rahman, Dept Chem Engn, Sungai Long Campus Jalan Sungai Long, Kajang 43000, Selangor, Malaysia; [Kong, Leong Loong] Excelube Mkt Sdn Bhd, IOI Blvd,Jalan Kenari 5, Puchong 47170, Selangor, Malaysia</t>
  </si>
  <si>
    <t>Universiti Tunku Abdul Rahman (UTAR)</t>
  </si>
  <si>
    <t>Palanychamy, P (corresponding author), Univ Tunku Abdul Rahman, Dept Chem Engn, Sungai Long Campus Jalan Sungai Long, Kajang 43000, Selangor, Malaysia.</t>
  </si>
  <si>
    <t>prakassp@utar.edu.my</t>
  </si>
  <si>
    <t>Issabayeva, Gulnaziya/0000-0002-9845-4005</t>
  </si>
  <si>
    <t>0930-7516</t>
  </si>
  <si>
    <t>1521-4125</t>
  </si>
  <si>
    <t>CHEM ENG TECHNOL</t>
  </si>
  <si>
    <t>Chem. Eng. Technol.</t>
  </si>
  <si>
    <t>10.1002/ceat.202300038</t>
  </si>
  <si>
    <t>O0AP2</t>
  </si>
  <si>
    <t>WOS:001040536000001</t>
  </si>
  <si>
    <t>Robles, NR; Garcia-Lopez, V; Garcia-Martinez, V</t>
  </si>
  <si>
    <t>Robles, Nicolas R.; Garcia-Lopez, Virginio; Garcia-Martinez, Virginio</t>
  </si>
  <si>
    <t>Editorial for Significance of Arterial Spin Labeling for Reducing Biopsies in Patients With Kidney Allograft Dysfunction</t>
  </si>
  <si>
    <t>TRANSPLANTATION; NEPHROPATHY; PERFUSION; DISEASE</t>
  </si>
  <si>
    <t>[Robles, Nicolas R.] Univ Extremadura, Badajoz Univ Hosp, Serv Nephrol, Badajoz, Spain; [Garcia-Lopez, Virginio] Univ Extremadura, Fac Med &amp; Hlth Sci, Dept Med &amp; Surg Therapeut, Pharmacol Area, Badajoz, Spain; [Garcia-Martinez, Virginio] Univ Extremadura, Inst Mol Pathol Biomarkers, Fac Med &amp; Hlth Sci, Dept Human Anat &amp; Embryol, Badajoz, Spain</t>
  </si>
  <si>
    <t>Universidad de Extremadura; Universidad de Extremadura; Universidad de Extremadura</t>
  </si>
  <si>
    <t>Garcia-Martinez, V (corresponding author), Univ Extremadura, Inst Mol Pathol Biomarkers, Fac Med &amp; Hlth Sci, Dept Human Anat &amp; Embryol, Badajoz, Spain.</t>
  </si>
  <si>
    <t>virginio@unex.es</t>
  </si>
  <si>
    <t>Robles, Nicolas Roberto/I-4421-2019</t>
  </si>
  <si>
    <t>Robles, Nicolas Roberto/0000-0003-4984-6691</t>
  </si>
  <si>
    <t>10.1002/jmri.28930</t>
  </si>
  <si>
    <t>O3KD9</t>
  </si>
  <si>
    <t>WOS:001042831400001</t>
  </si>
  <si>
    <t>Röhrig, L; Rosenzopf, H; Woehrstein, S; Karnath, HO</t>
  </si>
  <si>
    <t>Roehrig, Lisa; Rosenzopf, Hannah; Woehrstein, Sofia; Karnath, Hans-Otto</t>
  </si>
  <si>
    <t>The need for hemispheric separation in pairwise structural disconnection studies</t>
  </si>
  <si>
    <t>HUMAN BRAIN MAPPING</t>
  </si>
  <si>
    <t>connection-wise; disconnectivity; disconnectome; partial injury problem; region-to-region; simulation; white matter</t>
  </si>
  <si>
    <t>CONNECTOME; ATLAS</t>
  </si>
  <si>
    <t>The development of new approaches indirectly measuring the structural disconnectome has recently led to an increase in studies investigating pairwise structural disconnections following brain damage. Previous studies jointly analyzed patients with left hemispheric and patients with right hemispheric lesions when investigating a behavior of interest. An alternative approach would be to perform analyses separated by hemisphere, which has been applied in only a minority of studies to date. The present simulation study investigated whether joint or separate analyses (or both equally) are appropriate to reveal the ground truth disconnections. In fact, both approaches resulted in very different patterns of disconnection. In contrast to analyses separated by hemisphere, joint analyses introduced a bias to the disadvantage of intra-hemispheric disconnections. Intra-hemispheric disconnections were statistically underpowered in the joint analysis and thus surpassed the significance threshold with more difficulty compared to inter-hemispheric disconnections. This statistical imbalance was also shown by a greater number of significant inter-hemispheric than significant intra-hemispheric disconnections. This bias from joint analyses is based on mechanisms similar to those underlying the partial injury problem. We therefore conclude that pairwise structural disconnections in patients with unilateral left hemispheric and with unilateral right hemispheric lesions exhibiting a specific behavior (or disorder) of interest should be studied separately by hemisphere rather than in a joint analysis.</t>
  </si>
  <si>
    <t>[Roehrig, Lisa; Rosenzopf, Hannah; Woehrstein, Sofia; Karnath, Hans-Otto] Univ Tubingen, Hertie Inst Clin Brain Res, Ctr Neurol, Div Neuropsychol, Tubingen, Germany; [Karnath, Hans-Otto] Univ South Carolina, Dept Psychol, Columbia, SC USA; [Karnath, Hans-Otto] Univ Tubingen, Ctr Neurol, Hoppe Seyler Str 3, D-72076 Tubingen, Germany</t>
  </si>
  <si>
    <t>Eberhard Karls University of Tubingen; Eberhard Karls University Hospital; University of South Carolina System; University of South Carolina Columbia; Eberhard Karls University of Tubingen</t>
  </si>
  <si>
    <t>Karnath, HO (corresponding author), Univ Tubingen, Ctr Neurol, Hoppe Seyler Str 3, D-72076 Tubingen, Germany.</t>
  </si>
  <si>
    <t>karnath@uni-tuebingen.de</t>
  </si>
  <si>
    <t>Rosenzopf, Hannah/0000-0001-7786-6513; Rohrig, Lisa/0000-0002-7013-9919</t>
  </si>
  <si>
    <t>Deutsche Forschungsgemeinschaft [KA 1258/23-1]</t>
  </si>
  <si>
    <t>Deutsche Forschungsgemeinschaft, Grant/Award Number: KA 1258/23-1</t>
  </si>
  <si>
    <t>1065-9471</t>
  </si>
  <si>
    <t>1097-0193</t>
  </si>
  <si>
    <t>HUM BRAIN MAPP</t>
  </si>
  <si>
    <t>Hum. Brain Mapp.</t>
  </si>
  <si>
    <t>10.1002/hbm.26445</t>
  </si>
  <si>
    <t>Neurosciences; Neuroimaging; Radiology, Nuclear Medicine &amp; Medical Imaging</t>
  </si>
  <si>
    <t>Neurosciences &amp; Neurology; Radiology, Nuclear Medicine &amp; Medical Imaging</t>
  </si>
  <si>
    <t>S8YG0</t>
  </si>
  <si>
    <t>WOS:001042191100001</t>
  </si>
  <si>
    <t>Siravo, E</t>
  </si>
  <si>
    <t>Siravo, Emanuele</t>
  </si>
  <si>
    <t>Editorial for Detection of Neuroinflammation Induced by Typhoid Vaccine Using Quantitative Magnetization Transfer MR: A Randomized Crossover Study</t>
  </si>
  <si>
    <t>IMMUNE ACTIVATION; DEPRESSION</t>
  </si>
  <si>
    <t>[Siravo, Emanuele] ASReM PO F Veneziale, Imaging Dept, Isernia, Italy</t>
  </si>
  <si>
    <t>Siravo, E (corresponding author), ASReM PO F Veneziale, Imaging Dept, Isernia, Italy.</t>
  </si>
  <si>
    <t>emanuele.siravo@asrem.org</t>
  </si>
  <si>
    <t>Siravo, Emanuele/AAX-9833-2020</t>
  </si>
  <si>
    <t>Siravo, Emanuele/0000-0001-7650-473X</t>
  </si>
  <si>
    <t>10.1002/jmri.28936</t>
  </si>
  <si>
    <t>O3KM0</t>
  </si>
  <si>
    <t>WOS:001042839500001</t>
  </si>
  <si>
    <t>Song, HW; Lu, J; Wang, XT; Li, LC</t>
  </si>
  <si>
    <t>Song, Hongwei; Lu, Jiao; Wang, Xiaotong; Li, Licun</t>
  </si>
  <si>
    <t>Synthesis, structure, magnetic properties of one-dimensional Cu-Ln chains linked by a nitronyl nitroxide radical with two pyridyl groups</t>
  </si>
  <si>
    <t>Nitronyl nitroxide radical; 4f-3d heterometallic compounds; Ferromagnetic interactions; One-dimensional chain</t>
  </si>
  <si>
    <t>Two new Cu-Ln 1D coordination chains with formula [Ln(hfac)(3)Cu(hfac)(2) (NIT-3Py-5-3Py)(H2O)](n) (Ln(III)=Gd 1, Dy 2; hfac=hexafluoroacetylacetonate, NIT-3Py-5-3Py=2-(5-(3-pyridyl)-3-pyridyl)-4,4,5,5-tetramethylimidazoline-1-oxyl-3-oxide) were successfully constructed by means of a new nitronyl nitroxide radical ligand containing two pyridine groups. In these two complexes, the radical ligand binds two Cu-II ions through its two pyridine groups to produce 1D chain while the aminoxyl moiety of the radical is bound to a Ln (III) ion. Direct-current magnetic susceptibility investigations indicate that ferromagnetic exchanges are dominant and magnetic susceptibility data of Gd derivative are analyzed using a magnetic model, indicating that Cu-NO coupling through pyridine group and Gd-NO direct exchange are ferromagnetic interactions. There is no magnetic relaxation behavior for Dy analogue.</t>
  </si>
  <si>
    <t>[Song, Hongwei; Lu, Jiao; Wang, Xiaotong; Li, Licun] Nankai Univ, Coll Chem, Dept Chem, Key Lab Adv Energy Mat Chem, Tianjin 300071, Peoples R China</t>
  </si>
  <si>
    <t>Nankai University</t>
  </si>
  <si>
    <t>Li, LC (corresponding author), Nankai Univ, Coll Chem, Dept Chem, Key Lab Adv Energy Mat Chem, Tianjin 300071, Peoples R China.</t>
  </si>
  <si>
    <t>llicun@nankai.edu.cn</t>
  </si>
  <si>
    <t>li, licun/0000-0001-8380-2946</t>
  </si>
  <si>
    <t>National Natural Science Foundation of China [21773122]</t>
  </si>
  <si>
    <t>Acknowledgments The National Natural Science Foundation of China (No. 21773122).</t>
  </si>
  <si>
    <t>10.1002/zaac.202300090</t>
  </si>
  <si>
    <t>O0AM6</t>
  </si>
  <si>
    <t>WOS:001040533400001</t>
  </si>
  <si>
    <t>Tomecek, J; Liddle, ST; Kaltsoyannis, N</t>
  </si>
  <si>
    <t>Tomecek, Josef; Liddle, Stephen T. T.; Kaltsoyannis, Nikolas</t>
  </si>
  <si>
    <t>Actinide-Actinide Bonding: Electron Delocalisation and &amp; sigma;-Aromaticity in the Tri-Thorium Cluster [{Th(&amp; eta;(8)-C8H8)(&amp; mu;-Cl)(2)}(3)K-2]</t>
  </si>
  <si>
    <t>applied magnetic field; aromaticity; electron delocalisation; metal-metal bonding; thorium</t>
  </si>
  <si>
    <t>ZETA VALENCE QUALITY; BASIS-SETS; HARTREE-FOCK; ALL-METAL; DENSITY; APPROXIMATION; SEPARATION; ANISOTROPY; RING</t>
  </si>
  <si>
    <t>The tri-thorium cluster [{Th(&amp; eta;(8)-C8H8)(&amp; mu;(3)-Cl)(2)}(3){K(THF)(2)}(2)](&amp; INFIN;) (Nature 2021, 598, 72-75) was reported to feature intriguing &amp; sigma;-aromatic bonding between the thorium atoms, a mode of metal-metal bonding unique in the actinide series. However, the presence of this bonding motif has since been challenged by others. Here, we computationally explore electron delocalisation in a molecular cluster fragment of [{Th(&amp; eta;(8)-C8H8)(&amp; mu;(3)-Cl)(2)}(3){K(THF)(2)}(2)](&amp; INFIN;) and examine its responses to an applied magnetic field using a variety of methods. We also discuss the importance of the choice of basis set for the Th atoms and issues regarding locating QTAIM bond critical points. When taken together, the computed data consistently suggest the presence of delocalised Th-Th bonding and Th-3 &amp; sigma;-aromaticity.</t>
  </si>
  <si>
    <t>[Tomecek, Josef; Liddle, Stephen T. T.; Kaltsoyannis, Nikolas] Univ Manchester, Sch Nat Sci, Dept Chem, Oxford Rd, Manchester, England; [Tomecek, Josef; Liddle, Stephen T. T.; Kaltsoyannis, Nikolas] Univ Manchester, Ctr Radiochem Res, Sch Nat Sci, Oxford Rd, Manchester, England</t>
  </si>
  <si>
    <t>University of Manchester; University of Manchester</t>
  </si>
  <si>
    <t>Liddle, ST; Kaltsoyannis, N (corresponding author), Univ Manchester, Sch Nat Sci, Dept Chem, Oxford Rd, Manchester, England.;Liddle, ST; Kaltsoyannis, N (corresponding author), Univ Manchester, Ctr Radiochem Res, Sch Nat Sci, Oxford Rd, Manchester, England.</t>
  </si>
  <si>
    <t>steve.liddle@manchester.ac.uk; nikolas.kaltsoyannis@manchester.ac.uk</t>
  </si>
  <si>
    <t>Tomecek, Josef/0000-0001-9801-7393</t>
  </si>
  <si>
    <t>University of Manchester (UoM)</t>
  </si>
  <si>
    <t>We thank the University of Manchester (UoM) for a President's Doctoral Scholarship to JT. We are also grateful to the UoM for computing resources via its Computational Shared Facility and associated support services.</t>
  </si>
  <si>
    <t>10.1002/cphc.202300366</t>
  </si>
  <si>
    <t>O2RN8</t>
  </si>
  <si>
    <t>WOS:001042345000001</t>
  </si>
  <si>
    <t>Wu, T; Wang, QX; Liu, W; Zhang, J; Wang, WH; Wang, J; Ji, CH; Liu, HH; Tang, CY; Mi, X</t>
  </si>
  <si>
    <t>Wu, Tong; Wang, Qingxuan; Liu, Wei; Zhang, Jing; Wang, Wenhui; Wang, Jun; Ji, Cuihong; Liu, Honghui; Tang, Chunyan; Mi, Xin</t>
  </si>
  <si>
    <t>Clinical efficacy and risk factors for suction curettage and hysteroscopy in patients with type I and II cesarean scar pregnancy</t>
  </si>
  <si>
    <t>cesarean scar pregnancy; curettage; fertility; hysteroscopy; surgery</t>
  </si>
  <si>
    <t>MANAGEMENT; DIAGNOSIS</t>
  </si>
  <si>
    <t>ObjectiveTo investigate the clinical efficacy and evaluate risk factors for suction curettage (SC) and hysteroscopy in the treatment of type I and II cesarean scar pregnancy (CSP). MethodsThis was a retrospective study including 100 women diagnosed with type I/II CSP. Patients were treated with either ultrasound-guided SC (SC group) or hysteroscopy resection (surgery group). The success rates, mean operation time, hospitalization duration, hospitalization cost, risk factors, adverse events, and complications were analyzed. ResultsThe success rate of the SC and surgery groups were 85% and 100%, respectively, and the difference was statistically significant (P = 0.032). There was one case of type I CSP and eight cases of type II CSP that failed SC treatment. No failed cases were found in the surgery group. Analysis of the causes of treatment failure revealed that diameter of the gestational sac was a risk factor for SC failure (odds ratio, 19.66 [95% confidence interval {CI}, 1.70-227.72], P = 0.017). Comparing the clinical outcomes between the SC and surgery groups, although the mean operation time of the SC group was significantly shorter than the surgery group (15 [CI, 15-20] vs. 30 [CI, 27-40], P = 0.001), the cost and duration of hospitalization were significantly lower in the surgery group than that in the SC group. No significant differences were observed for adverse events and complications between the two groups (P &gt; 0.05). ConclusionHysteroscopy is an effective and economical method for treating type I/II CSP. Moreover, SC is not recommended for patients with type I/II CSP with a gestation age &amp; GE;8 weeks.</t>
  </si>
  <si>
    <t>[Wu, Tong; Wang, Qingxuan; Liu, Wei; Wang, Wenhui; Wang, Jun; Ji, Cuihong; Liu, Honghui; Tang, Chunyan; Mi, Xin] Beijing Childrens Hosp, Shunyi Maternal &amp; Childrens Hosp, Dept Gynecol, Beijing, Peoples R China; [Zhang, Jing] Beijing Childrens Hosp, Shunyi Maternal &amp; Childrens Hosp, Dept Ultrasonog, Beijing, Peoples R China; [Mi, Xin] Beijing Childrens Hosp, Shunyi Maternal &amp; Childrens Hosp, Dept Gynecol, 1 Shunkang Rd, Beijing 101300, Peoples R China</t>
  </si>
  <si>
    <t>Capital Medical University; Capital Medical University; Capital Medical University</t>
  </si>
  <si>
    <t>Mi, X (corresponding author), Beijing Childrens Hosp, Shunyi Maternal &amp; Childrens Hosp, Dept Gynecol, 1 Shunkang Rd, Beijing 101300, Peoples R China.</t>
  </si>
  <si>
    <t>qiqiu166@163.com</t>
  </si>
  <si>
    <t>10.1002/ijgo.15020</t>
  </si>
  <si>
    <t>N9JM0</t>
  </si>
  <si>
    <t>WOS:001040090500001</t>
  </si>
  <si>
    <t>Xia, YN; Sun, Y; Liu, ZH; Zhang, CJ; Zhang, XH</t>
  </si>
  <si>
    <t>Xia, Yanni; Sun, Yue; Liu, Ziheng; Zhang, Chengjian; Zhang, Xinghong</t>
  </si>
  <si>
    <t>Modular Alcohol Click Chemistry Enables Facile Synthesis of Recyclable Polymers with Tunable Structure</t>
  </si>
  <si>
    <t>Click Reaction; Plastics; Polymer Synthesis; Recyclable Polymers; Sustainable Polymers</t>
  </si>
  <si>
    <t>CARBONYL SULFIDE; COS</t>
  </si>
  <si>
    <t>The facile synthesis of chemically recyclable polymers derived from sustainable feedstocks presents enormous challenges. Here, we develop a novel, modular, and efficient click reaction for connecting primary, secondary, or tertiary alcohols with activated alkenes via a bridge molecule of carbonyl sulfide (COS). The click reaction is successfully applied to synthesize a series of recyclable polymers by the step polyaddition of diols, diacrylates, and COS. Diols and diacrylates are common chemicals and can be produced from biorenewable sources, and COS is released as the industrial waste. In addition to sustainable monomers, the approach is atom-economical, wide in scope, metal-free, and performed under mild conditions, affording unprecedented polymers with nearly quantitative yields. The produced polymers also possess predesigned and widely tunable structure owing to the versatility of our method and the broad variety of monomers. The in-chain thiocarbonate and ester polar groups can play as breakpoints, allowing these polymers to be easily recycled. Overall, the polymers have broad prospects for green materials given their facile synthesis, readily available feedstocks, desirable performance, and chemical recyclability.</t>
  </si>
  <si>
    <t>[Xia, Yanni; Sun, Yue; Liu, Ziheng; Zhang, Chengjian; Zhang, Xinghong] Zhejiang Univ, Natl Key Lab Biobased Transportat Fuel Technol, Int Res Ctr Polymers 10, Dept Polymer Sci &amp; Engn, Hangzhou 310027, Peoples R China</t>
  </si>
  <si>
    <t>Zhang, CJ; Zhang, XH (corresponding author), Zhejiang Univ, Natl Key Lab Biobased Transportat Fuel Technol, Int Res Ctr Polymers 10, Dept Polymer Sci &amp; Engn, Hangzhou 310027, Peoples R China.</t>
  </si>
  <si>
    <t>chengjian.zhang@zju.edu.cn; xhzhang@zju.edu.cn</t>
  </si>
  <si>
    <t>Liu, Ziheng/JED-6622-2023</t>
  </si>
  <si>
    <t>Xing-Hong, Zhang/0000-0001-6543-0042</t>
  </si>
  <si>
    <t>National Natural Science Foundation of China [52203129, 51973190]; Zhejiang Provincial Department of Science and Technology [2020R52006]</t>
  </si>
  <si>
    <t>National Natural Science Foundation of China(National Natural Science Foundation of China (NSFC)); Zhejiang Provincial Department of Science and Technology</t>
  </si>
  <si>
    <t>Acknowledgments We acknowledge the financial support of the National Natural Science Foundation of China (no. 52203129, 51973190) and Zhejiang Provincial Department of Science and Technology (2020R52006).</t>
  </si>
  <si>
    <t>e202306731</t>
  </si>
  <si>
    <t>10.1002/anie.202306731</t>
  </si>
  <si>
    <t>O0AX8</t>
  </si>
  <si>
    <t>WOS:001040544600001</t>
  </si>
  <si>
    <t>Yu, SH; Wu, JW; Bian, QH; Wang, M; Zhong, JC</t>
  </si>
  <si>
    <t>Yu, Shihang; Wu, Jianwei; Bian, Qinghua; Wang, Min; Zhong, Jiangchun</t>
  </si>
  <si>
    <t>Asymmetric Synthesis of the Contact Sex Pheromone of the Emerald Ash Borer, Agrilus planipennis Fairmaire</t>
  </si>
  <si>
    <t>Agrilus planipennis Fairmaire; asymmetric synthesis; chiral propylene oxide; contact pheromone</t>
  </si>
  <si>
    <t>COLEOPTERA BUPRESTIDAE; BIOLOGICAL-CONTROL</t>
  </si>
  <si>
    <t>Agrilus planipennis Fairmaire is a wood-boring pest of ash trees. The contact sex pheromone of this pest was synthesized from chiral propylene oxide. This asymmetric synthesis was efficient and mainly involved the ring-opening reaction of chiral propylene oxide, the stereospecific inversion of secondary tosylate and Wittig coupling of chiral aldehyde.</t>
  </si>
  <si>
    <t>[Yu, Shihang; Wu, Jianwei; Bian, Qinghua; Wang, Min; Zhong, Jiangchun] China Agr Univ, Dept Appl Chem, 2 West Yuanmingyuan Rd, Beijing 100193, Peoples R China</t>
  </si>
  <si>
    <t>China Agricultural University</t>
  </si>
  <si>
    <t>Zhong, JC (corresponding author), China Agr Univ, Dept Appl Chem, 2 West Yuanmingyuan Rd, Beijing 100193, Peoples R China.</t>
  </si>
  <si>
    <t>zhong@cau.edu.cn</t>
  </si>
  <si>
    <t>National Key Technology Research and Development Program of China [2017YFD0201404]</t>
  </si>
  <si>
    <t>National Key Technology Research and Development Program of China(National Key Technology R&amp;D ProgramNational High Technology Research and Development Program of China)</t>
  </si>
  <si>
    <t>Acknowledgments We thank the National Key Technology Research and Development Program of China (No. 2017YFD0201404) for financial support.</t>
  </si>
  <si>
    <t>e202302084</t>
  </si>
  <si>
    <t>10.1002/slct.202302084</t>
  </si>
  <si>
    <t>N8QU5</t>
  </si>
  <si>
    <t>WOS:001039602900001</t>
  </si>
  <si>
    <t>Zhang, NY; Hou, DY; Hu, XJ; Liang, JX; Wang, MD; Song, ZZ; Yi, L; Wang, ZJ; An, HW; Xu, WH; Wang, H</t>
  </si>
  <si>
    <t>Zhang, Ni-Yuan; Hou, Da-Yong; Hu, Xing-Jie; Liang, Jian-Xiao; Wang, Man-Di; Song, Zhang-Zhi; Yi, Li; Wang, Zhi-Jia; An, Hong-Wei; Xu, Wanhai; Wang, Hao</t>
  </si>
  <si>
    <t>Nano Proteolysis Targeting Chimeras (PROTACs) with Anti-Hook Effect for Tumor Therapy</t>
  </si>
  <si>
    <t>Nanomedicine; PROTACs; Peptide; Self-Assembly; Tumor</t>
  </si>
  <si>
    <t>FACTOR RECEPTOR EGFR; PROTEIN-DEGRADATION; GLUTATHIONE; MECHANISMS; RESISTANCE; BINDING</t>
  </si>
  <si>
    <t>Proteolysis targeting chimera (PROTAC) is an emerging pharmacological modality with innovated post-translational protein degradation capabilities. However, off-target induced unintended tissue effects and intrinsic hook effect hinder PROTAC biotechnology to be maturely developed. Herein, an intracellular fabricated nano proteolysis targeting chimeras (Nano-PROTACs) modality with a center-spoke degradation network for achieving efficient dose-dependent protein degradation in tumor is reported. The PROTAC precursors are triggered by higher GSH concentrations inside tumor cells, which subsequently in situ self-assemble into Nano-PROTACs through intermolecular hydrogen bond interactions. The fibrous Nano-PROTACs can form effective polynary complexes and E3 ligases degradation network with multi-binding sites, achieving dose-dependent protein degradation with anti-hook effect. The generality and efficacy of Nano-PROTACs are validated by degrading variable protein of interest (POI) such as epidermal growth factor receptor (EGFR) and androgen receptor (AR) in a wide-range dose-dependent manner with a 95 % degradation rate and long-lasting potency up to 72 h in vitro. Significantly, Nano-PROTACs achieve in vivo dose-dependent protein degradation up to 79 % and tumor growth inhibition in A549 and LNCap xenograft mice models, respectively. Taking advantages of in situ self-assembly strategy, the Nano-PROTACs provide a generalizable platform to promote precise clinical translational application of PROTAC.</t>
  </si>
  <si>
    <t>[Zhang, Ni-Yuan; Hou, Da-Yong; Hu, Xing-Jie; Liang, Jian-Xiao; Wang, Man-Di; Song, Zhang-Zhi; Yi, Li; Wang, Zhi-Jia; An, Hong-Wei; Wang, Hao] Natl Ctr Nanosci &amp; Technol NCNST, CAS Ctr Excellence Nanosci, CAS Key Lab Biomed Effects Nanomat &amp; Nanosafety, Beijing 100190, Peoples R China; [Zhang, Ni-Yuan; Liang, Jian-Xiao; Wang, Man-Di; Yi, Li; An, Hong-Wei; Wang, Hao] Univ Chinese Acad Sci, Ctr Mat Sci &amp; Optoelect Engn, Beijing 100049, Peoples R China; [Hou, Da-Yong; Wang, Zhi-Jia; Xu, Wanhai] Harbin Med Univ, Dept Urol, Heilongjiang Key Lab Sci Res Urol, Canc Hosp, Harbin 150001, Peoples R China; [Hou, Da-Yong; Wang, Zhi-Jia; Xu, Wanhai] Harbin Med Univ, NHC Key Lab Mol Probes &amp; Targeted Diag &amp; Therapy, Harbin 150001, Peoples R China; [Hu, Xing-Jie; Wang, Hao] Zhengzhou Univ, Henan Inst Adv Technol, Zhengzhou 450052, Peoples R China</t>
  </si>
  <si>
    <t>Chinese Academy of Sciences; National Center for Nanoscience &amp; Technology - China; Chinese Academy of Sciences; University of Chinese Academy of Sciences, CAS; Harbin Medical University; Harbin Medical University; Zhengzhou University</t>
  </si>
  <si>
    <t>An, HW; Wang, H (corresponding author), Natl Ctr Nanosci &amp; Technol NCNST, CAS Ctr Excellence Nanosci, CAS Key Lab Biomed Effects Nanomat &amp; Nanosafety, Beijing 100190, Peoples R China.;An, HW; Wang, H (corresponding author), Univ Chinese Acad Sci, Ctr Mat Sci &amp; Optoelect Engn, Beijing 100049, Peoples R China.;Xu, WH (corresponding author), Harbin Med Univ, Dept Urol, Heilongjiang Key Lab Sci Res Urol, Canc Hosp, Harbin 150001, Peoples R China.;Xu, WH (corresponding author), Harbin Med Univ, NHC Key Lab Mol Probes &amp; Targeted Diag &amp; Therapy, Harbin 150001, Peoples R China.;Wang, H (corresponding author), Zhengzhou Univ, Henan Inst Adv Technol, Zhengzhou 450052, Peoples R China.</t>
  </si>
  <si>
    <t>anhw@nanoctr.cn; xuwanhai@hrbmu.edu.cn; wanghao@nanoctr.cn</t>
  </si>
  <si>
    <t>National Key Ramp;D Program of China [2022YFA1205701]; National Natural Science Foundation of China [52273126, 51725302, 52003270]; Regional Key Project of National Natural Science Foundation of China [U20A20385]</t>
  </si>
  <si>
    <t>National Key Ramp;D Program of China; National Natural Science Foundation of China(National Natural Science Foundation of China (NSFC)); Regional Key Project of National Natural Science Foundation of China(National Natural Science Foundation of China (NSFC))</t>
  </si>
  <si>
    <t>Acknowledgments This work was supported by the National Key R &amp; D Program of China (2022YFA1205701), the National Natural Science Foundation of China (52273126, 51725302, 52003270), and the Regional Key Project of National Natural Science Foundation of China (U20A20385).</t>
  </si>
  <si>
    <t>10.1002/anie.202308049</t>
  </si>
  <si>
    <t>O0BB2</t>
  </si>
  <si>
    <t>WOS:001040548000001</t>
  </si>
  <si>
    <t>Betts, LA</t>
  </si>
  <si>
    <t>Betts, Luke Alexander</t>
  </si>
  <si>
    <t>Local constancy of pro-unipotent Kummer maps</t>
  </si>
  <si>
    <t>PROCEEDINGS OF THE LONDON MATHEMATICAL SOCIETY</t>
  </si>
  <si>
    <t>FUNDAMENTAL-GROUPS; GOOD REDUCTION; COHOMOLOGY; VARIETIES; THEOREM</t>
  </si>
  <si>
    <t>It is a theorem of Kim-Tamagawa that the Ql${\mathbb {Q}}_\ell$-pro-unipotent Kummer map associated to a smooth projective curve Y$Y$ over a finite extension of Qp${\mathbb {Q}}_p$ is locally constant when l &amp; NOTEQUAL;p$\ell \ne p$. This paper establishes two generalisations of this result. First, we extend the Kim-Tamagawa theorem to the case that Y$Y$ is a smooth variety of any dimension. Second, we formulate and prove the analogue of the Kim-Tamagawa theorem in the case l=p$\ell =p$, again in arbitrary dimension. In the course of proving the latter, we give a proof of an etale-de Rham comparison theorem for pro-unipotent fundamental groupoids using methods of Scholze and Diao-Lan-Liu-Zhu. This extends the comparison theorem proved by Vologodsky for certain truncations of the fundamental groupoids.</t>
  </si>
  <si>
    <t>[Betts, Luke Alexander] Harvard Univ, Dept Math, Cambridge, MA USA; [Betts, Luke Alexander] Harvard Univ, Dept Math, 1 Oxford St, Cambridge, MA 02138 USA</t>
  </si>
  <si>
    <t>Harvard University; Harvard University</t>
  </si>
  <si>
    <t>Betts, LA (corresponding author), Harvard Univ, Dept Math, 1 Oxford St, Cambridge, MA 02138 USA.</t>
  </si>
  <si>
    <t>abetts@math.harvard.edu</t>
  </si>
  <si>
    <t>Simons Collaboration on Arithmetic Geometry, Number Theory and Computation [550031]</t>
  </si>
  <si>
    <t>Simons Collaboration on Arithmetic Geometry, Number Theory and Computation</t>
  </si>
  <si>
    <t>Simons Collaboration on Arithmetic Geometry, Number Theory and Computation, Grant/Award Number: 550031</t>
  </si>
  <si>
    <t>0024-6115</t>
  </si>
  <si>
    <t>1460-244X</t>
  </si>
  <si>
    <t>P LOND MATH SOC</t>
  </si>
  <si>
    <t>Proc. London Math. Soc.</t>
  </si>
  <si>
    <t>10.1112/plms.12554</t>
  </si>
  <si>
    <t>Q9JM4</t>
  </si>
  <si>
    <t>WOS:001041688000001</t>
  </si>
  <si>
    <t>Breakey, VR; Sutradhar, R; Nathan, PC; Patel, S; Wheaton, L; Li, Q; Bassal, M; Gibson, P; Pole, JD; Athale, U; Gupta, S</t>
  </si>
  <si>
    <t>Breakey, Vicky R.; Sutradhar, Rinku; Nathan, Paul C.; Patel, Serina; Wheaton, Laura; Li, Qing; Bassal, Mylene; Gibson, Paul; Pole, Jason D.; Athale, Uma; Gupta, Sumit</t>
  </si>
  <si>
    <t>Rates and predictors of visits to primary care physicians during and after treatment of childhood acute lymphoblastic leukemia: A population-based cohort study</t>
  </si>
  <si>
    <t>acute lymphoblastic leukemia; child; population based; primary care physician; survivorship</t>
  </si>
  <si>
    <t>CANCER; CHILDREN</t>
  </si>
  <si>
    <t>IntroductionPatient re-engagement with primary care physicians (PCPs) after cancer treatment is essential to facilitate survivorship care and to meet non-oncology primary care needs. We identified rates and predictors of PCP visits both during and after treatment among a population-based cohort of children with acute lymphoblastic leukemia (ALL). MethodsChildren of age less than 18 years at ALL diagnosis in Ontario between 2002 and 2012 were linked to administrative data and matched to controls without cancer. PCPs at diagnosis were identified and PCP visit rates during treatment compared between patients and controls. Post-treatment PCP visit rates were also calculated. Predictors included demographic-, disease-, and PCP-related variables. ResultsA total of 743/793 (94%) patients and 3112/3947 (79%) controls had a PCP at diagnosis. Almost half of patients (361/743, 45%) did not visit their PCP during treatment. Visit rate during treatment was 0.64 per person per year (PPPY) versus 1.4 PPPY among controls (adjusted rate ratio [aRR] 0.47, 95th confidence interval [95CI]: 0.40-0.54; p &lt; .0001). No disease- or PCP-related factors were associated with visit rates. Total 711 patients completed frontline therapy; 287 (40.4%) did not have a PCP visit after treatment. Nonetheless, survivors overall visited PCPs post treatment more often than controls (aRR 1.4, 95CI: 1.2-1.6; p &lt; .0001). Survivors who saw their PCP during treatment had post-treatment visit rates twice that of other survivors (aRR 2.0, 95CI: 1.6-2.5; p &lt; .0001). ConclusionsOnly a portion of children with ALL see their PCPs during treatment and return to PCP care following treatment completion. Post-treatment engagement with PCPs may be improved by PCP involvement during ALL treatment.</t>
  </si>
  <si>
    <t>[Breakey, Vicky R.; Gibson, Paul; Athale, Uma] McMaster Childrens Hosp, Hamilton, ON, Canada; [Sutradhar, Rinku; Nathan, Paul C.; Li, Qing; Pole, Jason D.; Gupta, Sumit] ICES, Canc Res Program, Toronto, ON, Canada; [Sutradhar, Rinku; Nathan, Paul C.; Gupta, Sumit] Univ Toronto, Inst Hlth Policy Evaluat &amp; Management, Toronto, ON, Canada; [Sutradhar, Rinku; Pole, Jason D.] Univ Toronto, Dalla Lana Sch Publ Hlth, Toronto, ON, Canada; [Nathan, Paul C.] Hosp Sick Children, Div Haematol Oncol, Toronto, ON, Canada; [Nathan, Paul C.; Gupta, Sumit] Univ Toronto, Fac Med, Toronto, ON, Canada; [Patel, Serina] London Hlth Sci Ctr, London, ON, Canada; [Wheaton, Laura; Gupta, Sumit] Kingston Gen Hosp, Kingston, ON, Canada; [Bassal, Mylene] Childrens Hosp Eastern Ontario, Div Pediat Hematol Oncol, Ottawa, ON, Canada; [Pole, Jason D.] Univ Queensland, Ctr Hlth Serv Res, Brisbane, Qld, Australia; [Gupta, Sumit] Hosp Sick Children, 555 Univ Ave, Toronto, ON M5G1X8, Canada</t>
  </si>
  <si>
    <t>McMaster University; University of Toronto; University of Toronto; University of Toronto; University of Toronto; Hospital for Sick Children (SickKids); University of Toronto; London Health Sciences Centre; Queens University - Canada; University of Ottawa; Children's Hospital of Eastern Ontario; University of Queensland; University of Toronto; Hospital for Sick Children (SickKids)</t>
  </si>
  <si>
    <t>Gupta, S (corresponding author), Hosp Sick Children, 555 Univ Ave, Toronto, ON M5G1X8, Canada.</t>
  </si>
  <si>
    <t>sumit.gupta@sickkids.ca</t>
  </si>
  <si>
    <t>Pole, Jason D./AAD-9148-2020</t>
  </si>
  <si>
    <t>Pole, Jason D./0000-0002-0413-5434; Nathan, Paul/0000-0003-0334-0871; Wheaton, Laura/0000-0002-3447-0743; Gibson, Paul/0000-0002-6422-8181</t>
  </si>
  <si>
    <t>C17 Research Network; ICES (Institute for Clinical Evaluative Sciences) - Ontario Ministry of Health; Pediatric Oncology Group of Ontario's Networked Information System; MOHLTC; Canadian Institutes of Health Information; Cancer Care Ontario - Ontario Health</t>
  </si>
  <si>
    <t>C17 Research Network; ICES (Institute for Clinical Evaluative Sciences) - Ontario Ministry of Health; Pediatric Oncology Group of Ontario's Networked Information System; MOHLTC(Ministry of Health and Long-Term Care, Ontario); Canadian Institutes of Health Information(Canadian Institutes of Health Research (CIHR)); Cancer Care Ontario - Ontario Health</t>
  </si>
  <si>
    <t>This work was supported by the C17 Research Network (SG, NM). This study was also supported by ICES (Institute for Clinical Evaluative Sciences), which is funded by an annual grant from the Ontario Ministry of Health and Long-Term Care (MOHLTC), as well as by the Pediatric Oncology Group of Ontario's Networked Information System, which is also supported by the MOHLTC. The opinions, results, and conclusions reported in this paper are those of the authors, and are independent from these funding sources. Parts of this material are based on data and information compiled and provided by the Canadian Institutes of Health Information (CIHI) and Cancer Care Ontario - Ontario Health (CCO-OH). However, the analyses, conclusions, opinions, and statements expressed herein are those of the authors, and not necessarily those of CIHI or CCO-OH; no endorsement is intended or should be inferred.</t>
  </si>
  <si>
    <t>2023 AUG 3</t>
  </si>
  <si>
    <t>10.1002/pbc.30610</t>
  </si>
  <si>
    <t>O1SX5</t>
  </si>
  <si>
    <t>WOS:001041699300001</t>
  </si>
  <si>
    <t>Dellisanti, R; Winchester, S</t>
  </si>
  <si>
    <t>Dellisanti, Roberto; Winchester, Simon</t>
  </si>
  <si>
    <t>Land: How the hunger for ownership shaped the modern world</t>
  </si>
  <si>
    <t>PAPERS IN REGIONAL SCIENCE</t>
  </si>
  <si>
    <t>[Dellisanti, Roberto] Politecn Milan, ABC Dept, Milan, Italy</t>
  </si>
  <si>
    <t>Polytechnic University of Milan</t>
  </si>
  <si>
    <t>Dellisanti, R (corresponding author), Politecn Milan, ABC Dept, Milan, Italy.</t>
  </si>
  <si>
    <t>roberto.dellisanti@polimi.it</t>
  </si>
  <si>
    <t>Dellisanti, Roberto/GQZ-8232-2022</t>
  </si>
  <si>
    <t>Dellisanti, Roberto/0000-0002-1362-5603</t>
  </si>
  <si>
    <t>1056-8190</t>
  </si>
  <si>
    <t>1435-5957</t>
  </si>
  <si>
    <t>PAP REG SCI</t>
  </si>
  <si>
    <t>Pap. Reg. Sci.</t>
  </si>
  <si>
    <t>10.1111/pirs.12753</t>
  </si>
  <si>
    <t>Economics; Environmental Studies; Geography; Regional &amp; Urban Planning</t>
  </si>
  <si>
    <t>Business &amp; Economics; Environmental Sciences &amp; Ecology; Geography; Public Administration</t>
  </si>
  <si>
    <t>O2OI1</t>
  </si>
  <si>
    <t>WOS:001042260500001</t>
  </si>
  <si>
    <t>Hiranuma, K; Asami, Y; Kato, MK; Murakami, N; Shimada, Y; Matsuda, M; Yazaki, S; Fujii, E; Sudo, K; Kuno, I; Komatsu, M; Hamamoto, R; Makinoshima, H; Matsumoto, K; Ishikawa, M; Kohno, T; Terao, Y; Itakura, A; Yoshida, H; Shiraishi, K; Kato, T</t>
  </si>
  <si>
    <t>Hiranuma, Kengo; Asami, Yuka; Kato, Mayumi Kobayashi; Murakami, Naoya; Shimada, Yoko; Matsuda, Maiko; Yazaki, Shu; Fujii, Erisa; Sudo, Kazuki; Kuno, Ikumi; Komatsu, Masaaki; Hamamoto, Ryuji; Makinoshima, Hideki; Matsumoto, Koji; Ishikawa, Mitsuya; Kohno, Takashi; Terao, Yasuhisa; Itakura, Atsuo; Yoshida, Hiroshi; Shiraishi, Kouya; Kato, Tomoyasu</t>
  </si>
  <si>
    <t>Rare FGFR fusion genes in cervical cancer and transcriptome-based subgrouping of patients with a poor prognosis</t>
  </si>
  <si>
    <t>cervical cancer; fibroblast growth factor receptor 3; gene fusion; human papillomavirus; macrophage</t>
  </si>
  <si>
    <t>GROWTH-FACTOR RECEPTORS; LANDSCAPE; CARCINOMA; SURVIVAL</t>
  </si>
  <si>
    <t>BackgroundAlthough cervical cancer is often characterized as preventable, its incidence continues to increase in low- and middle-income countries, underscoring the need to develop novel therapeutics for this disease.This study assessed the distribution of fusion genes across cancer types and used an RNA-based classification to divide cervical cancer patients with a poor prognosis into subgroups. Material and MethodsRNA sequencing of 116 patients with cervical cancer was conducted. Fusion genes were extracted using StarFusion program. To identify a high-risk group for recurrence, 65 patients who received postoperative adjuvant therapy were subjected to non-negative matrix factorization to identify differentially expressed genes between recurrent and nonrecurrent groups. ResultsWe identified three cases with FGFR3-TACC3 and one with GOPC-ROS1 fusion genes as potential targets. A search of publicly available data from cBioPortal (21,789 cases) and the Center for Cancer Genomics and Advanced Therapeutics (32,608 cases) showed that the FGFR3 fusion is present in 1.5% and 0.6% of patients with cervical cancer, respectively. The frequency of the FGFR3 fusion gene was higher in cervical cancer than in other cancers, regardless of ethnicity. Non-negative matrix factorization identified that the patients were classified into four Basis groups. Pathway enrichment analysis identified more extracellular matrix kinetics dysregulation in Basis 3 and more immune system dysregulation in Basis 4 than in the good prognosis group. CIBERSORT analysis showed that the fraction of M1 macrophages was lower in the poor prognosis group than in the good prognosis group. ConclusionsThe distribution of FGFR fusion genes in patients with cervical cancer was determined by RNA-based analysis and used to classify patients into clinically relevant subgroups.</t>
  </si>
  <si>
    <t>[Hiranuma, Kengo; Asami, Yuka; Kato, Mayumi Kobayashi; Shimada, Yoko; Matsuda, Maiko; Yazaki, Shu; Fujii, Erisa; Kohno, Takashi; Shiraishi, Kouya] Natl Canc Ctr, Div Genome Biol, Tokyo, Japan; [Hiranuma, Kengo; Terao, Yasuhisa; Itakura, Atsuo] Juntendo Univ, Dept Obstet &amp; Gynecol, Fac Med, Tokyo, Japan; [Asami, Yuka; Matsumoto, Koji] Showa Univ, Dept Obstet &amp; Gynecol, Sch Med, Tokyo, Japan; [Kato, Mayumi Kobayashi; Fujii, Erisa; Kuno, Ikumi; Kato, Tomoyasu] Natl Canc Ctr, Dept Gynecol, Tokyo, Japan; [Murakami, Naoya] Natl Canc Ctr, Dept Radiat Oncol, Tokyo, Japan; [Yazaki, Shu; Sudo, Kazuki] Natl Canc Ctr, Dept Med Oncol, Tokyo, Japan; [Komatsu, Masaaki; Hamamoto, Ryuji] Natl Canc Ctr, Div Med AI Res &amp; Dev, Tokyo, Japan; [Komatsu, Masaaki; Hamamoto, Ryuji] RIKEN Ctr Adv Intelligence Project, Canc Translat Res Team, Tokyo, Japan; [Makinoshima, Hideki] Natl Canc Ctr, Tsuruoka Metabol Lab, Tsuruoka, Japan; [Yoshida, Hiroshi] Natl Canc Ctr, Dept Diagnost Pathol, Tokyo, Japan; [Shiraishi, Kouya] Natl Canc Ctr, Dept Clin Genom, Tokyo, Japan; [Shiraishi, Kouya] Natl Canc Ctr, Div Genome Biol, 5-1-1 Tsukiji,Chuo Ku, Tokyo 1040045, Japan; [Kato, Tomoyasu] Natl Canc Ctr, Dept Gynecol, Tsukiji 5-1-1,Chuo Ku, Tokyo 1040045, Japan</t>
  </si>
  <si>
    <t>National Cancer Center - Japan; Juntendo University; Showa University; National Cancer Center - Japan; National Cancer Center - Japan; National Cancer Center - Japan; National Cancer Center - Japan; RIKEN; National Cancer Center - Japan; National Cancer Center - Japan; National Cancer Center - Japan; National Cancer Center - Japan; National Cancer Center - Japan</t>
  </si>
  <si>
    <t>Shiraishi, K (corresponding author), Natl Canc Ctr, Div Genome Biol, 5-1-1 Tsukiji,Chuo Ku, Tokyo 1040045, Japan.;Kato, T (corresponding author), Natl Canc Ctr, Dept Gynecol, Tsukiji 5-1-1,Chuo Ku, Tokyo 1040045, Japan.</t>
  </si>
  <si>
    <t>kshirais@ncc.go.jp; tokato@ncc.go.jp</t>
  </si>
  <si>
    <t>Hamamoto, Ryuji/AAF-9600-2019</t>
  </si>
  <si>
    <t>Hamamoto, Ryuji/0000-0002-2632-1334; Murakami, Naoya/0000-0003-0660-9987; Yazaki, Shu/0000-0002-6141-9927; Fujii, Erisa/0009-0004-0782-0922</t>
  </si>
  <si>
    <t>10.1002/cam4.6415</t>
  </si>
  <si>
    <t>N9KG0</t>
  </si>
  <si>
    <t>WOS:001040110500001</t>
  </si>
  <si>
    <t>Kaicker, N; Gupta, A; Gaiha, R</t>
  </si>
  <si>
    <t>Kaicker, Nidhi; Gupta, Aashi; Gaiha, Raghav</t>
  </si>
  <si>
    <t>Pandemic-induced income shocks and dietary diversity in India</t>
  </si>
  <si>
    <t>Covid-19; dietary diversity two-stage least squares; difference-in differences; food security; India</t>
  </si>
  <si>
    <t>FOOD; DEMAND</t>
  </si>
  <si>
    <t>The present study assesses the impact of the Covid-19 pandemic-induced income shocks on dietary diversity in India using eight waves of the Centre for Monitoring Indian Economy-Consumer Pyramids Household Surveys data over the period January 2019 to August 2021. Using a two-stage least squares panel regression model and a specification akin to difference-in-differences technique, our results suggest that an income shock of any magnitude reduced the dietary diversity of households across India, though the impact has been more severe in the rural areas compared to urban and during the first year of the pandemic compared to the second. The mediating role of household socio-economic characteristics, pandemic indicators and food prices is also examined.</t>
  </si>
  <si>
    <t>[Kaicker, Nidhi] Dr BR Ambedkar Univ Delhi AUD, Lothian Rd, Delhi 110006, India; [Gupta, Aashi] Univ Delhi, Delhi Sch Econ, Delhi, India; [Gaiha, Raghav] Univ Penn, Populat Studies Ctr, Philadelphia, PA USA</t>
  </si>
  <si>
    <t>Ambedkar University Delhi; Delhi School of Economics; University of Delhi; University of Pennsylvania</t>
  </si>
  <si>
    <t>Kaicker, N (corresponding author), Dr BR Ambedkar Univ Delhi AUD, Lothian Rd, Delhi 110006, India.</t>
  </si>
  <si>
    <t>nidhi@aud.ac.in</t>
  </si>
  <si>
    <t>10.1002/jid.3821</t>
  </si>
  <si>
    <t>O2BJ2</t>
  </si>
  <si>
    <t>WOS:001041921100001</t>
  </si>
  <si>
    <t>Larsson, A; Grespi, A; Abbondanza, G; Eidhagen, J; Gajdek, D; Simonov, K; Yue, XQ; Lienert, U; Hegedus, Z; Jeromin, A; Keller, TF; Scardamaglia, M; Shavorskiy, A; Merte, LR; Pan, JS; Lundgren, E</t>
  </si>
  <si>
    <t>Larsson, Alfred; Grespi, Andrea; Abbondanza, Giuseppe; Eidhagen, Josefin; Gajdek, Dorotea; Simonov, Konstantin; Yue, Xiaoqi; Lienert, Ulrich; Hegedues, Zoltan; Jeromin, Arno; Keller, Thomas F.; Scardamaglia, Mattia; Shavorskiy, Andrey; Merte, Lindsay R.; Pan, Jinshan; Lundgren, Edvin</t>
  </si>
  <si>
    <t>The Oxygen Evolution Reaction Drives Passivity Breakdown for Ni-Cr-Mo Alloys</t>
  </si>
  <si>
    <t>corrosion mechanisms; nickel alloys; Ni-Cr-Mo; oxygen evolution reaction; passivity breakdown; transpassive dissolution</t>
  </si>
  <si>
    <t>TRANSPASSIVE DISSOLUTION MECHANISM; POINT-DEFECT MODEL; STAINLESS-STEELS; OXIDE-FILMS; CORROSION; MOLYBDENUM; CHROMIUM; METALS; WATER; PASSIVATION</t>
  </si>
  <si>
    <t>Corrosion is the main factor limiting the lifetime of metallic materials, and a fundamental understanding of the governing mechanism and surface processes is difficult to achieve since the thin oxide films at the metal-liquid interface governing passivity are notoriously challenging to study. In this work, a combination of synchrotron-based techniques and electrochemical methods is used to investigate the passive film breakdown of a Ni-Cr-Mo alloy, which is used in many industrial applications. This alloy is found to be active toward oxygen evolution reaction (OER), and the OER onset coincides with the loss of passivity and severe metal dissolution. The OER mechanism involves the oxidation of Mo4+ sites in the oxide film to Mo6+ that can be dissolved, which results in passivity breakdown. This is fundamentally different from typical transpassive breakdown of Cr-containing alloys where Cr6+ is postulated to be dissolved at high anodic potentials, which is not observed here. At high current densities, OER also leads to acidification of the solution near the surface, further triggering metal dissolution. The OER plays an important role in the mechanism of passivity breakdown of Ni-Cr-Mo alloys due to their catalytic activity, and this effect needs to be considered when studying the corrosion of catalytically active alloys.</t>
  </si>
  <si>
    <t>[Larsson, Alfred; Grespi, Andrea; Abbondanza, Giuseppe; Lundgren, Edvin] Lund Univ, Div Synchrotron Radiat Res, S-22100 Lund, Sweden; [Eidhagen, Josefin; Yue, Xiaoqi; Pan, Jinshan] KTH Royal Inst Technol, Div Surface &amp; Corros Sci, S-10044 Stockholm, Sweden; [Eidhagen, Josefin] Alleima, Sandvik Mat Technol, S-81181 Sandviken, Sweden; [Gajdek, Dorotea; Merte, Lindsay R.] Malmo Univ, Mat Sci &amp; Appl Math, S-20506 Malmo, Sweden; [Simonov, Konstantin] Swerim AB, Dept Mat &amp; Proc Dev, S-16407 Kista, Sweden; [Lienert, Ulrich; Hegedues, Zoltan] DESY Photon Sci, D-22607 Hamburg, Germany; [Jeromin, Arno; Keller, Thomas F.] Deutsch Elektronen Synchrotron DESY, Ctr X Ray &amp; Nano Sci CXNS, D-22607 Hamburg, Germany; [Keller, Thomas F.] Univ Hamburg, Dept Phys, D-22607 Hamburg, Germany; [Scardamaglia, Mattia; Shavorskiy, Andrey] Lund Univ, MAX IV Lab, S-22100 Lund, Sweden</t>
  </si>
  <si>
    <t>Lund University; Royal Institute of Technology; Malmo University; Swerim AB; Helmholtz Association; Deutsches Elektronen-Synchrotron (DESY); Helmholtz Association; Deutsches Elektronen-Synchrotron (DESY); University of Hamburg; Lund University</t>
  </si>
  <si>
    <t>Larsson, A (corresponding author), Lund Univ, Div Synchrotron Radiat Res, S-22100 Lund, Sweden.;Pan, JS (corresponding author), KTH Royal Inst Technol, Div Surface &amp; Corros Sci, S-10044 Stockholm, Sweden.</t>
  </si>
  <si>
    <t>alfred.larsson@sljus.lu.se; jinshanp@kth.se</t>
  </si>
  <si>
    <t>Lienert, Ulrich/0000-0002-8842-5657; Gajdek, Dorotea/0000-0003-1280-6821; Larsson, Alfred/0000-0002-8932-8381; Abbondanza, Giuseppe/0000-0002-0680-5454; Grespi, Andrea/0000-0003-3132-4318</t>
  </si>
  <si>
    <t>Swedish Research Council [202006154, 201807152, 201806378]; Swedish Foundation for Strategic Research [20210831]; MAX IV Laboratory for time on the Beamline HIPPIE [201804969]; Swedish Governmental Agency for Innovation Systems [201902496]; Formas [2018-03434]; [ID19-0032]; Swedish Research Council [2018-03434] Funding Source: Swedish Research Council</t>
  </si>
  <si>
    <t>Swedish Research Council(Swedish Research Council); Swedish Foundation for Strategic Research(Swedish Foundation for Strategic ResearchSwedish Foundation for Humanities &amp; Social Sciences); MAX IV Laboratory for time on the Beamline HIPPIE; Swedish Governmental Agency for Innovation Systems(Vinnova); Formas(Swedish Research Council Formas); ; Swedish Research Council(Swedish Research Council)</t>
  </si>
  <si>
    <t>&amp; nbsp;Financial support was acknowledged from the Swedish Research Council (2018-03434 and 2020-06154) and the Swedish Foundation for Strategic Research under contract ID19-0032. The authors acknowledge DESY (Hamburg, Germany), a member of the Helmholtz Association HGF, for the provision of experimental facilities. Parts of this research were carried out at PETRA III, and at the DESY Nanolab, and the authors would like to thank Malte Blankenburg and Sven Gutschmidt for assistance in using the Swedish Material Science beamline P21.2. The authors would also like to thank Akhil Tayal, Wolfgang Calibe, and Claudia Schwan for assistance in using the Advanced XAFS beamline P64 and Milena Lippmann for assistance with the chemistry laboratories at DESY. Beamtime at DESY was allocated for the proposal II-20190755 EC and I-20211350 EC. The authors acknowledge MAX IV Laboratory for time on the Beamline HIPPIE under Proposal 20210831. Research conducted at MAX IV, a Swedish national user facility, is supported by the &amp; nbsp;Swedish Research Council under contract 2018-07152, the Swedish Governmental Agency for Innovation Systems under contract 2018-04969, and Formas under contract 2019-02496. Konstantin Simonov is grateful for the financial support to Swedish Research Council under project 2018-06378.</t>
  </si>
  <si>
    <t>10.1002/adma.202304621</t>
  </si>
  <si>
    <t>O1KS2</t>
  </si>
  <si>
    <t>WOS:001041483900001</t>
  </si>
  <si>
    <t>Liu, K; Ni, GH; Luo, T; Fu, JW; Li, HM; Liu, M; Lin, Z</t>
  </si>
  <si>
    <t>Liu, Kang; Ni, Ganghai; Luo, Tao; Fu, Junwei; Li, Hongmei; Liu, Min; Lin, Zhang</t>
  </si>
  <si>
    <t>Intermediates-induced CO2 Reduction Reaction Activity at Single-Atom M-N-2 (M=Fe, Co, Ni) Sites</t>
  </si>
  <si>
    <t>CO2 reduction; density functional calculations; intermediate; reaction mechanism; single-atom site</t>
  </si>
  <si>
    <t>TOTAL-ENERGY CALCULATIONS; OXYGEN REDUCTION; CATALYSTS</t>
  </si>
  <si>
    <t>Single-atom M-N-2 (M=Fe, Co, Ni) catalysts exhibit high activity for CO2 reduction reaction (CO2RR). However, the CO2RR mechanism and the origin of activity at the single-atom sites remain unclear, which hinders the development of single-atom M-N-2 catalysts. Here, using density functional theory calculations, we reveal intermediates-induced CO2RR activity at the single-atom M-N-2 sites. At the M-N-2 sites, the asymmetric *O*CO configuration tends to split into *CO and *OH intermediates. Intermediates become part of the active moiety to form M-(CO)N-2 or M-(OH)N-2 sites, which optimizes the adsorption of intermediates on the M sites. The maximum free energy differences along the optimal CO2RR pathway are 0.30, 0.54, and 0.28 eV for Fe-(OH)N-2, Co-(CO)N-2, and Ni-(OH)N-2 sites respectively, which is lower than those of Fe-N-2 (1.03 eV), Co-N-2 (1.24 eV) and Ni-N-2 (0.73 eV) sites. The intermediate modification can shift the d-band center of the spin-up (minority) state downward by regulating the charge distribution at the M sites, leading to less charge being accepted by the intermediates from the M sites. This work provides new insights into the understanding of the activity of single-atom M-N-2 sites.</t>
  </si>
  <si>
    <t>[Liu, Kang; Ni, Ganghai; Luo, Tao; Fu, Junwei; Li, Hongmei; Liu, Min] Cent South Univ, Hunan Joint Int Res Ctr Carbon Dioxide Resource Ut, Sch Phys &amp; Elect, Changsha 410083, Hunan, Peoples R China; [Liu, Kang; Lin, Zhang] Cent South Univ, Sch Met &amp; Environm, Changsha 410083, Hunan, Peoples R China; [Li, Hongmei] Zhengzhou Univ, Sch Mat Sci &amp; Engn, Zhengzhou 450001, Henan, Peoples R China</t>
  </si>
  <si>
    <t>Central South University; Central South University; Zhengzhou University</t>
  </si>
  <si>
    <t>Liu, M (corresponding author), Cent South Univ, Hunan Joint Int Res Ctr Carbon Dioxide Resource Ut, Sch Phys &amp; Elect, Changsha 410083, Hunan, Peoples R China.;Lin, Z (corresponding author), Cent South Univ, Sch Met &amp; Environm, Changsha 410083, Hunan, Peoples R China.</t>
  </si>
  <si>
    <t>minliu@csu.edu.cn; zhang_lin@csu.edu.cn</t>
  </si>
  <si>
    <t>lin, zhang/JAD-1306-2023; Liu, Min/D-6532-2013</t>
  </si>
  <si>
    <t>Liu, Min/0000-0002-9007-4817; Liu, Kang/0000-0002-8781-7747</t>
  </si>
  <si>
    <t>National Natural Science Foundation of China [22002189]; Central South University Research Programme of Advanced Interdisciplinary Studies [2023QYJC012]; Central South University Innovation-Driven Research Programme [2023CXQD042]; China Postdoctoral Science Foundation [2022M713511]</t>
  </si>
  <si>
    <t>National Natural Science Foundation of China(National Natural Science Foundation of China (NSFC)); Central South University Research Programme of Advanced Interdisciplinary Studies; Central South University Innovation-Driven Research Programme; China Postdoctoral Science Foundation(China Postdoctoral Science Foundation)</t>
  </si>
  <si>
    <t>The authors gratefully thank the National Natural Science Foundation of China (Grant No. 22002189), Central South University Research Programme of Advanced Interdisciplinary Studies (Grant No. 2023QYJC012), Central South University Innovation-Driven Research Programme (Grant No. 2023CXQD042), and China Postdoctoral Science Foundation (Grant No. 2022M713511). We are grateful for resources from the High Performance Computing Center of Central South University.</t>
  </si>
  <si>
    <t>10.1002/cphc.202300050</t>
  </si>
  <si>
    <t>O2CG9</t>
  </si>
  <si>
    <t>WOS:001041944800001</t>
  </si>
  <si>
    <t>Prioux, M; Silva, ED; Hubert, M; Vulliet, J; Debayle, J; Cloetens, P; Laurencin, J</t>
  </si>
  <si>
    <t>Prioux, Manon; Silva, Eduardo Da Rosa; Hubert, Maxime; Vulliet, Julien; Debayle, Johan; Cloetens, Peter; Laurencin, Jerome</t>
  </si>
  <si>
    <t>Numerical microstructural optimization for the hydrogen electrode of solid oxide cells</t>
  </si>
  <si>
    <t>FUEL CELLS</t>
  </si>
  <si>
    <t>electrolysis; hydrogen electrode; microstructure; modeling; solid oxide cell</t>
  </si>
  <si>
    <t>PHASE-BOUNDARY LENGTH; FUEL-CELL; 3D MICROSTRUCTURE; ANODE; PERFORMANCE; MECHANISMS; NI/YSZ; LAYERS; MODEL</t>
  </si>
  <si>
    <t>A multiscale model has been used to optimize the microstructure of a classical hydrogen electrode made of nickel and yttria-stabilized zirconia (Ni-8YSZ). For this purpose, a 3D reconstruction of a reference electrode has been obtained by X-ray nano-holotomography. Then, a large dataset of synthetic microstructures has been generated around this reference with the truncated Gaussian random field method, varying the ratio Ni/8YSZ and the Ni particle size. All the synthetic microstructures have been introduced in a multiscale modeling approach to analyze the impact of the microstructure on the electrode and cell responses. The local electrode polarization resistance in the hydrogen electrode, as well as the complete cell impedance spectra, have been computed for the different microstructures. A significant performance improvement was found when decreasing the Ni particle size distribution. Moreover, an optimum has been identified in terms of electrode composition allowing the minimization of the cell polarization resistance. The same methodology has been also applied to assess the relevance of graded electrodes. All these results allow a better understanding of the precise role of microstructure on cell performances and provide useful guidance for cell manufacturing.</t>
  </si>
  <si>
    <t>[Prioux, Manon; Silva, Eduardo Da Rosa; Hubert, Maxime; Laurencin, Jerome] Univ Grenoble Alpes, CEA, LITEN, Grenoble, France; [Vulliet, Julien] CEA, DAM, Le Ripault, Monts, France; [Debayle, Johan] Ecole Natl Super Mines, SPIN, CNRS 5307, LGF, St Etienne, France; [Cloetens, Peter] European Synchrotron Radiat Facil ESRF, Grenoble, France; [Hubert, Maxime] Univ Grenoble Alpes, CEA, LITEN, F-38054 Grenoble, France</t>
  </si>
  <si>
    <t>Communaute Universite Grenoble Alpes; UDICE-French Research Universities; Universite Grenoble Alpes (UGA); CEA; CEA; IMT - Institut Mines-Telecom; Mines Saint-Etienne; European Synchrotron Radiation Facility (ESRF); Communaute Universite Grenoble Alpes; UDICE-French Research Universities; Universite Grenoble Alpes (UGA); CEA</t>
  </si>
  <si>
    <t>Hubert, M (corresponding author), Univ Grenoble Alpes, CEA, LITEN, F-38054 Grenoble, France.</t>
  </si>
  <si>
    <t>maxime.hubert@cea.fr</t>
  </si>
  <si>
    <t>Fuel Cells and Hydrogen 2 Joint Undertaking [874577]; CELCER-EHT [ANR-PEHY-008]; Institut Carnot Energies du futur</t>
  </si>
  <si>
    <t>Fuel Cells and Hydrogen 2 Joint Undertaking; CELCER-EHT; Institut Carnot Energies du futur</t>
  </si>
  <si>
    <t>Fuel Cells and Hydrogen 2 Joint Undertaking (JU), Grant/Award Number: 874577; CELCER-EHT, Grant/Award Number: ANR-PEHY-008; Institut Carnot Energies du futur</t>
  </si>
  <si>
    <t>1615-6846</t>
  </si>
  <si>
    <t>1615-6854</t>
  </si>
  <si>
    <t>Fuel Cells</t>
  </si>
  <si>
    <t>10.1002/fuce.202300029</t>
  </si>
  <si>
    <t>Electrochemistry; Energy &amp; Fuels</t>
  </si>
  <si>
    <t>O1NA3</t>
  </si>
  <si>
    <t>WOS:001041544500001</t>
  </si>
  <si>
    <t>Robertson, S; King, R; Taylor, B; Laker, S; Wood, E; Senek, M; Tod, A; Ryan, T</t>
  </si>
  <si>
    <t>Robertson, Steve; King, Rachel; Taylor, Beth; Laker, Sara; Wood, Emily; Senek, Michaela; Tod, Angela; Ryan, Tony</t>
  </si>
  <si>
    <t>Trainee nursing associates in England: A multisite qualitative study of higher education institution perspectives</t>
  </si>
  <si>
    <t>education nursing; health workforce; nursing associates; second-level nursing; staffing; United Kingdom</t>
  </si>
  <si>
    <t>ENROLLED NURSES</t>
  </si>
  <si>
    <t>AimTo explore the experiences of university employees on the development and implementation of the nursing associate programme. BackgroundAs part of wider policy initiatives to address workforce shortages, provide progression for healthcare assistants and offer alternative routes into nursing, England recently introduced the nursing associate level of practice. Little research has yet considered university perspectives on this new programme. MethodsAn exploratory qualitative study reported following COREQ criteria. Twenty-seven university staff working with trainee nursing associates in five universities across England were recruited. Data, collected via semi-structured interviews from June to September 2021, were analysed through a combined framework and thematic analysis. ResultsThree themes developed: 'Centrality of partnerships' considered partnerships between employers and universities and changing power dynamics. 'Adapting for support' included responding to new requirements and changing pedagogical approaches. 'Negotiating identity' highlighted the university's role in advocacy and helping trainees develop a student identity. ConclusionsNursing associate training in England has changed the dynamics between universities and healthcare employers, shifting learners' identity more to 'employee' rather than 'student'. Universities have adapted to support trainees in meeting academic and professional standards whilst also meeting employer expectations. While challenges remain, the ability of nurse educators to make adjustments, alongside their commitment to quality educational delivery, is helping establish this new training programme and thereby meet government policy initiatives. Implications for nursing policyThe international movement of apprenticeship models in universities has the potential to change the status of the learner in nursing educational contexts. National policies that encourage this model should ensure that the implications and challenges this change of status brings to learners, employers and education institutions are fully considered prior to their implementation.</t>
  </si>
  <si>
    <t>[Robertson, Steve; King, Rachel; Taylor, Beth; Laker, Sara; Wood, Emily; Senek, Michaela; Tod, Angela; Ryan, Tony] Hlth Sci Sch, Div Nursing &amp; Midwifery, RCN Strateg Res Alliance, Sheffield, England; [Robertson, Steve] Leeds Beckett Univ, Leeds, England; [Laker, Sara] Winona State Univ, Dept Nursing, Winona, MN USA; [Robertson, Steve] Hlth Sci Sch, Div Nursing &amp; Midwifery, Barber House Annexe,3a Clarkehouse Rd, Sheffield S10 2LA, England</t>
  </si>
  <si>
    <t>Leeds Beckett University; Minnesota State Colleges &amp; Universities; Winona State University</t>
  </si>
  <si>
    <t>Robertson, S (corresponding author), Hlth Sci Sch, Div Nursing &amp; Midwifery, Barber House Annexe,3a Clarkehouse Rd, Sheffield S10 2LA, England.</t>
  </si>
  <si>
    <t>s.robertson@sheffield.ac.uk</t>
  </si>
  <si>
    <t>King, Rachel/AET-8223-2022</t>
  </si>
  <si>
    <t>King, Rachel/0000-0003-4012-0202; Ryan, Tony/0000-0002-8549-3101; Wood, Emily/0000-0002-1910-6230</t>
  </si>
  <si>
    <t>Royal College of Nursing (RCN)</t>
  </si>
  <si>
    <t>10.1111/inr.12868</t>
  </si>
  <si>
    <t>O1ML9</t>
  </si>
  <si>
    <t>WOS:001041530100001</t>
  </si>
  <si>
    <t>Safford, HC; Swingle, KL; Geisler, HC; Hamilton, AG; Thatte, AS; Ghalsasi, AA; Billingsley, MM; Alameh, MG; Weissman, D; Mitchell, MJ</t>
  </si>
  <si>
    <t>Safford, Hannah C.; Swingle, Kelsey L.; Geisler, Hannah C.; Hamilton, Alex G.; Thatte, Ajay S.; Ghalsasi, Aditi A.; Billingsley, Margaret M.; Alameh, Mohamad-Gabriel; Weissman, Drew; Mitchell, Michael J.</t>
  </si>
  <si>
    <t>Orthogonal Design of Experiments for Engineering of Lipid Nanoparticles for mRNA Delivery to the Placenta</t>
  </si>
  <si>
    <t>lipid nanoparticles; mRNA; placenta; pregnancy; women's health</t>
  </si>
  <si>
    <t>GOLD NANOPARTICLES; GROWTH; TRANSLOCATION; THERAPEUTICS; OPTIMIZATION; TROPHOBLAST; TRANSPORT; KINETICS; CELLS; MODEL</t>
  </si>
  <si>
    <t>During healthy pregnancy, the placenta develops to allow for exchange of nutrients and oxygen between the mother and the fetus. However, placental dysregulation can lead to several pregnancy disorders, such as preeclampsia and fetal growth restriction. Recently, lipid nanoparticle (LNP)-mediated delivery of messenger RNA (mRNA) has been explored as a promising approach to treat these disorders. Here, iterative libraries of LNPs with varied excipient molar ratios are screened in vitro for enhanced mRNA delivery to placental cells with minimal cytotoxicity when compared to an LNP formulation with a standard excipient molar ratio. LNP C5, the top formulation identified by these screens, demonstrates a fourfold increase in mRNA delivery in vitro compared to the standard formulation. Intravenous administration of LNP C5 to pregnant mice achieves improved in vivo placental mRNA delivery compared to the standard formulation and mediates mRNA delivery to placental trophoblasts, endothelial cells, and immune cells. These results identify LNP C5 as a promising optimized LNP formulation for placental mRNA delivery and further validates the design of experiments strategy for LNP excipient optimization to enhance mRNA delivery to cell types and organs of interest.</t>
  </si>
  <si>
    <t>[Safford, Hannah C.; Swingle, Kelsey L.; Geisler, Hannah C.; Hamilton, Alex G.; Thatte, Ajay S.; Ghalsasi, Aditi A.; Billingsley, Margaret M.; Mitchell, Michael J.] Univ Penn, Dept Bioengn, Philadelphia, PA 19104 USA; [Alameh, Mohamad-Gabriel; Weissman, Drew] Univ Penn, Dept Med, Philadelphia, PA 19104 USA; [Alameh, Mohamad-Gabriel; Weissman, Drew; Mitchell, Michael J.] Univ Penn, Penn Inst RNA Innovat, Perelman Sch Med, Philadelphia, PA 19104 USA; [Mitchell, Michael J.] Univ Penn, Abramson Canc Ctr, Perelman Sch Med, Philadelphia, PA 19104 USA; [Mitchell, Michael J.] Univ Penn, Inst Immunol, Perelman Sch Med, Philadelphia, PA 19104 USA; [Mitchell, Michael J.] Univ Penn, Cardiovasc Inst, Perelman Sch Med, Philadelphia, PA 19014 USA; [Mitchell, Michael J.] Univ Penn, Inst Regenerat Med, Perelman Sch Med, Philadelphia, PA 19104 USA</t>
  </si>
  <si>
    <t>University of Pennsylvania; University of Pennsylvania; University of Pennsylvania; Pennsylvania Medicine; University of Pennsylvania; Pennsylvania Medicine; University of Pennsylvania; Pennsylvania Medicine; University of Pennsylvania; Pennsylvania Medicine; University of Pennsylvania; Pennsylvania Medicine</t>
  </si>
  <si>
    <t>Mitchell, MJ (corresponding author), Univ Penn, Dept Bioengn, Philadelphia, PA 19104 USA.;Mitchell, MJ (corresponding author), Univ Penn, Penn Inst RNA Innovat, Perelman Sch Med, Philadelphia, PA 19104 USA.;Mitchell, MJ (corresponding author), Univ Penn, Abramson Canc Ctr, Perelman Sch Med, Philadelphia, PA 19104 USA.;Mitchell, MJ (corresponding author), Univ Penn, Inst Immunol, Perelman Sch Med, Philadelphia, PA 19104 USA.;Mitchell, MJ (corresponding author), Univ Penn, Cardiovasc Inst, Perelman Sch Med, Philadelphia, PA 19014 USA.;Mitchell, MJ (corresponding author), Univ Penn, Inst Regenerat Med, Perelman Sch Med, Philadelphia, PA 19104 USA.</t>
  </si>
  <si>
    <t>mjmitch@seas.upenn.edu</t>
  </si>
  <si>
    <t>; Mitchell, Michael/K-8420-2014</t>
  </si>
  <si>
    <t>Alex, Hamilton/0000-0002-9810-5630; Thatte, Ajay/0000-0001-7372-8893; Billingsley, Margaret/0000-0003-4499-9066; Mitchell, Michael/0000-0002-3628-2244</t>
  </si>
  <si>
    <t>US National Institutes of Health (NIH) Director's New Innovator Award [DP2 TR002776]; Burroughs Wellcome Fund Career Award at the Scientific Interface (CASI); National Institutes of Health [1845298]; NSF Graduate Research Fellowships [CBET-2145491]; US National Science Foundation CAREER award; [NCI R01 CA241661]; [NCI R37 CA244911]; [NIDDK R01 DK123049]</t>
  </si>
  <si>
    <t>US National Institutes of Health (NIH) Director's New Innovator Award(United States Department of Health &amp; Human ServicesNational Institutes of Health (NIH) - USA); Burroughs Wellcome Fund Career Award at the Scientific Interface (CASI)(Burroughs Wellcome Fund); National Institutes of Health(United States Department of Health &amp; Human ServicesNational Institutes of Health (NIH) - USA); NSF Graduate Research Fellowships(National Science Foundation (NSF)); US National Science Foundation CAREER award(National Science Foundation (NSF)); ; ;</t>
  </si>
  <si>
    <t>Figures &amp; nbsp;1-3 were created in part with Biorender.com. M.J.M. acknowledges support from a US National Institutes of Health (NIH) Director's New Innovator Award (DP2 TR002776), a Burroughs Wellcome Fund Career Award at the Scientific Interface (CASI), a US National Science Foundation CAREER award (CBET-2145491), and additional funding from the National Institutes of Health (NCI R01 CA241661, NCI R37 CA244911, and NIDDK R01 DK123049). H.C.S., K.L.S., H.C.G., A.G.H., and A.S.T. were supported by NSF Graduate Research Fellowships (Award 1845298).</t>
  </si>
  <si>
    <t>10.1002/smll.202303568</t>
  </si>
  <si>
    <t>O2CY2</t>
  </si>
  <si>
    <t>WOS:001041962100001</t>
  </si>
  <si>
    <t>Saranholi, BH; Rodriguez-Castro, KG; Carvalho, CS; Chahad-Ehlers, S; Gestich, CC; Andrade, SCS; Freitas, PD; Galetti, PM</t>
  </si>
  <si>
    <t>Saranholi, Bruno H.; Rodriguez-Castro, Karen G.; Carvalho, Carolina S.; Chahad-Ehlers, Samira; Gestich, Carla C.; Andrade, Sonia C. S.; Freitas, Patricia D.; Galetti, Pedro M.</t>
  </si>
  <si>
    <t>Comparing iDNA from mosquitoes and flies to survey mammals in a semi-controlled Neotropical area</t>
  </si>
  <si>
    <t>MOLECULAR ECOLOGY RESOURCES</t>
  </si>
  <si>
    <t>biodiversity; biomonitoring; invertebrate-derived DNA; metabarcoding; vertebrate survey</t>
  </si>
  <si>
    <t>FLY-DERIVED DNA; ENVIRONMENTAL DNA; BIODIVERSITY; TOOL; IDENTIFICATION</t>
  </si>
  <si>
    <t>Ingested-derived DNA (iDNA) from insects represents a powerful tool for assessing vertebrate diversity because insects are easy to sample, have a diverse diet and are widely distributed. Because of these advantages, the use of iDNA for detecting mammals has gained increasing attention. Here we aimed to compare the effectiveness of mosquitoes and flies to detect mammals with a small sampling effort in a semi-controlled area, a zoo that houses native and non-native species. We compared mosquitoes and flies regarding the number of mammal species detected, the amount of mammal sequence reads recovered, and the flight distance range for detecting mammals. We also verified if the combination of two mini-barcodes (12SrRNA and 16SrRNA) would perform better than either mini-barcode alone to inform local mammal biodiversity from iDNA. To capture mosquitoes and flies, we distributed insect traps in eight sampling points during 5 days. We identified 43 Operational Taxonomic Units from 10 orders, from the iDNA of 17 mosquitoes and 46 flies. There was no difference in the number of species recovered per individual insect between mosquitoes and flies, but the number of flies captured was higher, resulting in more mammal species recovered by flies. Eight species were recorded exclusively by mosquitoes and 20 by flies, suggesting that using both samplers would allow a more comprehensive screening of the biodiversity. The maximum distance recorded was 337 m for flies and 289 m for mosquitoes, but the average range distance did not differ between insect groups. Our assay proved to be efficient for mammal detection, considering the high number of species detected with a reduced sampling effort.</t>
  </si>
  <si>
    <t>[Saranholi, Bruno H.; Rodriguez-Castro, Karen G.; Carvalho, Carolina S.; Chahad-Ehlers, Samira; Gestich, Carla C.; Freitas, Patricia D.; Galetti, Pedro M.] Univ Fed Sao Carlos, Dept Genet &amp; Evolucao, Sao Carlos, Brazil; [Rodriguez-Castro, Karen G.] Univ Llanos, Fac Ciencias Bas &amp; Ingn, Villavicencio, Colombia; [Carvalho, Carolina S.] Inst Tecnol Vale, Belem, Brazil; [Andrade, Sonia C. S.] Univ Sao Paulo, Inst Biociencias, Sao Paulo, Brazil; [Saranholi, Bruno H.] Univ Fed Sao Carlos, Dept Genet &amp; Evolucao, Rod Washington Luis km 235, BR-13565905 Sao Carlos, SP, Brazil</t>
  </si>
  <si>
    <t>Universidade Federal de Sao Carlos; Instituto Tecnologico Vale Desenvolvimento Sustentavel; Universidade de Sao Paulo; Universidade Federal de Sao Carlos</t>
  </si>
  <si>
    <t>Saranholi, BH (corresponding author), Univ Fed Sao Carlos, Dept Genet &amp; Evolucao, Rod Washington Luis km 235, BR-13565905 Sao Carlos, SP, Brazil.</t>
  </si>
  <si>
    <t>bruno.saranholi@gmail.com</t>
  </si>
  <si>
    <t>; Andrade, Sonia/F-8267-2014; Freitas, Patricia Domingues/G-2330-2014; Chahad-Ehlers, Samira/H-8024-2015</t>
  </si>
  <si>
    <t>Saranholi, Bruno/0000-0002-8221-3557; Andrade, Sonia/0000-0002-1302-5261; Rodriguez Castro, Karen Giselle/0000-0002-0333-6402; Freitas, Patricia Domingues/0000-0002-0309-2815; Chahad-Ehlers, Samira/0000-0003-2321-4389; Galetti Jr, Pedro M/0000-0001-5916-6126; Carvalho, Carolina/0000-0002-0063-2185</t>
  </si>
  <si>
    <t>Conselho Nacional de Desenvolvimento Cientifico e Tecnologico [150808/2019-4, 303014/2017-2, 303524/2019-7, 317345/2021-4]; Coordenacao de Aperfeicoamento de Pessoal de Nivel Superior [8887.475596/2020-00, 88887.466869/2019-00]; Fundacao de Amparo a Pesquisa do Estado de Sao Paulo [2015/20139-9, 2017/23548-2, 2019/26436-6, 2022/01741-3]</t>
  </si>
  <si>
    <t>Conselho Nacional de Desenvolvimento Cientifico e Tecnologico(Conselho Nacional de Desenvolvimento Cientifico e Tecnologico (CNPQ)); Coordenacao de Aperfeicoamento de Pessoal de Nivel Superior(Coordenacao de Aperfeicoamento de Pessoal de Nivel Superior (CAPES)); Fundacao de Amparo a Pesquisa do Estado de Sao Paulo(Fundacao de Amparo a Pesquisa do Estado de Sao Paulo (FAPESP))</t>
  </si>
  <si>
    <t>Conselho Nacional de Desenvolvimento Cientifico e Tecnologico, Grant/Award Number: 150808/2019-4, 303014/2017-2, 303524/2019-7 and 317345/2021-4; Coordenacao de Aperfeicoamento de Pessoal de Nivel Superior, Grant/Award Number: 8887.475596/2020-00 and 88887.466869/2019-00; Fundacao de Amparo a Pesquisa do Estado de Sao Paulo, Grant/Award Number: 2015/20139-9, 2017/23548-2, 2019/26436-6 and 2022/01741-3</t>
  </si>
  <si>
    <t>1755-098X</t>
  </si>
  <si>
    <t>1755-0998</t>
  </si>
  <si>
    <t>MOL ECOL RESOUR</t>
  </si>
  <si>
    <t>Mol. Ecol. Resour.</t>
  </si>
  <si>
    <t>10.1111/1755-0998.13851</t>
  </si>
  <si>
    <t>O2IO6</t>
  </si>
  <si>
    <t>WOS:001042110100001</t>
  </si>
  <si>
    <t>Shi, R; Qian, HJ; Lu, ZY</t>
  </si>
  <si>
    <t>Shi, Rui; Qian, Hu-Jun; Lu, Zhong-Yuan</t>
  </si>
  <si>
    <t>Coarse-grained molecular dynamics simulation of polymers: Structures and dynamics</t>
  </si>
  <si>
    <t>WILEY INTERDISCIPLINARY REVIEWS-COMPUTATIONAL MOLECULAR SCIENCE</t>
  </si>
  <si>
    <t>coarse-graining methods; molecular dynamics; polymer systems</t>
  </si>
  <si>
    <t>SLIP-SPRING SIMULATIONS; COMPUTER-SIMULATION; DIBLOCK COPOLYMER; BLOCK-COPOLYMERS; NEURAL-NETWORK; MODELS; POLYMERIZATION; NANOPARTICLES; POTENTIALS; RHEOLOGY</t>
  </si>
  <si>
    <t>For the simulations of polymeric systems, coarse-grained (CG) molecular dynamics simulations are computationally demanding not only because of their high computational efficiency, but also these CG models can provide sufficient structural and dynamical properties at both micro- and meso-scopic levels. During the past decades, developments of these CG models are roughly in two directions, that is, generic and chemically system-specific models. The developme of the formmer focuses on the capability of the model to capature the general properties of the system, for instance, scaling relations between both structural and dynamic properties with respect to chain length. On the other hand, to bridging the gap between physics and chemistry, chemically-specifi models are also widely developed which are able to retain the inherent chemical-physical properties for a given polymer system. However, due to the reduction of atomistic degree of freedom a faithful reproduction of structure and especialy dynamics properties of the system is the maijor challenge. In this review, after a brief introduction of some widely used generic models, we present an overview of both recent achievements and remainning challendges in the development of chemically-specific CG approaches, for the simulations of polymer systems.This article is categorized under:Structure and Mechanism &gt; Computational Materials ScienceMolecular and Statistical Mechanics &gt; Molecular Dynamics and Monte-Carlo Methods</t>
  </si>
  <si>
    <t>[Shi, Rui; Qian, Hu-Jun; Lu, Zhong-Yuan] Jilin Univ, Inst Theoret Chem, Coll Chem, State Key Lab Supramol Struct &amp; Mat, Changchun, Peoples R China; [Qian, Hu-Jun; Lu, Zhong-Yuan] Jilin Univ, Inst Theoret Chem, Coll Chem, Key Lab Supramol Struct &amp; Mat, Changchun 130023, Peoples R China</t>
  </si>
  <si>
    <t>Jilin University; Jilin University</t>
  </si>
  <si>
    <t>Qian, HJ; Lu, ZY (corresponding author), Jilin Univ, Inst Theoret Chem, Coll Chem, Key Lab Supramol Struct &amp; Mat, Changchun 130023, Peoples R China.</t>
  </si>
  <si>
    <t>hjqian@jlu.edu.cn; luzhy@jlu.edu.cn</t>
  </si>
  <si>
    <t>National Key Ramp;D Program of China [2022YFB3707302]; National Natural Science Foundation of China [21833008, 22133002]</t>
  </si>
  <si>
    <t>National Key Ramp;D Program of China; National Natural Science Foundation of China(National Natural Science Foundation of China (NSFC))</t>
  </si>
  <si>
    <t>ACKNOWLEDGMENTS This work is financially supported by the National Key R&amp;D Program of China (Grant No. 2022YFB3707302) and the National Natural Science Foundation of China (Grant Nos. 21833008, 22133002).</t>
  </si>
  <si>
    <t>1759-0876</t>
  </si>
  <si>
    <t>1759-0884</t>
  </si>
  <si>
    <t>WIRES COMPUT MOL SCI</t>
  </si>
  <si>
    <t>Wiley Interdiscip. Rev.-Comput. Mol. Sci.</t>
  </si>
  <si>
    <t>10.1002/wcms.1683</t>
  </si>
  <si>
    <t>Chemistry, Multidisciplinary; Mathematical &amp; Computational Biology</t>
  </si>
  <si>
    <t>Chemistry; Mathematical &amp; Computational Biology</t>
  </si>
  <si>
    <t>N9DT7</t>
  </si>
  <si>
    <t>WOS:001039940200001</t>
  </si>
  <si>
    <t>Tack, J; McCallum, R; Kuo, B; Huh, SY; Zhang, YW; Chen, YJ; Mehrotra, S; Parkman, HP</t>
  </si>
  <si>
    <t>Tack, Jan; McCallum, Richard; Kuo, Braden; Huh, Susanna Y.; Zhang, Yanwei; Chen, Yaozhu J. J.; Mehrotra, Shailly; Parkman, Henry P.</t>
  </si>
  <si>
    <t>Randomized clinical trial: A phase 2b controlled study of the efficacy and safety of trazpiroben (TAK-906) for idiopathic or diabetic gastroparesis</t>
  </si>
  <si>
    <t>NEUROGASTROENTEROLOGY AND MOTILITY</t>
  </si>
  <si>
    <t>gastric emptying; gastroparesis; motility; symptom score or index; trazpiroben</t>
  </si>
  <si>
    <t>SYMPTOMS; METOCLOPRAMIDE; DOMPERIDONE; SEVERITY</t>
  </si>
  <si>
    <t>BackgroundPrevious clinical studies of trazpiroben, a dopamine D-2/D-3 receptor antagonist for long-term treatment of moderate-to-severe idiopathic and diabetic gastroparesis, have shown improved symptoms of fullness. This study assessed trazpiroben efficacy, safety, and tolerability in adults with idiopathic and diabetic gastroparesis versus placebo. MethodsThis global, multicenter, double-blind, parallel-group, phase 2b study (NCT03544229) enrolled eligible adults aged 18-85 years with symptomatic idiopathic or diabetic gastroparesis. Randomized participants received either oral placebo or trazpiroben 5, 25, or 50 mg, administered twice daily over 12 weeks, and completed the American Neurogastroenterology and Motility Society Gastroparesis Cardinal Symptom Index-Daily Diary. Change in weekly composite score from baseline to week 12 (primary endpoint) and treatment-emergent adverse events were assessed. Data were summarized descriptively. Key ResultsOverall, 242 participants were enrolled (mean [standard deviation] age 55.7 [14.2] years; 75.6% female); 193 completed the study. No significant differences in change from baseline in weekly average of the daily diary composite score occurred at week 12 between placebo (least-squares mean [standard error] -1.19 [0.12]) and trazpiroben (5, 25, and 50 mg: -1.11 [0.22], -1.17 [0.12], and -1.21 [0.12], respectively). Overall, 41.4% of participants receiving trazpiroben reported treatment-emergent adverse events (placebo, 39.7%). No serious events were considered trazpiroben-related; no life-threatening or fatal events were reported. Conclusions &amp; InferencesThere was no clinically meaningful difference in efficacy between trazpiroben and placebo in treating gastroparesis, based on the primary endpoint analysis. Trazpiroben was well tolerated with no new safety concerns identified, strengthening evidence supporting its favorable safety profile.NCT number: NCT03544229.</t>
  </si>
  <si>
    <t>[Tack, Jan] Univ Leuven, Dept Gastroenterol, Leuven, Belgium; [McCallum, Richard] Texas Tech Univ, El Paso, TX USA; [Kuo, Braden] Massachusetts Gen Hosp, Boston, MA USA; [Huh, Susanna Y.; Zhang, Yanwei; Chen, Yaozhu J. J.; Mehrotra, Shailly] Takeda Dev Ctr Amer Inc, Cambridge, MA USA; [Parkman, Henry P.] Temple Univ, Sch Med, Dept Med, Philadelphia, PA USA; [Chen, Yaozhu J. J.] Takeda Dev Ctr Amer Inc, Global Evidence &amp; Outcomes, 40 Landsdowne St, Cambridge, MA 02139 USA; [Huh, Susanna Y.] Ironwood Pharmaceut, Boston, MA USA</t>
  </si>
  <si>
    <t>KU Leuven; Texas Tech University System; Texas Tech University; Harvard University; Massachusetts General Hospital; Takeda Pharmaceutical Company Ltd; Takeda Development Center Americas, Inc.; Pennsylvania Commonwealth System of Higher Education (PCSHE); Temple University; Takeda Pharmaceutical Company Ltd; Takeda Development Center Americas, Inc.; Ironwood Pharmaceuticals, Inc.</t>
  </si>
  <si>
    <t>Chen, YJ (corresponding author), Takeda Dev Ctr Amer Inc, Global Evidence &amp; Outcomes, 40 Landsdowne St, Cambridge, MA 02139 USA.</t>
  </si>
  <si>
    <t>juliette.chen@takeda.com</t>
  </si>
  <si>
    <t>Chen, Yaozhu J/0000-0003-4552-2294; Parkman, Henry/0000-0003-4904-4891</t>
  </si>
  <si>
    <t>Takeda Development Center Americas, Inc.</t>
  </si>
  <si>
    <t>Takeda Development Center Americas, Inc.(Takeda Pharmaceutical Company Ltd)</t>
  </si>
  <si>
    <t>1350-1925</t>
  </si>
  <si>
    <t>1365-2982</t>
  </si>
  <si>
    <t>NEUROGASTROENT MOTIL</t>
  </si>
  <si>
    <t>Neurogastroenterol. Motil.</t>
  </si>
  <si>
    <t>10.1111/nmo.14652</t>
  </si>
  <si>
    <t>Gastroenterology &amp; Hepatology; Clinical Neurology; Neurosciences</t>
  </si>
  <si>
    <t>Gastroenterology &amp; Hepatology; Neurosciences &amp; Neurology</t>
  </si>
  <si>
    <t>S8FT3</t>
  </si>
  <si>
    <t>WOS:001041475100001</t>
  </si>
  <si>
    <t>Takahara, Y; Abe, R; Sumito, N; Tanaka, T; Ishige, Y; Shionoya, I; Yamamura, K; Nishiki, K; Nojiri, M; Kato, R; Shinomiya, S; Oikawa, T</t>
  </si>
  <si>
    <t>Takahara, Yutaka; Abe, Ryudai; Sumito, Nagae; Tanaka, Takuya; Ishige, Yoko; Shionoya, Ikuyo; Yamamura, Kouichi; Nishiki, Kazuaki; Nojiri, Masafumi; Kato, Ryo; Shinomiya, Shohei; Oikawa, Taku</t>
  </si>
  <si>
    <t>Investigation of response factors for monotherapy with immune checkpoint inhibitors in non-small cell lung cancer patients with PD-L1 expression &lt;50%</t>
  </si>
  <si>
    <t>BMI; immune checkpoint inhibitor; irAE; NSCLC; PD-L1</t>
  </si>
  <si>
    <t>TO-LYMPHOCYTE RATIO; ADVERSE EVENTS; NEUTROPHIL-LYMPHOCYTE; PLUS CHEMOTHERAPY; SURVIVAL; NIVOLUMAB; EFFICACY; ASSOCIATION; EXPERIENCE; PROFILE</t>
  </si>
  <si>
    <t>Background: Immune checkpoint inhibitor (ICI) monotherapy is currently approved for the treatment of advanced non-small cell lung cancer (NSCLC) patients with programmed death ligand-1 (PD-L1) expression =50%. However, the efficacy of ICI monotherapy in patients with PD-L1 expression &lt;50% has not yet been fully elucidated.The aim of this study was to identify the clinical characteristics of NSCLC patients with PD-L1 expression &lt;50% who respond to single-agent ICIs and factors that predict response.Methods: Patients with advanced or recurrent NSCLC with a PD-L1 tumor proportion score (TPS) of 50% or less who received new monotherapy with an ICI between July 2012 and December 2022 were retrospectively analyzed. Patients with response were compared with those without response in the post-treatment response assessment.Results: Among the 37 patients, six (16.2%) NSCLC patients in the response group responded to ICI monotherapy and had a significantly lower body mass index (BMI) (p = 0.003). Significantly more patients in the response group developed immune related adverse events (irAEs) than in the nonresponse group (p &lt; 0.001). Multivariate analysis identified high BMI as a significant independent risk factor predicting nonresponse to ICI monotherapy in NSCLC patients with PD-L1 &lt; 50%.Conclusions: Among NSCLC patients with PD-L1 &lt; 50%, those with a higher BMI were more likely to be nonresponders to ICI monotherapy. In addition, the group that responded to ICI monotherapy may have been at higher risk of developing irAEs, suggesting that careful follow-up is warranted.</t>
  </si>
  <si>
    <t>[Takahara, Yutaka; Abe, Ryudai; Sumito, Nagae; Tanaka, Takuya; Ishige, Yoko; Shionoya, Ikuyo; Yamamura, Kouichi; Nishiki, Kazuaki; Nojiri, Masafumi; Kato, Ryo; Shinomiya, Shohei; Oikawa, Taku] Kanazawa Med Univ, Dept Resp Med, Kahoku, Japan; [Takahara, Yutaka] Kanazawa Med Univ, Dept Resp Med, 1-1 Daigaku, Uchinada, Ishikawa 9200293, Japan</t>
  </si>
  <si>
    <t>Kanazawa Medical University; Kanazawa Medical University</t>
  </si>
  <si>
    <t>Takahara, Y (corresponding author), Kanazawa Med Univ, Dept Resp Med, 1-1 Daigaku, Uchinada, Ishikawa 9200293, Japan.</t>
  </si>
  <si>
    <t>takahara@kanazawa-med.ac.jp</t>
  </si>
  <si>
    <t>10.1111/1759-7714.15059</t>
  </si>
  <si>
    <t>S6YI1</t>
  </si>
  <si>
    <t>WOS:001042225700001</t>
  </si>
  <si>
    <t>Verma, P; Singh, C; Dogra, R; Bhaskar, MS; Gupta, N; Khan, B</t>
  </si>
  <si>
    <t>Verma, Pallavi; Singh, Chandranshu; Dogra, Rahul; Bhaskar, M. S.; Gupta, Nikita; Khan, Baseem</t>
  </si>
  <si>
    <t>Modeling and performance analysis of novel quad-tied PV array configuration under partial shading conditions</t>
  </si>
  <si>
    <t>ENERGY SCIENCE &amp; ENGINEERING</t>
  </si>
  <si>
    <t>array configuration; global maximum power point; partial shading conditions; photovoltaic; solar energy</t>
  </si>
  <si>
    <t>MAXIMUM POWER POINT; MPPT METHODS; TRACKING; MODULES; SIMULATION; SYSTEMS</t>
  </si>
  <si>
    <t>A photovoltaic (PV) cell is the smallest unit in an array that exhibits nonlinear characteristic curves. To gather the maximum amount of energy from a PV array under partial shading conditions (PSCs), it is necessary to follow the largest peak in the power-voltage (P-V) curve. PV cells are partially or totally shaded due to atmospheric conditions, which show multiple peaks in the PV curve. To overcome the losses occurring due to PSCs, PV array reconfiguration action is advisable. The authors of this work proposed a novel 5x5 $5\times 5$ quad-tied PV array configuration and compared its performance to that of other current configurations such as series-parallel, total-cross tied, and others in terms of global maximum power point tracking, mismatch loss, fill factor, and efficiency. The MATLAB/Simulink 2020a platform was used to generate PV array curves under various shading conditions.</t>
  </si>
  <si>
    <t>[Verma, Pallavi; Singh, Chandranshu] Dronacharya Grp Inst, Greater Noida, Uttar Pradesh, India; [Dogra, Rahul] IIT Mandi, Sch Comp &amp; Elect Engn, Mandi, Himachal Prades, India; [Bhaskar, M. S.] Prince Sultan Univ, Coll Engn, Renewable Energy Lab, Riyadh, Saudi Arabia; [Gupta, Nikita] Himachal Pradesh Univ, Univ Inst Technol, Dept Elect Engn, Summer Hill Shimla, Himachal Prades, India; [Khan, Baseem] Hawassa Univ Inst Technol, Sch Elect &amp; Comp Engn, Hawassa, Ethiopia</t>
  </si>
  <si>
    <t>Indian Institute of Technology System (IIT System); Indian Institute of Technology (IIT) - Mandi; Prince Sultan University; Himachal Pradesh University</t>
  </si>
  <si>
    <t>Khan, B (corresponding author), Hawassa Univ Inst Technol, Sch Elect &amp; Comp Engn, Hawassa, Ethiopia.</t>
  </si>
  <si>
    <t>baseem_khan04@yahoo.com</t>
  </si>
  <si>
    <t>2050-0505</t>
  </si>
  <si>
    <t>ENERGY SCI ENG</t>
  </si>
  <si>
    <t>Energy Sci. Eng.</t>
  </si>
  <si>
    <t>10.1002/ese3.1531</t>
  </si>
  <si>
    <t>O1NC5</t>
  </si>
  <si>
    <t>WOS:001041546700001</t>
  </si>
  <si>
    <t>Wang, X; Xiao, Q; Du, KM; Zheng, ZZ; Wang, L</t>
  </si>
  <si>
    <t>Wang, Xin; Xiao, Qing; Du, Ke-Ming; Zheng, Zhong-Zheng; Wang, Li</t>
  </si>
  <si>
    <t>The novel HLA-DQB106:475 allele, identified by Sanger dideoxy nucleotide sequencing in a Chinese individual</t>
  </si>
  <si>
    <t>HLA-DQB1*06:475; novel allele; sequencing-based typing</t>
  </si>
  <si>
    <t>HLA-DQB1*06:475 differs from HLA-DQB1*06:35 by one nucleotide in exon 2.</t>
  </si>
  <si>
    <t>[Wang, Xin; Xiao, Qing; Wang, Li] Chongqing Med Univ, Dept Hematol, Affiliated Hosp 1, Chongqing, Peoples R China; [Du, Ke-Ming; Zheng, Zhong-Zheng] Shanghai Tissuebank Biotechnol Co Ltd, Shanghai, Peoples R China; [Wang, Li] Chongqing Med Univ, Dept Hematol, Affiliated Hosp 1, 1 Youyi Rd, Chongqing 400016, Peoples R China</t>
  </si>
  <si>
    <t>Chongqing Medical University; Chongqing Medical University</t>
  </si>
  <si>
    <t>Wang, L (corresponding author), Chongqing Med Univ, Dept Hematol, Affiliated Hosp 1, 1 Youyi Rd, Chongqing 400016, Peoples R China.</t>
  </si>
  <si>
    <t>liwang@hospital.cqmu.edu.cn</t>
  </si>
  <si>
    <t>10.1111/tan.15172</t>
  </si>
  <si>
    <t>N9JE3</t>
  </si>
  <si>
    <t>WOS:001040082800001</t>
  </si>
  <si>
    <t>Wu, ZG; Guo, DC; Chen, S; Sun, XF; Zhang, YR; Liu, XY; Liu, L; Lin, ZW; Yang, JM</t>
  </si>
  <si>
    <t>Wu, Zhenguo; Guo, Dachuan; Chen, Sha; Sun, Xiangfei; Zhang, Yerui; Liu, Xiaoyu; Liu, Li; Lin, Zongwei; Yang, Jianmin</t>
  </si>
  <si>
    <t>Combination of the triglyceride-glucose index and EuroSCORE II improves the prediction of long-term adverse outcomes in patients undergoing coronary artery bypass grafting</t>
  </si>
  <si>
    <t>coronary artery bypass grafting; EuroSCORE II; insulin resistance; prognosis; triglyceride-glucose index</t>
  </si>
  <si>
    <t>IN-HOSPITAL MORTALITY; INSULIN-RESISTANCE; RISK STRATIFICATION; CHINESE PATIENTS; EXTERNAL VALIDATION; ASSOCIATION; GUIDELINES; SURROGATE; PRODUCT; SURGERY</t>
  </si>
  <si>
    <t>Aims: We aimed to investigate the independent and combined association of the triglyceride-glucose (TyG) index and EuroSCORE II with major adverse cardiovas-cular event (MACE) after coronary artery bypass grafting (CABG), and examine whether the addition of the TyG index improves the predictive performance of the EuroSCORE II.Materials and Methods: This study included 1013 patients who underwent CABG. The primary endpoint was MACE, which was defined as the composite of all-cause death, repeat coronary artery revascularisation, non-fatal myocardial infarction and non-fatal stroke. The patients were grouped by the TyG index and EuroSCORE II tertiles and the combination of these risk indicators.Results: During the follow-up, 211 individuals developed MACE. Elevated levels of the TyG index and EuroSCORE II were associated with an increased risk of MACE. The hazard ratio [95% confidence interval (CI)] was 3.66 (2.34-5.73) in patients with the highest tertile of the TyG index and EuroSCORE II. Compared with the Euro-SCORE II alone, combining the TyG index with EuroSCORE II achieved a better predictive performance [C-statistic increased 0.032, p &lt; 0.001; continuous net reclassification improvement (NRI) (95% CI): 0.364 (0.215-0.514), p &lt; 0.001; inte-grated discrimination improvement (IDI) (95% CI): 0.015 (0.007-0.023), p &lt; 0.001, Akaike's information criteria (AIC) and Bayesian information criterion (BIC) decreased, and the likelihood ratio test, p &lt; 0.001].Conclusions: The TyG index and EuroSCORE II are independently associated with poor prognosis. Furthermore, the TyG index is an important adjunct to the Euro-SCORE II for improving risk stratification and guiding early intervention among post-CABG patients.</t>
  </si>
  <si>
    <t>[Wu, Zhenguo; Guo, Dachuan; Chen, Sha; Sun, Xiangfei; Zhang, Yerui; Liu, Xiaoyu; Liu, Li; Lin, Zongwei; Yang, Jianmin] Shandong Univ, Qilu Hosp, Dept Cardiol, Natl Key Lab Innovat &amp; Transformat Luobing Theory,, Jinan, Peoples R China; [Wu, Zhenguo; Guo, Dachuan; Chen, Sha; Sun, Xiangfei; Zhang, Yerui; Liu, Xiaoyu; Liu, Li; Lin, Zongwei; Yang, Jianmin] Shandong Univ, Chinese Acad Med Sci, Dept Cardiol, Qilu Hosp, Jinan, Peoples R China; [Sun, Xiangfei] Shandong Univ, Shandong Prov Hosp, Cheeloo Coll Med, Dept Cardiovasc Surg, Jinan, Shandong, Peoples R China; [Sun, Xiangfei] Shandong First Med Univ, Dept Cardiovasc Surg, Shandong Prov Hosp, Jinan, Shandong, Peoples R China; [Lin, Zongwei; Yang, Jianmin] 107 Wenhuaxi Rd, Jinan, Shandong, Peoples R China</t>
  </si>
  <si>
    <t>Shandong University; Chinese Academy of Medical Sciences - Peking Union Medical College; Shandong University; Shandong First Medical University &amp; Shandong Academy of Medical Sciences; Shandong University; Shandong First Medical University &amp; Shandong Academy of Medical Sciences</t>
  </si>
  <si>
    <t>Lin, ZW; Yang, JM (corresponding author), 107 Wenhuaxi Rd, Jinan, Shandong, Peoples R China.</t>
  </si>
  <si>
    <t>linzongwei@sdu.edu.cn; yangjianminsdu@163.com</t>
  </si>
  <si>
    <t>National Natural Science Foundation of China [81970366]; National Key Research and Development Program of China [2021YFF0501403]; Key Research and Development Plan of Shandong Province [2021SFGC0503]</t>
  </si>
  <si>
    <t>National Natural Science Foundation of China(National Natural Science Foundation of China (NSFC)); National Key Research and Development Program of China; Key Research and Development Plan of Shandong Province</t>
  </si>
  <si>
    <t>ACKNOWLEDGEMENTS We thank the grants of the National Natural Science Foundation of China (No. 81970366), the National Key Research and Development Program of China (2021YFF0501403) and the Key Research and Development Plan of Shandong Province (No. 2021SFGC0503). We also thank Wiley Editing Services for its linguistic assistance during the preparation of this manuscript.</t>
  </si>
  <si>
    <t>e3710</t>
  </si>
  <si>
    <t>10.1002/dmrr.3710</t>
  </si>
  <si>
    <t>O0NC1</t>
  </si>
  <si>
    <t>WOS:001040864300001</t>
  </si>
  <si>
    <t>Zhang, LL; Wei, XY</t>
  </si>
  <si>
    <t>Zhang, Lili; Wei, Xiangyun</t>
  </si>
  <si>
    <t>Stepwise modulation of apical orientational cell adhesions for vertebrate neurulation</t>
  </si>
  <si>
    <t>BIOLOGICAL REVIEWS</t>
  </si>
  <si>
    <t>neurulation; tubulogenesis; cell polarity; orientational cell adhesion; adherens junction; tight junction; cadherins; Eph receptors; Ephrins; Claudins; Occludin; Crumbs; Na+; K+-ATPase</t>
  </si>
  <si>
    <t>NEURAL-TUBE CLOSURE; N-CADHERIN; SPINAL NEURULATION; POLARITY PROTEINS; MULTIPLE ROLES; CHICK-EMBRYO; OKO-MEDUZY; NAGIE-OKO; JUNCTIONS; CRUMBS</t>
  </si>
  <si>
    <t>Neurulation transforms the neuroectoderm into the neural tube. This transformation relies on reorganising the configurational relationships between the orientations of intrinsic polarities of neighbouring cells. These orientational intercellular relationships are established, maintained, and modulated by orientational cell adhesions (OCAs). Here, using zebrafish (Danio rerio) neurulation as a major model, we propose a new perspective on how OCAs contribute to the parallel, antiparallel, and opposing intercellular relationships that underlie the neural plate-keel-rod-tube transformation, a stepwise process of cell aggregation followed by cord hollowing. We also discuss how OCAs in neurulation may be regulated by various adhesion molecules, including cadherins, Eph/Ephrins, Claudins, Occludins, Crumbs, Na+/K+-ATPase, and integrins. By comparing neurulation among species, we reveal that antiparallel OCAs represent a conserved mechanism for the fusion of the neural tube. Throughout, we highlight some outstanding questions regarding OCAs in neurulation. Answers to these questions will help us understand better the mechanisms of tubulogenesis of many tissues.</t>
  </si>
  <si>
    <t>[Zhang, Lili] Dalian Med Univ, Dept Psychol, 9 South LvShun Rd, Dalian 116044, Peoples R China; [Wei, Xiangyun] Univ Pittsburgh, Dept Ophthalmol Dev Biol Microbiol &amp; Mol Genet, 3501 Fifth Ave, Pittsburgh, PA 15213 USA</t>
  </si>
  <si>
    <t>Dalian Medical University; Pennsylvania Commonwealth System of Higher Education (PCSHE); University of Pittsburgh</t>
  </si>
  <si>
    <t>Wei, XY (corresponding author), Univ Pittsburgh, Dept Ophthalmol Dev Biol Microbiol &amp; Mol Genet, 3501 Fifth Ave, Pittsburgh, PA 15213 USA.</t>
  </si>
  <si>
    <t>xiw28@pitt.edu</t>
  </si>
  <si>
    <t>Department of Psychology at Dalian Medical University; Department of Ophthalmology at the University of Pittsburgh; Eye and Ear Foundation of Pittsburgh; Research to Prevent Blindness to the Department of Ophthalmology at the University of Pittsburgh</t>
  </si>
  <si>
    <t>Department of Psychology at Dalian Medical University; Department of Ophthalmology at the University of Pittsburgh; Eye and Ear Foundation of Pittsburgh; Research to Prevent Blindness to the Department of Ophthalmology at the University of Pittsburgh(Research to Prevent Blindness (RPB))</t>
  </si>
  <si>
    <t>L. Z. was supported by the Department of Psychology at Dalian Medical University. X. W. was supported by the Department of Ophthalmology at the University of Pittsburgh, the Eye and Ear Foundation of Pittsburgh, and an unrestricted grant from Research to Prevent Blindness to the Department of Ophthalmology at the University of Pittsburgh.</t>
  </si>
  <si>
    <t>1464-7931</t>
  </si>
  <si>
    <t>1469-185X</t>
  </si>
  <si>
    <t>BIOL REV</t>
  </si>
  <si>
    <t>Biol. Rev.</t>
  </si>
  <si>
    <t>10.1111/brv.13006</t>
  </si>
  <si>
    <t>Biology</t>
  </si>
  <si>
    <t>Life Sciences &amp; Biomedicine - Other Topics</t>
  </si>
  <si>
    <t>O1RC8</t>
  </si>
  <si>
    <t>WOS:001041651500001</t>
  </si>
  <si>
    <t>Ashvanth, B; Partibane, B</t>
  </si>
  <si>
    <t>Ashvanth, Balu; Partibane, Bactavatchalame</t>
  </si>
  <si>
    <t>Miniaturized dual wideband MIMO antenna for implantable biomedical applications</t>
  </si>
  <si>
    <t>MICROWAVE AND OPTICAL TECHNOLOGY LETTERS</t>
  </si>
  <si>
    <t>biomedical; implantable antenna; MIMO</t>
  </si>
  <si>
    <t>A novel miniaturized multiple input multiple output (MIMO)-based implantable antenna is designed to operate with dual bands, which are wide enough to cover three industrial, scientific, and medical (ISM) bands of 402-405 MHz, 902-928 MHz, and 2.4-2.48 GHz. The proposed antenna has an overall dimension of pi x 13. 2(2) x 0.635 mm(3) and uses an RT3010 substrate of thickness 0.635 mm. Each element of MIMO has a spiral structure made of meandered line to realize resonance at 915 MHz, while an arc is etched in each element for obtaining a band of 403 MHz. Semicircular slots are etched in each quadrant of the ground plane for better impedance matching at the higher band of 2.4 GHz. In a -10 dB fractional bandwidth of 95%, 45.36% is attained for the realized bands. Simulation in a skin phantom provides better impedance matching and mutual coupling of less than -15 dB in the three operating bands.</t>
  </si>
  <si>
    <t>[Ashvanth, Balu] Vel Tech Rangarajan Dr Sagunthala R&amp;D Inst Sci &amp; T, Dept ECE, Chennai, Tamilnadu, India; [Partibane, Bactavatchalame] Sri Sivasubramaniya Nadar Coll Engn, Dept ECE, Chennai, Tamilnadu, India; [Ashvanth, Balu] Vel Tech Rangarajan Dr Sagunthala R&amp;D Inst Sci &amp; T, Dept ECE, Chennai 62, TN, India</t>
  </si>
  <si>
    <t>Vel Tech Rangarajan Dr Sagunthala R&amp;D Institute of Science &amp; Technology; SSN College of Engineering; Vel Tech Rangarajan Dr Sagunthala R&amp;D Institute of Science &amp; Technology</t>
  </si>
  <si>
    <t>Ashvanth, B (corresponding author), Vel Tech Rangarajan Dr Sagunthala R&amp;D Inst Sci &amp; T, Dept ECE, Chennai 62, TN, India.</t>
  </si>
  <si>
    <t>drashvanthb@veltech.edu.in</t>
  </si>
  <si>
    <t>0895-2477</t>
  </si>
  <si>
    <t>1098-2760</t>
  </si>
  <si>
    <t>MICROW OPT TECHN LET</t>
  </si>
  <si>
    <t>Microw. Opt. Technol. Lett.</t>
  </si>
  <si>
    <t>10.1002/mop.33856</t>
  </si>
  <si>
    <t>Engineering, Electrical &amp; Electronic; Optics</t>
  </si>
  <si>
    <t>Engineering; Optics</t>
  </si>
  <si>
    <t>S7MG6</t>
  </si>
  <si>
    <t>WOS:001041114000001</t>
  </si>
  <si>
    <t>Bankins, S; Ocampo, AC; Marrone, M; Restubog, SLD; Woo, SE</t>
  </si>
  <si>
    <t>Bankins, Sarah; Ocampo, Anna Carmella; Marrone, Mauricio; Restubog, Simon Lloyd D.; Woo, Sang Eun</t>
  </si>
  <si>
    <t>A multilevel review of artificial intelligence in organizations: Implications for organizational behavior research and practice</t>
  </si>
  <si>
    <t>JOURNAL OF ORGANIZATIONAL BEHAVIOR</t>
  </si>
  <si>
    <t>algorithmic management; artificial intelligence (AI); future of work; multilevel framework; technology and work</t>
  </si>
  <si>
    <t>DECISION-MAKING; WORK HUMAN; FUTURE; RESOURCES; FRAMEWORK; AI; COLLABORATION; CONSERVATION; PERFORMANCE; TECHNOLOGY</t>
  </si>
  <si>
    <t>The rising use of artificially intelligent (AI) technologies, including generative AI tools, in organizations is undeniable. As these systems become increasingly integrated into organizational practices and processes, understanding their impact on workers' experiences and job designs is critical. However, the ongoing discourse surrounding AI use in the workplace remains divided. Proponents of the technology extol its benefits for enhancing efficiency and productivity, while others voice concerns about the potential harm to human workers. To provide greater clarity on this pressing issue, this article presents a systematic review of empirical research that sheds light on the implications of AI use at work. Organized under five inductively generated themes within a multilevel framework, we uncover individual, group, and organizational factors that shape the interplay between humans and AI. Specifically, the themes are: (1) human-AI collaboration; (2) perceptions of algorithmic and human capabilities; (3) worker attitudes towards AI; (4) AI as a control mechanism in algorithmic management of platform-based work; and (5) labor market implications of AI use. Our review offers insights into these themes and identifies five pathways for future research. Finally, we provide practical recommendations for organizational leaders seeking to implement AI technologies while prioritizing their employees' well-being.</t>
  </si>
  <si>
    <t>[Bankins, Sarah] Macquarie Univ, Macquarie Business Sch, Dept Management, Sydney, NSW, Australia; [Ocampo, Anna Carmella] Univ Ramon Llull, ESADE Business Sch, Dept People Management &amp; Org, Barcelona, Spain; [Marrone, Mauricio] Macquarie Univ, Macquarie Business Sch, Dept Actuarial Studies &amp; Business Analyt, Sydney, NSW, Australia; [Restubog, Simon Lloyd D.] Univ Illinois, Sch Lab &amp; Employment Relat, Champaign, IL USA; [Restubog, Simon Lloyd D.] Univ Queensland, UQ Business Sch, Brisbane, Qld, Australia; [Woo, Sang Eun] Purdue Univ, Dept Psychol Sci, W Lafayette, IN USA; [Bankins, Sarah] Macquarie Univ, Macquarie Business Sch, Wallumattagal Campus, Sydney, NSW 2109, Australia</t>
  </si>
  <si>
    <t>Macquarie University; Universitat Ramon Llull; Escuela Superior de Administracion y Direccion de Empresas (ESADE); Macquarie University; University of Illinois System; University of Illinois Urbana-Champaign; University of Queensland; Purdue University System; Purdue University West Lafayette Campus; Purdue University; Macquarie University</t>
  </si>
  <si>
    <t>Bankins, S (corresponding author), Macquarie Univ, Macquarie Business Sch, Wallumattagal Campus, Sydney, NSW 2109, Australia.</t>
  </si>
  <si>
    <t>sarah.bankins@mq.edu.au</t>
  </si>
  <si>
    <t>Ocampo, Anna Carmella/GQZ-3844-2022</t>
  </si>
  <si>
    <t>Marrone, Mauricio/0000-0003-3896-6049; Bankins, Sarah/0000-0003-2290-3086</t>
  </si>
  <si>
    <t>0894-3796</t>
  </si>
  <si>
    <t>1099-1379</t>
  </si>
  <si>
    <t>J ORGAN BEHAV</t>
  </si>
  <si>
    <t>J. Organ. Behav.</t>
  </si>
  <si>
    <t>2023 AUG 2</t>
  </si>
  <si>
    <t>10.1002/job.2735</t>
  </si>
  <si>
    <t>Business; Psychology, Applied; Management</t>
  </si>
  <si>
    <t>O0PB1</t>
  </si>
  <si>
    <t>WOS:001040915900001</t>
  </si>
  <si>
    <t>Barnes, MJ; Afshar, N; Cameron, M; Hausermann, D; Hardcastle, N; Lerch, M</t>
  </si>
  <si>
    <t>Barnes, Micah J.; Afshar, Nader; Cameron, Matthew; Hausermann, Daniel; Hardcastle, Nicholas; Lerch, Michael</t>
  </si>
  <si>
    <t>The design and characterization of a novel dynamic collimator system for synchrotron radiotherapy applications</t>
  </si>
  <si>
    <t>collimator; conformal; radiotherapy; synchrotron</t>
  </si>
  <si>
    <t>BackgroundNovel synchrotron radiotherapy techniques are currently limited to using prefabricated beam-limiting blocks for field definition. For large experiments, a single square tungsten block is often used for every treatment since conformal blocks are both patient and field specific, and require long lead times for fabrication. Future synchrotron radiotherapy treatments would benefit from a dynamic collimator system. PurposeWe developed and tested a novel collimator design for use on the Imaging and Medical Beamline (IMBL) at the ANSTO Australian Synchrotron. MethodsThe maximum usable beam size on IMBL is 50-mm wide by 3-mm tall. Given the beam shape, targets must be vertically scanned through the synchrotron beam to cover the target volume. To shape the beam, a novel collimator design was developed, consisting of two semi-circular leaves made from 4-mm thick tungsten sheets, with each leaf capable of both vertical and horizontal movement. A software model was created to optimize motor trajectories and generate deliverable treatment fields. A series of geometric field shapes and clinical target volumes were delivered using the collimator and imaged with a digital imaging detector. Four similarity metrics (volumetric similarity, DICE, and the average and maximum Hausdorff distances) were used to measure differences between the input and planned fields, and the planned and delivered fields. ResultsDifferences between input and planned fields increased with delivery speed, and were worse for rectangular and square fields compared to circular fields. However, the differences between planned and delivered fields were small, where the maximum average deviation between the fields was 0.25 mm (one pixel). Field repeatability was consistent with no difference (&amp; sigma; = 0 for all metrics) observed in consecutively delivered fields. ConclusionsWe have successfully built and demonstrated a novel collimator for synchrotron radiotherapy applications on IMBL. Several design improvements have been highlighted and will be addressed in future revisions the collimator. However, in its current state, the collimator enables dynamically delivered conformal treatment fields to be utilized on IMBL, and is ready to support the forthcoming canine treatments on IMBL.</t>
  </si>
  <si>
    <t>[Barnes, Micah J.; Lerch, Michael] Univ Wollongong, Ctr Med Radiat Phys, Wollongong, NSW, Australia; [Barnes, Micah J.; Afshar, Nader; Cameron, Matthew; Hausermann, Daniel] ANSTO Australian Synchrotron, Clayton, Vic, Australia; [Barnes, Micah J.; Hardcastle, Nicholas] Peter MacCallum Canc Ctr, Phys Sci, Melbourne, Vic, Australia</t>
  </si>
  <si>
    <t>University of Wollongong; Peter Maccallum Cancer Center</t>
  </si>
  <si>
    <t>Barnes, MJ (corresponding author), Univ Wollongong, Ctr Med Radiat Phys, Wollongong, NSW, Australia.</t>
  </si>
  <si>
    <t>micah.barnes@petermac.org.au</t>
  </si>
  <si>
    <t>Lerch, Michael/0000-0002-2406-9972</t>
  </si>
  <si>
    <t>10.1002/mp.16664</t>
  </si>
  <si>
    <t>N8BG3</t>
  </si>
  <si>
    <t>WOS:001039195500001</t>
  </si>
  <si>
    <t>Barrios-Gonzalez, MC; Garcia-Perez, AM; Yanes-Estevez, V</t>
  </si>
  <si>
    <t>Barrios-Gonzalez, Maria Candelaria; Garcia-Perez, Ana Maria; Yanes-Estevez, Vanessa</t>
  </si>
  <si>
    <t>Cooperative employment in the regions of Spain (1999-2019): The convergence clubs</t>
  </si>
  <si>
    <t>ANNALS OF PUBLIC AND COOPERATIVE ECONOMICS</t>
  </si>
  <si>
    <t>cooperative; club convergence; employment</t>
  </si>
  <si>
    <t>COUNTRY</t>
  </si>
  <si>
    <t>In times of crisis, the study of employment is of vital importance, especially that generated by cooperatives, which show great resilience. This paper analyzes the evolution of employment created by cooperatives in the different Spanish regions in relation to total employment between 1999 and 2019 with a pioneering approach. We analyze the existence of convergence clubs among the Spanish regions using the methodology developed by Phillips and Sul (2007, 2009). The results show the existence of four clubs that include the regions that converge in relative terms of cooperative employment over the 20 years analyzed. The lack of homogeneity in the behavior of employment in cooperatives in the different Spanish regions is demonstrated, with certain divergences among regions. These divergences make it difficult to establish a model of cooperative employment for the whole of Spain.</t>
  </si>
  <si>
    <t>[Barrios-Gonzalez, Maria Candelaria] Univ La Laguna, Dept Econ Aplicada &amp; Metodos Cuantitat, San Cristobal la Laguna, Islas Canarias, Spain; [Garcia-Perez, Ana Maria; Yanes-Estevez, Vanessa] Univ La Laguna, Dept Direcc Empresas &amp; Hist Econ IUDE, San Cristobal la Laguna, Islas Canarias, Spain; [Yanes-Estevez, Vanessa] Univ La Laguna, Fac Econ Empresa &amp; Turismo, Dept Direcc Empresas &amp; Hist Econ IUDE, IUDE, Apdo 456, San Cristobal la Laguna 38200, Islas Canarias, Spain</t>
  </si>
  <si>
    <t>Universidad de la Laguna; Universidad de la Laguna; Universidad de la Laguna</t>
  </si>
  <si>
    <t>Yanes-Estevez, V (corresponding author), Univ La Laguna, Fac Econ Empresa &amp; Turismo, Dept Direcc Empresas &amp; Hist Econ IUDE, IUDE, Apdo 456, San Cristobal la Laguna 38200, Islas Canarias, Spain.</t>
  </si>
  <si>
    <t>vayanes@ull.edu.es</t>
  </si>
  <si>
    <t>Yanes-Estevez, Vanessa/F-6965-2016</t>
  </si>
  <si>
    <t>Yanes-Estevez, Vanessa/0000-0002-4834-7199</t>
  </si>
  <si>
    <t>1370-4788</t>
  </si>
  <si>
    <t>1467-8292</t>
  </si>
  <si>
    <t>ANN PUBLIC COOP ECON</t>
  </si>
  <si>
    <t>Ann. Public Coop. Econ.</t>
  </si>
  <si>
    <t>10.1111/apce.12452</t>
  </si>
  <si>
    <t>O1HN4</t>
  </si>
  <si>
    <t>WOS:001041400000001</t>
  </si>
  <si>
    <t>Beer, RD</t>
  </si>
  <si>
    <t>Beer, Randall D.</t>
  </si>
  <si>
    <t>On the Proper Treatment of Dynamics in Cognitive Science</t>
  </si>
  <si>
    <t>TOPICS IN COGNITIVE SCIENCE</t>
  </si>
  <si>
    <t>Situatedness; Embodiment; Dynamics; Behavior; Theoretical framework</t>
  </si>
  <si>
    <t>ADAPTIVE-BEHAVIOR; MODEL; PERCEPTION; EVOLUTION; ANIMATS; BRAIN</t>
  </si>
  <si>
    <t>This essay examines the relevance of dynamical ideas for cognitive science. On its own, the mere mathematical idea of a dynamical system is too weak to serve as a scientific theory of anything, and dynamical approaches within cognitive science are too rich and varied to be subsumed under a single dynamical hypothesis. Instead, after first attempting to dissect the different notions of dynamics and cognition at play, a more specific theoretical framework for cognitive science broadly construed is sketched. This framework draws upon not only dynamical ideas, but also such contemporaneous perspectives as situatedness, embodiment, ecological psychology, enaction, neuroethology/neuroscience, artificial life, and biogenic approaches. The paper ends with some methodological suggestions for pursuing this theoretical framework.</t>
  </si>
  <si>
    <t>[Beer, Randall D.] Indiana Univ, Luddy Sch Informat Comp &amp; Engn, Informat Dept, Cognit Sci Program, Bloomington, IN USA; [Beer, Randall D.] Indiana Univ, Informat Dept, Cognit Sci Program, Luddy Sch Informat Comp &amp; Engn, 3052 Geol Bldg, Bloomington, IN 47405 USA</t>
  </si>
  <si>
    <t>Indiana University System; Indiana University Bloomington; Indiana University System; Indiana University Bloomington</t>
  </si>
  <si>
    <t>Beer, RD (corresponding author), Indiana Univ, Informat Dept, Cognit Sci Program, Luddy Sch Informat Comp &amp; Engn, 3052 Geol Bldg, Bloomington, IN 47405 USA.</t>
  </si>
  <si>
    <t>rdbeer@indiana.edu</t>
  </si>
  <si>
    <t>1756-8757</t>
  </si>
  <si>
    <t>1756-8765</t>
  </si>
  <si>
    <t>TOP COGN SCI</t>
  </si>
  <si>
    <t>Top. Cogn. Sci.</t>
  </si>
  <si>
    <t>10.1111/tops.12686</t>
  </si>
  <si>
    <t>O1BH9</t>
  </si>
  <si>
    <t>WOS:001041237700001</t>
  </si>
  <si>
    <t>Braakmann, N; Hirsch, B</t>
  </si>
  <si>
    <t>Braakmann, Nils; Hirsch, Boris</t>
  </si>
  <si>
    <t>Unions as insurance: Workplace unionization and workers' outcomes during COVID-19</t>
  </si>
  <si>
    <t>INDUSTRIAL RELATIONS</t>
  </si>
  <si>
    <t>WAGE INSURANCE; TRADE-UNIONS; INSTITUTIONS; DISMISSALS; COUNCILS; FIRMS</t>
  </si>
  <si>
    <t>We investigate to what extent workplace unionization protects workers from external shocks by preventing involuntary job separations. Using the COVID-19 pandemic as a plausibly exogenous shock hitting the whole economy, we compare workers who worked in unionized and non-unionized workplaces directly before the pandemic in a difference-in-differences framework. We find that unionized workers were substantially more likely to remain working for their pre-COVID employer and to be in employment. This greater employment stability was not traded off against lower working hours or labor income.</t>
  </si>
  <si>
    <t>[Braakmann, Nils] Newcastle Univ, Business Sch Econ, Newcastle Upon Tyne, England; [Hirsch, Boris] Leuphana Univ Luneburg, Inst Econ, Luneburg, Germany; [Braakmann, Nils] Newcastle Univ, Business Sch Econ, Newcastle Upon Tyne NE1 7RU, England</t>
  </si>
  <si>
    <t>Newcastle University - UK; Leuphana University Luneburg; Newcastle University - UK</t>
  </si>
  <si>
    <t>Braakmann, N (corresponding author), Newcastle Univ, Business Sch Econ, Newcastle Upon Tyne NE1 7RU, England.</t>
  </si>
  <si>
    <t>nils.braakmann@ncl.ac.uk</t>
  </si>
  <si>
    <t>Braakmann, Nils/0000-0002-7529-7764</t>
  </si>
  <si>
    <t>0019-8676</t>
  </si>
  <si>
    <t>1468-232X</t>
  </si>
  <si>
    <t>IND RELAT</t>
  </si>
  <si>
    <t>Ind. Relat.</t>
  </si>
  <si>
    <t>10.1111/irel.12344</t>
  </si>
  <si>
    <t>O1JY4</t>
  </si>
  <si>
    <t>WOS:001041463700001</t>
  </si>
  <si>
    <t>Bun, S; Suzuki, K; Niimura, H; Shikimoto, R; Kida, H; Shibata, M; Honda, T; Ohara, T; Hata, J; Nakaji, S; Maeda, T; Ono, K; Nakashima, K; Iga, J; Takebayashi, M; Ninomiya, T; Mimura, M; JPSC-AD Study Grp</t>
  </si>
  <si>
    <t>Bun, Shogyoku; Suzuki, Kouta; Niimura, Hidehito; Shikimoto, Ryo; Kida, Hisashi; Shibata, Mao; Honda, Takanori; Ohara, Tomoyuki; Hata, Jun; Nakaji, Shigeyuki; Maeda, Tetsuya; Ono, Kenjiro; Nakashima, Kenji; Iga, Jun-ichi; Takebayashi, Minoru; Ninomiya, Toshiharu; Mimura, Masaru; JPSC-AD Study Grp</t>
  </si>
  <si>
    <t>Gender and age influence the association between gait speed and mild cognitive impairment in community-dwelling Japanese older adults: from the Japan Prospective Studies Collaboration for Ageing and Dementia (JPSC-AD)</t>
  </si>
  <si>
    <t>cross-sectional study; gait speed; mild cognitive impairment</t>
  </si>
  <si>
    <t>APOLIPOPROTEIN-E; PHYSICAL PERFORMANCE; AMERICAN-ACADEMY; DECLINE; METAANALYSIS; SUBCOMMITTEE; PARAMETERS; DIAGNOSIS</t>
  </si>
  <si>
    <t>BackgroundStudies have shown that decreased gait speed is associated with impaired cognitive function. However, whether this association is equivalent across ages or genders in the older population remains unclear. Thus, we examined the association between mild cognitive impairment (MCI) and gait speed emphasising the influence of age and gender. MethodsOverall, 8233 Japanese participants aged &amp; GE;65 years were enrolled in this cross-sectional study between 2016 and 2018. After stratification by gender and age group, the participants' gait speeds were divided into quintiles, and the difference in MCI prevalence at each gait speed quintile was calculated. Logistic regression analyses were performed to assess the odds of MCI for each quintile and to assess the influence of age and gender. ResultsMales had a consistently higher prevalence of MCI than females. The odds of MCI were increased as gait speed decreased. Logistic regression analyses revealed that in the multivariable-adjusted model 2, the odds ratios (95% confidence interval; CI) for MCI were 2.02 (1.47-2.76) for females and 1.75 (1.29-2.38) for males in the slowest gait speed quintiles compared to the fastest quintile. In the stratified analyses, only males showed an age-dependent increase in the associations between gait speed and MCI, while females exhibited comparable associations across age groups. ConclusionsReduced gait speed was associated with increased odds of MCI, and this association may vary according to gender and age. Therefore, gait speed could serve as a valuable screening tool for MCI, with gender- and age-dependent clinical implications.</t>
  </si>
  <si>
    <t>[Bun, Shogyoku; Suzuki, Kouta; Niimura, Hidehito; Shikimoto, Ryo; Kida, Hisashi; Mimura, Masaru] Keio Univ, Dept Neuropsychiat, Sch Med, Tokyo, Japan; [Shibata, Mao; Honda, Takanori; Hata, Jun; Ninomiya, Toshiharu] Kyushu Univ, Ctr Cohort Studies, Grad Sch Med Sci, Fukuoka, Japan; [Shibata, Mao; Honda, Takanori; Ohara, Tomoyuki; Hata, Jun; Ninomiya, Toshiharu] Kyushu Univ, Grad Sch Med Sci, Dept Epidemiol &amp; Publ Hlth, Fukuoka, Japan; [Ohara, Tomoyuki] Kyushu Univ, Grad Sch Med Sci, Dept Neuropsychiat, Fukuoka, Japan; [Nakaji, Shigeyuki] Hirosaki Univ, Grad Sch Med, Dept Social Med, Hirosaki, Japan; [Maeda, Tetsuya] Iwate Med Univ, Sch Med, Dept Internal Med, Div Neurol &amp; Gerontol, Morioka, Iwate, Japan; [Ono, Kenjiro] Kanazawa Univ, Dept Neurol, Grad Sch Med Sci, Kanazawa, Japan; [Nakashima, Kenji] Natl Hosp Org, Matsue Med Ctr, Matsue, Japan; [Iga, Jun-ichi] Ehime Univ, Dept Neuropsychiat Mol &amp; Funct, Grad Sch Med, Matsuyama, Japan; [Takebayashi, Minoru] Kumamoto Univ, Fac Life Sci, Dept Neuropsychiat, Kumamoto, Japan; [Bun, Shogyoku] Keio Univ, Sch Med, 35 Shinanomachi,Shinjuku, Tokyo 1608582, Japan</t>
  </si>
  <si>
    <t>Keio University; Kyushu University; Kyushu University; Kyushu University; Hirosaki University; Iwate Medical University; Kanazawa University; Ehime University; Kumamoto University; Keio University</t>
  </si>
  <si>
    <t>Bun, S (corresponding author), Keio Univ, Sch Med, 35 Shinanomachi,Shinjuku, Tokyo 1608582, Japan.</t>
  </si>
  <si>
    <t>shogybun@keio.jp</t>
  </si>
  <si>
    <t>Bun, Shogyoku/IUM-2851-2023</t>
  </si>
  <si>
    <t>Iga, Jun-ichi/0000-0003-4409-3096</t>
  </si>
  <si>
    <t>Japan Agency for Medical Research and Development [JP22dk0207053]; Suntory Holdings Limited (Osaka, Japan)</t>
  </si>
  <si>
    <t>Japan Agency for Medical Research and Development(Japan Agency for Medical Research and Development (AMED)); Suntory Holdings Limited (Osaka, Japan)</t>
  </si>
  <si>
    <t>We sincerely thank all the participants and their families for their time and assistance. We also thank all staff involved at each participating institution. This study was supported by the Japan Agency for Medical Research and Development (JP22dk0207053) and Suntory Holdings Limited (Osaka, Japan). The funders had no role in the design of the study, the collection, analysis, and interpretation of data, or the writing of the manuscript. We thank Editage (http://www.editage.com) for English language editing.</t>
  </si>
  <si>
    <t>10.1111/psyg.13013</t>
  </si>
  <si>
    <t>O1GR7</t>
  </si>
  <si>
    <t>WOS:001041378200001</t>
  </si>
  <si>
    <t>Butjosa, A; Usall, J; Vila-Badia, R; Del Cacho, N; Gomez-Benito, J; Barajas, A; Banos, I; Grau, N; Granell, L; Sola, A; Hami-Carlson, J; Dolz, M; Sanchez, B; GENIPE Grp</t>
  </si>
  <si>
    <t>Butjosa, Anna; Usall, Judith; Vila-Badia, Regina; Del Cacho, Nuria; Gomez-Benito, Juana; Barajas, Ana; Banos, Iris; Grau, Norma; Granell, Luis; Sola, Andrea; Hami-Carlson, Janina; Dolz, Montserrat; Sanchez, Bernardo; GENIPE Grp</t>
  </si>
  <si>
    <t>Development and validation of a short version of the questionnaire of stressful life events (QSLE)</t>
  </si>
  <si>
    <t>CLINICAL PSYCHOLOGY &amp; PSYCHOTHERAPY</t>
  </si>
  <si>
    <t>life events; psychometric properties; psychosis; stress; validation</t>
  </si>
  <si>
    <t>SCHIZOPHRENIA; PSYCHOSIS; VULNERABILITY; POPULATION; REACTIVITY; SPECTRUM; RISK</t>
  </si>
  <si>
    <t>Stressful life events (SLE) tend to occur before the onset of psychosis, this highlights the importance of its detection and evaluation in these patients. The need to have instruments that assess SLE easily and quickly underpins the objective of this study, which is to validate a short version of the questionnaire of stressful life events (QSLE). 124 patients with first-episode psychosis and 218 healthy controls aged between 11 and 52 years were recruited. The QSLE scale underwent discrimination analysis, which revealed 18 items had good SLEs discriminability between the two samples. These 18 items were then used to create the shorter QSLE-SV. The QSLE-SV showed good internal consistency (Cronbach's alpha = 0.749). An AUC of 0.830 was observed, suggesting that the predictor was good. Using 2 as the cut-off score to predict an individual as a patient would yield a sensitivity of 91.1% and a specificity of 51.6%, and using a cut-off point of 3, the sensitivity was 77.4% and the specificity was 72.5%. QSLE-SV displayed satisfactory psychometric properties in a Spanish population. The QSLE-SV allows for investigating childhood, adolescent and adult life events by measuring current stress and age on a continuous scale in a quick and easy way.</t>
  </si>
  <si>
    <t>[Butjosa, Anna; Usall, Judith; Vila-Badia, Regina; Del Cacho, Nuria; Barajas, Ana; Banos, Iris; Grau, Norma; Hami-Carlson, Janina; Dolz, Montserrat; GENIPE Grp] Inst Recerca St Joan Deu, Etiopatogenia &amp; Tractament Trastorns Mentals Greus, Esplugas de Llobregat, Spain; [Butjosa, Anna; Usall, Judith; Vila-Badia, Regina; Del Cacho, Nuria; Sola, Andrea; GENIPE Grp] CIBERSAM, Parc Sanit St Joan Deu, Barcelona, Spain; [Butjosa, Anna; Dolz, Montserrat; Sanchez, Bernardo] Hosp Infantojuvenil St Joan Deu, Inst Recerca St Joan Deu, CIBERSAM, Barcelona, Spain; [Gomez-Benito, Juana] Univ Barcelona, Fac Psicol, Barcelona, Spain; [Gomez-Benito, Juana] Univ Barcelona, Inst Neurociencias UB Neuro, Barcelona, Spain; [Barajas, Ana] Hosp Infantojuvenil St Joan Deu, Inst Recerca St Joan Deu, CIBERSAM, Barcelona, Spain; [Barajas, Ana] Ctr Higiene Mental Corts, Barcelona, Spain; [Granell, Luis] Hosp Univ Fuenlabrada, Madrid, Spain; [Vila-Badia, Regina] Ctr Invest Red Salud Mental, Parc Sanit St Joan Deu, Calle Antoni Pujades 42, Barcelona 08830, Spain</t>
  </si>
  <si>
    <t>CIBER - Centro de Investigacion Biomedica en Red; CIBERSAM; CIBER - Centro de Investigacion Biomedica en Red; CIBERSAM; University of Barcelona; University of Barcelona; CIBER - Centro de Investigacion Biomedica en Red; CIBERSAM; Hospital Universitario Fuenlabrada</t>
  </si>
  <si>
    <t>Vila-Badia, R (corresponding author), Ctr Invest Red Salud Mental, Parc Sanit St Joan Deu, Calle Antoni Pujades 42, Barcelona 08830, Spain.</t>
  </si>
  <si>
    <t>regina.vilab@sjd.es</t>
  </si>
  <si>
    <t>Fondo de Investigaciones Sanitarias de Espana [FIS PI05/1115]; Instituto de Salud Carlos III de Espai?a, Centro de Investigacion en Red de Salud Mental (CIBERSAM); Caja Navarra</t>
  </si>
  <si>
    <t>Fondo de Investigaciones Sanitarias de Espana(Spanish Government); Instituto de Salud Carlos III de Espai?a, Centro de Investigacion en Red de Salud Mental (CIBERSAM); Caja Navarra</t>
  </si>
  <si>
    <t>This work was supported by the Fondo de Investigaciones Sanitarias de Espana (FIS PI05/1115); the Instituto de Salud Carlos III de Espai?a, Centro de Investigacion en Red de Salud Mental (CIBERSAM)'; and the Caja Navarra'.</t>
  </si>
  <si>
    <t>1063-3995</t>
  </si>
  <si>
    <t>1099-0879</t>
  </si>
  <si>
    <t>CLIN PSYCHOL PSYCHOT</t>
  </si>
  <si>
    <t>Clin. Psychol. Psychother.</t>
  </si>
  <si>
    <t>10.1002/cpp.2886</t>
  </si>
  <si>
    <t>O1FW0</t>
  </si>
  <si>
    <t>WOS:001041356000001</t>
  </si>
  <si>
    <t>Chen, XY; Dong, YC; Yu, YY; Jiang, M; Bu, WJ; Li, P; Sun, ZJ; Dong, DL</t>
  </si>
  <si>
    <t>Chen, Xu-Yang; Dong, Yan-Chao; Yu, Yuan-Yuan; Jiang, Man; Bu, Wen-Jie; Li, Ping; Sun, Zhi-Jie; Dong, De-Li</t>
  </si>
  <si>
    <t>Anthelmintic nitazoxanide protects against experimental pulmonary fibrosis</t>
  </si>
  <si>
    <t>AMPK; nitazoxanide; pulmonary fibrosis; STAT3; tizoxanide</t>
  </si>
  <si>
    <t>TGF-BETA; MITOCHONDRIAL UNCOUPLER; EXPERIMENTAL-DESIGN; DIFFERENTIATION; ACTIVATION; AMPK; PROLIFERATION; INFLAMMATION; PUBLICATION; INHIBITION</t>
  </si>
  <si>
    <t>Background and PurposeNitazoxanide is a therapeutic anthelmintic drug. Our previous studies found that nitazoxanide and its metabolite tizoxanide activated adenosine 5 &amp; PRIME;-monophosphate-activated protein kinase (AMPK) and inhibited signal transducer and activator of transcription 3 (STAT3) signals. As AMPK activation and/or STAT3 inhibition are targets for treating pulmonary fibrosis, we hypothesized that nitazoxanide would be effective in experimental pulmonary fibrosis. Experimental ApproachThe mitochondrial oxygen consumption rate of cells was measured by using the high-resolution respirometry system Oxygraph-2K. The mitochondrial membrane potential of cells was evaluated by tetramethyl rhodamine methyl ester (TMRM) staining. The target protein levels were measured by using western blotting. The mice pulmonary fibrosis model was established through intratracheal instillation of bleomycin. The examination of the lung tissues changes were carried out using haematoxylin and eosin (H &amp; E), and Masson staining. Key ResultsNitazoxanide and tizoxanide activated AMPK and inhibited STAT3 signalling in human lung fibroblast cells (MRC-5 cells). Nitazoxanide and tizoxanide inhibited transforming growth factor-&amp; beta;1 (TGF-&amp; beta;1)-induced proliferation and migration of MRC-5 cells, collagen-I and &amp; alpha;-smooth muscle cell actin (&amp; alpha;-SMA) expression, and collagen-I secretion from MRC-5 cells. Nitazoxanide and tizoxanide inhibited epithelial-mesenchymal transition (EMT) and inhibited TGF-&amp; beta;1-induced Smad2/3 activation in mouse lung epithelial cells (MLE-12 cells). Oral administration of nitazoxanide reduced the bleomycin-induced mice pulmonary fibrosis and, in the established bleomycin-induced mice, pulmonary fibrosis. Delayed nitazoxanide treatment attenuated the fibrosis progression. Conclusions and ImplicationsNitazoxanide improves the bleomycin-induced pulmonary fibrosis in mice, suggesting a potential application of nitazoxanide for pulmonary fibrosis treatment in the clinic.</t>
  </si>
  <si>
    <t>[Chen, Xu-Yang; Dong, Yan-Chao; Yu, Yuan-Yuan; Jiang, Man; Bu, Wen-Jie; Li, Ping; Dong, De-Li] Harbin Med Univ, Coll Pharm, Dept Pharmacol, Minist Educ,Key Lab Cardiovasc Res,State Prov Key, Harbin, Peoples R China; [Sun, Zhi-Jie; Dong, De-Li] China Pharmaceut Univ, Dept Pharmacol, Nanjing, Peoples R China</t>
  </si>
  <si>
    <t>Harbin Medical University; China Pharmaceutical University</t>
  </si>
  <si>
    <t>Dong, DL (corresponding author), Harbin Med Univ, Coll Pharm, Dept Pharmacol, Minist Educ,Key Lab Cardiovasc Res,State Prov Key, Harbin, Peoples R China.;Sun, ZJ; Dong, DL (corresponding author), China Pharmaceut Univ, Dept Pharmacol, Nanjing, Peoples R China.</t>
  </si>
  <si>
    <t>sunzhijie@cpu.edu.cn; dongdeli@ems.hrbmu.edu.cn</t>
  </si>
  <si>
    <t>Chen, Xuyang/JEO-6530-2023</t>
  </si>
  <si>
    <t>National Natural Science Foundation of China [82170472, 81773725]</t>
  </si>
  <si>
    <t>National Natural Science Foundation of China,Grant/Award Numbers: 82170472, 81773725</t>
  </si>
  <si>
    <t>10.1111/bph.16190</t>
  </si>
  <si>
    <t>O0SI5</t>
  </si>
  <si>
    <t>WOS:001041002700001</t>
  </si>
  <si>
    <t>Cokola, MC; van den Bussche, R; Noel, G; Kouanda, N; Seye, F; Yarou, BB; Megido, RC; Loudit, SB; Tipi, EL; Michel, B; Francis, F</t>
  </si>
  <si>
    <t>Cokola, Marcellin C. C.; Van Den Bussche, Raphael; Noel, Gregoire; Kouanda, Nongamanegre; Seye, Fawrou; Yarou, Boni B. B.; Caparros Megido, Rudy; Bayendi Loudit, Sandrine M. M.; Lonpi Tipi, Ernestine; Michel, Baudouin; Francis, Frederic</t>
  </si>
  <si>
    <t>Managing fall armyworm, Spodoptera frugiperda (Lepidoptera: Noctuidae): Experience from smallholder farmers in central and western Africa</t>
  </si>
  <si>
    <t>FOOD AND ENERGY SECURITY</t>
  </si>
  <si>
    <t>fall armyworm; farmer's perception; maize; pest management; pesticide</t>
  </si>
  <si>
    <t>MANAGEMENT-PRACTICES; JE SMITH; AGRICULTURE; MAIZE; PERCEPTION; KNOWLEDGE; OPTIONS</t>
  </si>
  <si>
    <t>The fall armyworm, Spodoptera frugiperda (J. E. Smith) (Lepidoptera: Noctuidae), is currently an important pest of maize crops worldwide not only because of its dispersal ability but also because of its polyphagous feeding behaviour. Lack of sufficient information on the management of the fall armyworm attacks remains a crucial problem for maize smallholder farmers in Africa. In this study, 420 farmers were surveyed in central and west Africa using individual interviews to assess farmers' knowledges and perceptions of the fall armyworm damages and the management practices used. Most farmers (99.4%) were shown to recognize the fall armyworm and 92.5% claimed to already have damages in their fields. The fall armyworm seems not to be a new pest as most farmers identified it in different countries from 2015 to 2019. Apart from maize as the preferred crop of S. frugiperda, several alternative host plants including Napier grass, sorghum, onion, and cabbage were identified by the farmers. Although cultural and mechanical control methods are used by several farmers, the synthetic pesticide market is still preferred by almost half of the farmers (44.28%) who still use them. To control fall armyworm, 96.4% in Burkina Faso, 85.3% in Gabon, 65.2% in Benin and 25% in DR Congo reported using insecticides, against 5.9% in Senegal. Semiochemical-based method and biological control by promoting natural enemies of the fall armyworm are new concepts for farmers in DR Congo, Gabon and Benin. To avoid additional problems regarding health and resilience of agricultural systems, alternative methods such as push-pull approach, the development of biopesticides and resistant cultivars should form the basis of training given to farmers and should be popularized for sustainable control of the fall armyworm in central and west Africa.</t>
  </si>
  <si>
    <t>[Cokola, Marcellin C. C.; Van Den Bussche, Raphael; Noel, Gregoire; Caparros Megido, Rudy; Francis, Frederic] Univ Liege, Funct &amp; Evolutionary Entomol, Gembloux Agrobio Tech, Gembloux, Belgium; [Cokola, Marcellin C. C.] Univ Evangel Africa, Fac Agr &amp; Environm Sci, Dept Crop Sci, Bukavu, DEM REP CONGO; [Kouanda, Nongamanegre] Univ Joseph Ki Zerbo, Funct &amp; Appl Entomol Lab, UFR SVT, Ouagadougou, Burkina Faso; [Seye, Fawrou] Gaston Berger Univ, Lab Reprod Biol, UFR2S, St Louis, Senegal; [Yarou, Boni B. B.] World Vegetable Ctr West &amp; Cent Africa WCA Coastal, IITA Benin Campus, Cotonou, Benin; [Bayendi Loudit, Sandrine M. M.] Inst Rech Agron &amp; Forestieres, Libreville, Gabon; [Lonpi Tipi, Ernestine; Michel, Baudouin] Ecole Reg Postuniv Amenagement &amp; Gest Integres For, Kinshasa, DEM REP CONGO; [Michel, Baudouin] Univ Liege, Gembloux Agrobio Tech, Econ &amp; Rural Dev, Gembloux, Belgium; [Cokola, Marcellin C. C.] Univ Liege, Gembloux Agrobio Tech, Funct &amp; Evolutionary Entomol, Passage Deportes 2, B-5030 Gembloux, Belgium</t>
  </si>
  <si>
    <t>University of Liege; University of Liege; University of Liege</t>
  </si>
  <si>
    <t>Cokola, MC (corresponding author), Univ Liege, Gembloux Agrobio Tech, Funct &amp; Evolutionary Entomol, Passage Deportes 2, B-5030 Gembloux, Belgium.</t>
  </si>
  <si>
    <t>marcellin92cokolacuma@gmail.com</t>
  </si>
  <si>
    <t>Cokola, Marcellin Cuma/HGB-1991-2022</t>
  </si>
  <si>
    <t>Cokola, Marcellin Cuma/0000-0002-5429-0483; Noel, gregoire/0000-0001-5994-1022; Caparros Megido, Rudy/0000-0001-9368-7072</t>
  </si>
  <si>
    <t>2048-3694</t>
  </si>
  <si>
    <t>FOOD ENERGY SECUR</t>
  </si>
  <si>
    <t>Food Energy Secur.</t>
  </si>
  <si>
    <t>e491</t>
  </si>
  <si>
    <t>10.1002/fes3.491</t>
  </si>
  <si>
    <t>Agronomy; Food Science &amp; Technology</t>
  </si>
  <si>
    <t>Agriculture; Food Science &amp; Technology</t>
  </si>
  <si>
    <t>S8EB8</t>
  </si>
  <si>
    <t>WOS:001041384200001</t>
  </si>
  <si>
    <t>David, EA</t>
  </si>
  <si>
    <t>David, Eytan A.</t>
  </si>
  <si>
    <t>A New Chapter for Computerized Posturography</t>
  </si>
  <si>
    <t>[David, Eytan A.] Univ British Columbia, Dept Surg, Otol, Neurotol,Skull Base Surg, Vancouver, BC, Canada</t>
  </si>
  <si>
    <t>University of British Columbia</t>
  </si>
  <si>
    <t>David, EA (corresponding author), Univ British Columbia, Dept Surg, Otol, Neurotol,Skull Base Surg, Vancouver, BC, Canada.</t>
  </si>
  <si>
    <t>dr.david@shaw.ca</t>
  </si>
  <si>
    <t>10.1002/ohn.462</t>
  </si>
  <si>
    <t>O1DU1</t>
  </si>
  <si>
    <t>WOS:001041301900001</t>
  </si>
  <si>
    <t>Edwards, EM; Mosher, BA; Pauley, T; Welch, S; Waldron, JL</t>
  </si>
  <si>
    <t>Edwards, Elise M.; Mosher, Brittany A.; Pauley, Thomas; Welch, Shane; Waldron, Jayme L.</t>
  </si>
  <si>
    <t>Liming and spring salamander abundance</t>
  </si>
  <si>
    <t>JOURNAL OF WILDLIFE MANAGEMENT</t>
  </si>
  <si>
    <t>abundance; detection probability; direct application liming; Gyrinophilus porphyriticus; N-mixture; West Virginia</t>
  </si>
  <si>
    <t>N-MIXTURE MODELS; RED-BACKED SALAMANDER; STREAM SALAMANDERS; LIMESTONE SAND; BROOK TROUT; SEDIMENT; RESPONSES; WATERS; SIZE; AVAILABILITY</t>
  </si>
  <si>
    <t>Environmental acidification is affecting ecosystems around the globe, and as a result, managers are using limestone applications to mitigate the effects of acid rain and acid mine drainage. Limestone applications attempt to reverse acidification by increasing stream pH; however, liming can have variable effects on stream biota. We examined the effects of liming on spring salamander (Gyrinophilus porphyriticus) abundance in West Virginia, USA, from 10 June to 1 September 2013. We used multiple methods (i.e., leaf litterbags, visual encounter surveys, area constrained flip and search) to sample spring salamanders within 11 different streams in the Monongahela National Forest. Using N-mixture models, which allow for estimation of abundance from count data and account for imperfect detection probabilities, we examined the effects of direct application liming (DAL) on spring salamander abundance. Direct application liming at a higher lime frequency did not have a significant effect on salamander abundance; however, we observed differences in spring salamander size in areas near the DAL site. These results have influenced management of limed streams and will enlighten managers to the effects of high frequency liming on salamander communities and other stream organisms, and will provide insights on how to mitigate potential impacts as a result of liming practices.</t>
  </si>
  <si>
    <t>[Edwards, Elise M.] Cornell Univ, Dept Nat Resources &amp; Environm, Ithaca, NY 14850 USA; [Mosher, Brittany A.] Univ Vermont, Rubenstein Sch Environm &amp; Nat Resources, Burlington, VT 05405 USA; [Pauley, Thomas; Welch, Shane; Waldron, Jayme L.] Marshall Univ, Dept Biol, 1 John Marshall Dr, Huntington, WV 25755 USA; [Edwards, Elise M.] Cornell Univ, 226 Mann Dr, Fernow Hall Room 315, Ithaca, NY 14850 USA</t>
  </si>
  <si>
    <t>Cornell University; University of Vermont; Marshall University; Cornell University</t>
  </si>
  <si>
    <t>Edwards, EM (corresponding author), Cornell Univ, 226 Mann Dr, Fernow Hall Room 315, Ithaca, NY 14850 USA.</t>
  </si>
  <si>
    <t>eme42@cornell.edu</t>
  </si>
  <si>
    <t>Edwards, Elise/0009-0009-3974-6372</t>
  </si>
  <si>
    <t>Marshall University</t>
  </si>
  <si>
    <t>0022-541X</t>
  </si>
  <si>
    <t>1937-2817</t>
  </si>
  <si>
    <t>J WILDLIFE MANAGE</t>
  </si>
  <si>
    <t>J. Wildl. Manage.</t>
  </si>
  <si>
    <t>10.1002/jwmg.22475</t>
  </si>
  <si>
    <t>Ecology; Zoology</t>
  </si>
  <si>
    <t>Environmental Sciences &amp; Ecology; Zoology</t>
  </si>
  <si>
    <t>O1JO8</t>
  </si>
  <si>
    <t>WOS:001041454100001</t>
  </si>
  <si>
    <t>Glawing, C; Karlsson, I; Kylin, C; Nilsson, J</t>
  </si>
  <si>
    <t>Glawing, Carina; Karlsson, Ingela; Kylin, Camilla; Nilsson, Jan</t>
  </si>
  <si>
    <t>Work-related stress, stress reactions and coping strategies in ambulance nurses: A qualitative interview study</t>
  </si>
  <si>
    <t>ambulance nurse; ambulance service; coping; registered nurse; specialist nurse; stress reactions; work-related stress</t>
  </si>
  <si>
    <t>CARDIOVASCULAR-DISEASE; PREVALENCE; HEALTH</t>
  </si>
  <si>
    <t>Aim: To describe experiences of work-related stress, stress reactions and coping strategies among registered nurses (RNs) in the ambulance service (AS).Design: A descriptive and qualitative design.Methods: Participants were recruited from eight different ambulance stations from different geographical locations in central Sweden. Data were collected from 14 RNs during the period from January 2022 to May 2022 using a semi-structured interview guide. Qualitative content analysis was used to analyse data using an abductive approach.Results: Three categories describe the RNs' experiences; (1) Situations that cause work-related stress, (2) Reactions and feelings that occur and (3) Management of work-related stress. These three main categories included a total of 12 subcategories. Work-related stress was experienced when participants were a part of traumatic events or experienced insufficient cooperation or a disturbing event in the work environment. The different causes lead to different kinds of reactions with feelings of frustration, fear and loneliness being prominent. To manage the work-related stress, RNs used different kinds of strategies and support from colleagues or lack thereof seemed to have a major impact.Conclusions: Findings revealed the importance of having competent colleagues in the AS. Working with a competent colleague can reduce experiences of stress and prevent feelings of loneliness. It is important for the AS to provide stress-reduction support, to promote cooperation and to maintain and develop RNs' professional competence to ensure quality care and patient safety in the AS.</t>
  </si>
  <si>
    <t>[Glawing, Carina; Karlsson, Ingela; Nilsson, Jan] Karlstad Univ, Fac Hlth Sci &amp; Technol, Dept Hlth Sci, Karlstad, Sweden; [Kylin, Camilla] Karlstad Univ, Dept Social &amp; Psychol Studies, Karlstad, Sweden; [Nilsson, Jan] Inland Norway Univ Appl Sci, Fac Social &amp; Hlth Sci, Elverum, Norway; [Glawing, Carina] Karlstad Univ, Fac Hlth Sci &amp; Technol, Dept Hlth Sci, S-65188 Karlstad, Sweden</t>
  </si>
  <si>
    <t>Karlstad University; Karlstad University; Inland Norway University of Applied Sciences; Karlstad University</t>
  </si>
  <si>
    <t>Glawing, C (corresponding author), Karlstad Univ, Fac Hlth Sci &amp; Technol, Dept Hlth Sci, S-65188 Karlstad, Sweden.</t>
  </si>
  <si>
    <t>carina.glawing@kau.se</t>
  </si>
  <si>
    <t>Karlstads universitet</t>
  </si>
  <si>
    <t>10.1111/jan.15819</t>
  </si>
  <si>
    <t>O1JI1</t>
  </si>
  <si>
    <t>WOS:001041447200001</t>
  </si>
  <si>
    <t>Halaclar, K; Sevim Erol, A; Koroglu, T; Rummy, P; Deng, T; Mayda, S</t>
  </si>
  <si>
    <t>Halaclar, Kazim; Sevim Erol, Ayla; Koroglu, Tolga; Rummy, Paul; Deng, Tao; Mayda, Serdar</t>
  </si>
  <si>
    <t>A new Late Miocene Hystrix (Hystricidae, Rodentia) from Turkey</t>
  </si>
  <si>
    <t>corakyerler; Hystrix; Late Miocene; paleobiogeography; Turkey</t>
  </si>
  <si>
    <t>OLD-WORLD; PLEISTOCENE; CORAKYERLER; PHYLOGENY; PATTERNS; RECORD</t>
  </si>
  <si>
    <t>The corakyerler fossil locality in Anatolia reveals unique faunal elements. This study introduces Hystrix kayae sp. nov., a new Late Miocene porcupine initially classified as Hystrix sp. Yavuz et al., 2018. This finding expands our knowledge of Late Miocene Anatolian porcupines, bringing the total number of known species to three. H. kayae sp. nov. is larger than Hystrix aryanensis and exhibits greater upper cheek tooth crown height. Its cheek tooth morphology differs from Hystrix depereti, and it possesses distinctive U-shaped choanae unlike Hystrix primigenia. The corakyerler locality may predate sites with H. aryanensis and H. primigenia but aligns temporally with Hystrix parvae localities. This study enhances our understanding of Late Miocene porcupine diversity in Anatolia, emphasizing the importance of corakyerler in unraveling the evolutionary history of these fascinating mammals.</t>
  </si>
  <si>
    <t>[Halaclar, Kazim; Mayda, Serdar] Ege Univ, Nat Hist Applicat &amp; Res Ctr, Bornova, Turkiye; [Halaclar, Kazim; Rummy, Paul; Deng, Tao] Chinese Acad Sci, Inst Vertebrate Paleontol &amp; Paleoanthropol, Key Lab Vertebrate Evolut &amp; Human Origins, Beijing, Peoples R China; [Sevim Erol, Ayla; Koroglu, Tolga] Ankara Univ, Fac Languages &amp; Hist, Dept Anthropol, Geog, Ankara, Turkiye; [Mayda, Serdar] Ege Univ, Fac Sci, Dept Biol, Bornova, Turkiye</t>
  </si>
  <si>
    <t>Ege University; Chinese Academy of Sciences; Institute of Vertebrate Paleontology &amp; Paleoanthropology, CAS; Ankara University; Ege University</t>
  </si>
  <si>
    <t>Halaclar, K; Mayda, S (corresponding author), Ege Univ, Nat Hist Applicat &amp; Res Ctr, Bornova, Turkiye.;Halaclar, K (corresponding author), Chinese Acad Sci, Inst Vertebrate Paleontol &amp; Paleoanthropol, Key Lab Vertebrate Evolut &amp; Human Origins, Beijing, Peoples R China.</t>
  </si>
  <si>
    <t>khalaclar@gmail.com; anancus@gmail.com</t>
  </si>
  <si>
    <t>Mayda, Serdar/A-2395-2016</t>
  </si>
  <si>
    <t>Mayda, Serdar/0000-0001-5432-3559</t>
  </si>
  <si>
    <t>Ege University Research Projects [2015/FEN/17, TTM/001/2016]</t>
  </si>
  <si>
    <t>Ege University Research Projects(Ege University)</t>
  </si>
  <si>
    <t>We gratefully acknowledge the support and contributions of various organizations and individuals throughout the course of this research. We would like to express our sincere gratitude to the Turkish Ministry of Culture and Tourism, the General Directorate of Cultural Heritage and Museums, Ankara University, and the Turkish Historical Society for their valuable support and assistance in facilitating the Corakyerler excavations. Without their collaboration, this study would not have been possible. We are especially indebted to the Corakyerler excavation team for their warm hospitality and dedication during the field seasons from 2019 to 2022. Their hard work and expertise were essential to the success of this project. We would also like to extend our appreciation to the associate editor Ning Li of this journal for valuable insights, constructive comments, and helpful feedbacks, which greatly improved the quality of the manuscript. S.M. was supported through the Ege University Research Projects 2015/FEN/17, TTM/001/2016, and TTM/002/2016, which provided assistance during his visits to the Corakyerler locality.</t>
  </si>
  <si>
    <t>10.1111/1749-4877.12754</t>
  </si>
  <si>
    <t>O1FD9</t>
  </si>
  <si>
    <t>WOS:001041337800001</t>
  </si>
  <si>
    <t>Harrington, J; Butler, J</t>
  </si>
  <si>
    <t>Harrington, Josephine; Butler, Javed</t>
  </si>
  <si>
    <t>Heart failure after myocardial infarction: Glass emptier than full</t>
  </si>
  <si>
    <t>[Harrington, Josephine] Duke Univ, Div Cardiol, Dept Med, Durham, NC USA; [Harrington, Josephine] Duke Univ, Duke Clin Res Inst, Med Ctr, Durham, NC USA; [Butler, Javed] Baylor Scott &amp; White Res Inst, 3434 Live Oak, Dallas, TX 75204 USA; [Butler, Javed] Univ Mississippi, Dept Med, Jackson, MS USA</t>
  </si>
  <si>
    <t>Duke University; Duke University; Baylor Health Care System; Baylor University Medical Center; University of Mississippi</t>
  </si>
  <si>
    <t>Butler, J (corresponding author), Baylor Scott &amp; White Res Inst, 3434 Live Oak, Dallas, TX 75204 USA.</t>
  </si>
  <si>
    <t>javed.butler@bwshealth.org</t>
  </si>
  <si>
    <t>10.1002/ejhf.2961</t>
  </si>
  <si>
    <t>O1IQ5</t>
  </si>
  <si>
    <t>WOS:001041429400001</t>
  </si>
  <si>
    <t>Hughes, C; Harris, A; Watkins, B; Qayed, M; Parikh, S; Horwitz, E; Stenger, E; Williams, KM; Schoettler, ML</t>
  </si>
  <si>
    <t>Hughes, Catherine; Harris, Anora; Watkins, Benjamin; Qayed, Muna; Parikh, Suhag; Horwitz, Edwin; Stenger, Elizabeth; Williams, Kirsten M.; Schoettler, Michelle L.</t>
  </si>
  <si>
    <t>Severe refractory hemorrhagic cystitis after hematopoietic cell transplantation responds to recombinant human keratinocyte growth factor-Case report and review of the literature</t>
  </si>
  <si>
    <t>PREVENTION; MANAGEMENT</t>
  </si>
  <si>
    <t>[Hughes, Catherine; Harris, Anora; Watkins, Benjamin; Qayed, Muna; Parikh, Suhag; Horwitz, Edwin; Stenger, Elizabeth; Williams, Kirsten M.; Schoettler, Michelle L.] Emory Univ, Childrens Healthcare Atlanta, Aflac Canc &amp; Blood Disorders Ctr, Div Pediat, Atlanta, GA USA; [Schoettler, Michelle L.] Emory Univ, Childrens Healthcare Atlanta, Atlanta, GA 30322 USA</t>
  </si>
  <si>
    <t>Children's Healthcare of Atlanta (CHOA); Emory University; Children's Healthcare of Atlanta (CHOA); Emory University</t>
  </si>
  <si>
    <t>Schoettler, ML (corresponding author), Emory Univ, Childrens Healthcare Atlanta, Atlanta, GA 30322 USA.</t>
  </si>
  <si>
    <t>Michelle.Schoettler@emory.edu</t>
  </si>
  <si>
    <t>Watkins, Benjamin/0000-0002-6675-8071</t>
  </si>
  <si>
    <t>10.1002/pbc.30606</t>
  </si>
  <si>
    <t>O1UG1</t>
  </si>
  <si>
    <t>WOS:001041733900001</t>
  </si>
  <si>
    <t>Jung, ED; Kim, CU; Noh, YW; Seo, SK; Noh, YI; Choi, KJ; Song, MH</t>
  </si>
  <si>
    <t>Jung, Eui Dae; Kim, Chan Ul; Noh, Young Wook; Seo, Seong Kuk; Noh, Young Im; Choi, Kyoung Jin; Song, Myoung Hoon</t>
  </si>
  <si>
    <t>Aesthetic and efficient perovskite/Si tandem solar cells using luminescent down-shifting textured anti-reflection films</t>
  </si>
  <si>
    <t>anti-reflection (AR); building-integrated photovoltaics (BIPV); color tuning; colored solar cells; luminescent down-shifting (LDS); perovskite solar cells; tandem solar cells</t>
  </si>
  <si>
    <t>HIGH-PERFORMANCE; SEMITRANSPARENT; EVA; ENHANCEMENT; STABILITY; COMPLEXES; DESIGN</t>
  </si>
  <si>
    <t>Perovskite-based tandem cells are emerging as new photovoltaic (PV) cells with a high efficiency that exceeds the efficiency limit of single-junction cells. Building-integrated PVs that require high efficiency are attractive, but aesthetics play key roles in these urban applications. One of the most challenging problems with respect to aesthetic PV cells is the efficiency loss due to color tuning. Here, we demonstrate for the first time lossless full-color tunable PV cells based on the use of textured luminescent down-shifting (LDS) films with LDS dyes with ultraviolet-selective absorption. The LDS anti-reflection (AR) films improve the perovskite/Si tandem cell efficiency by reducing the loss of parasitic UV absorption of the layers above the perovskite film due to LDS effect and the loss due to cell reflection due to the textured surface. Therefore, color tuning with LDS AR films can be used to produce highly aesthetic and efficient PV cells for urban applications.</t>
  </si>
  <si>
    <t>[Jung, Eui Dae; Kim, Chan Ul; Noh, Young Wook; Seo, Seong Kuk; Noh, Young Im; Choi, Kyoung Jin; Song, Myoung Hoon] Ulsan Natl Inst Sci &amp; Technol UNIST, Dept Mat Sci &amp; Engn, Ulsan, South Korea; [Choi, Kyoung Jin; Song, Myoung Hoon] Ulsan Natl Inst Sci &amp; Technol UNIST, Dept Mat Sci &amp; Engn, UNIST Gil 50,Eonyang Eup, Ulsan 44919, South Korea; [Jung, Eui Dae] Univ Toronto, Dept Elect &amp; Comp Engn, Toronto, ON, Canada; [Kim, Chan Ul] Hyundai Motor Grp, Inst Adv Technol Dev, Seongnam, South Korea</t>
  </si>
  <si>
    <t>Ulsan National Institute of Science &amp; Technology (UNIST); Ulsan National Institute of Science &amp; Technology (UNIST); University of Toronto; Hyundai Kia Motors</t>
  </si>
  <si>
    <t>Choi, KJ; Song, MH (corresponding author), Ulsan Natl Inst Sci &amp; Technol UNIST, Dept Mat Sci &amp; Engn, UNIST Gil 50,Eonyang Eup, Ulsan 44919, South Korea.</t>
  </si>
  <si>
    <t>choi@unist.ac.kr; mhsong@unist.ac.kr</t>
  </si>
  <si>
    <t>Korea Institute of Energy Technology Evaluation and Planning [20213091010010]; National Research Foundation of Korea [2019M1A2A2072416, 2019K1A3A1A61091347, 2021M3H4A1A02051234]; Korea Institute of Energy Technology Evaluation &amp; Planning (KETEP) [20213091010010] Funding Source: Korea Institute of Science &amp; Technology Information (KISTI), National Science &amp; Technology Information Service (NTIS); National Research Foundation of Korea [2021M3H4A1A02051234, 2019M1A2A2072416, 2019K1A3A1A61091347] Funding Source: Korea Institute of Science &amp; Technology Information (KISTI), National Science &amp; Technology Information Service (NTIS)</t>
  </si>
  <si>
    <t>Korea Institute of Energy Technology Evaluation and Planning(Korea Institute of Energy Technology Evaluation &amp; Planning (KETEP)); National Research Foundation of Korea(National Research Foundation of Korea); Korea Institute of Energy Technology Evaluation &amp; Planning (KETEP)(Korea Institute of Energy Technology Evaluation &amp; Planning (KETEP)); National Research Foundation of Korea(National Research Foundation of Korea)</t>
  </si>
  <si>
    <t>Korea Institute of Energy Technology Evaluation and Planning, Grant/Award Number: 20213091010010; National Research Foundation of Korea, Grant/Award Numbers: 2019M1A2A2072416, 2019K1A3A1A61091347, 2021M3H4A1A02051234</t>
  </si>
  <si>
    <t>10.1002/eom2.12399</t>
  </si>
  <si>
    <t>O1WL9</t>
  </si>
  <si>
    <t>WOS:001041792400001</t>
  </si>
  <si>
    <t>Kennard, BD; Hughes, JL; Minhajuddin, A; Slater, H; Blader, JC; Mayes, TL; Kirk, C; Wakefield, SM; Trivedi, MH</t>
  </si>
  <si>
    <t>Kennard, Beth D.; Hughes, Jennifer L.; Minhajuddin, Abu; Slater, Holli; Blader, Joseph C.; Mayes, Taryn L.; Kirk, Claire; Wakefield, Sarah M.; Trivedi, Madhukar H.</t>
  </si>
  <si>
    <t>Suicidal thoughts and behaviors in youth seeking mental health treatment in Texas: Youth Depression and Suicide Network research registry</t>
  </si>
  <si>
    <t>depression; suicide; youth</t>
  </si>
  <si>
    <t>INTERNATIONAL NEUROPSYCHIATRIC INTERVIEW; GENERALIZED ANXIETY DISORDER; PSYCHOMETRIC PROPERTIES; UNITED-STATES; SELF-REPORT; ADOLESCENTS; PREVENTION; VALIDATION; SCALE; PREVALENCE</t>
  </si>
  <si>
    <t>IntroductionSuicidality in youth is a serious public health problem. The Texas Youth Depression and Suicide Research Network (TX-YDSRN) was initiated in 2020 to create a research registry for youth with depression and/or suicidality in Texas. This report presents baseline clinical/demographic characteristics of the first 1000 participants, focusing on suicidal thoughts and behaviors. MethodsThe registry includes 8-20-year-old youth receiving treatment for depression, or who screen positive for depression and/or suicidal ideation/behavior. Baseline data include diagnosis, depression/anxiety severity, suicidal ideation/behavior, trauma history, and measures of resilience. ResultsWe present baseline data on the first 1000 participants. Most (79.6%) of the sample had a primary depressive disorder. The sample had moderate to severe depression (Patient Health Questionnaire for Adolescents, PHQ-A; 12.9 &amp; PLUSMN; 6.4) and anxiety (Generalized Anxiety Disorder, GAD-7; 11.3 &amp; PLUSMN; 5.9). Nearly half reported &amp; GE;1 lifetime suicide attempts and 90% reported lifetime or current suicidal ideation. Participants with past/current suicidality (attempts and/or ideation) had greater illness severity (depression, anxiety, and suicidal thoughts/behaviors), lower resilience, and higher rates of trauma exposure than those without suicidality. ConclusionsBaseline data indicate moderate levels of depression, anxiety, and suicidality and their correlates in this cohort. Future reports will determine trajectories of outcomes and predictors, moderators, and social determinants related to these outcomes.</t>
  </si>
  <si>
    <t>[Kennard, Beth D.] Peter ODonnell Jr Brain Inst, Dallas, TX USA; [Kennard, Beth D.; Minhajuddin, Abu; Slater, Holli; Mayes, Taryn L.; Trivedi, Madhukar H.] Univ Texas Southwestern Med Ctr Dallas, Dept Psychiat, Dallas, TX USA; [Kennard, Beth D.; Minhajuddin, Abu] Univ Texas Southwestern Med Ctr Dallas, Peter ODonnell Jr Sch Publ Hlth, Dallas, TX USA; [Hughes, Jennifer L.] Ohio State Univ, Nationwide Childrens Hosp, Columbus, OH USA; [Minhajuddin, Abu; Slater, Holli; Mayes, Taryn L.; Trivedi, Madhukar H.] Peter ODonnell Jr Brain Inst, Ctr Depress Res &amp; Clin Care, Dallas, TX USA; [Blader, Joseph C.] Univ Texas Hlth Sci Ctr San Antonio, San Antonio, TX USA; [Kirk, Claire] Univ Texas Med Branch, Dept Psychiat &amp; Behav Sci, Galveston, TX USA; [Wakefield, Sarah M.] Texas Tech Univ Hlth Sci Ctr, Dept Psychiat, Lubbock, TX USA; [Trivedi, Madhukar H.] Peter ODonnell Jr Brain Inst, 5323 Harry Hines Blvd, Dallas, TX 75390 USA; [Trivedi, Madhukar H.] Univ Texas Southwestern Med Ctr Dallas, Julie K Hersh Chair Depress Res &amp; Clin Care, Betty Jo Hay Distinguished Chair Mental Hlth, 5323 Harry Hines Blvd, Dallas, TX 75390 USA; [Trivedi, Madhukar H.] Univ Texas Southwestern Med Ctr Dallas, Ctr Depress Res &amp; Clin Care, 5323 Harry Hines Blvd, Dallas, TX 75390 USA; [Kennard, Beth D.] UT Southwestern Med Ctr Dallas, 5323 Harry Hines Blvd, Dallas, TX 75390 USA</t>
  </si>
  <si>
    <t>University of Texas System; University of Texas Southwestern Medical Center Dallas; University of Texas System; University of Texas Southwestern Medical Center Dallas; University System of Ohio; Ohio State University; Nationwide Childrens Hospital; University of Texas System; University of Texas Health Science Center at San Antonio; University of Texas System; University of Texas Medical Branch Galveston; Texas Tech University System; Texas Tech University Health Science Center; University of Texas System; University of Texas Southwestern Medical Center Dallas; University of Texas System; University of Texas Southwestern Medical Center Dallas; University of Texas System; University of Texas Southwestern Medical Center Dallas; University of Texas System; University of Texas Southwestern Medical Center Dallas</t>
  </si>
  <si>
    <t>Trivedi, MH (corresponding author), Peter ODonnell Jr Brain Inst, 5323 Harry Hines Blvd, Dallas, TX 75390 USA.;Trivedi, MH (corresponding author), Univ Texas Southwestern Med Ctr Dallas, Julie K Hersh Chair Depress Res &amp; Clin Care, Betty Jo Hay Distinguished Chair Mental Hlth, 5323 Harry Hines Blvd, Dallas, TX 75390 USA.;Trivedi, MH (corresponding author), Univ Texas Southwestern Med Ctr Dallas, Ctr Depress Res &amp; Clin Care, 5323 Harry Hines Blvd, Dallas, TX 75390 USA.;Kennard, BD (corresponding author), UT Southwestern Med Ctr Dallas, 5323 Harry Hines Blvd, Dallas, TX 75390 USA.</t>
  </si>
  <si>
    <t>beth.kennard@utsouthwestern.edu; madhukar.trivedi@utsouthwestern.edu</t>
  </si>
  <si>
    <t>Mayes, Taryn L./HHZ-6267-2022; Trivedi, Madhukar/A-9029-2013</t>
  </si>
  <si>
    <t>Mayes, Taryn L./0000-0002-5992-6081; Trivedi, Madhukar/0000-0002-2983-1110</t>
  </si>
  <si>
    <t>Texas Child Mental Health Consortium; Texas Youth Depression and Suicide Research Network (TX-YDSRN)</t>
  </si>
  <si>
    <t>10.1111/sltb.12980</t>
  </si>
  <si>
    <t>O0WH2</t>
  </si>
  <si>
    <t>WOS:001041106500001</t>
  </si>
  <si>
    <t>Lankeit, J; Winkler, M</t>
  </si>
  <si>
    <t>Lankeit, Johannes; Winkler, Michael</t>
  </si>
  <si>
    <t>Depleting the signal: Analysis of chemotaxis-consumption models-A survey</t>
  </si>
  <si>
    <t>chemotaxis systems; signal consumption</t>
  </si>
  <si>
    <t>GLOBAL GENERALIZED SOLUTIONS; PREDATOR-PREY MODEL; KELLER-SEGEL SYSTEM; REACTION-DIFFUSION SYSTEM; FORAGER-EXPLOITER MODEL; BOUNDED WEAK SOLUTIONS; NAVIER-STOKES SYSTEM; SINGULAR SENSITIVITY; EVENTUAL SMOOTHNESS; ASYMPTOTIC-BEHAVIOR</t>
  </si>
  <si>
    <t>We give an overview of analytical results concerned with chemotaxis systems where the signal is absorbed. We recall results on existence and properties of solutions for the prototypical chemotaxis-consumption model and various variants and review more recent findings on its ability to support the emergence of spatial structures.</t>
  </si>
  <si>
    <t>[Lankeit, Johannes] Leibniz Univ Hannover, Inst Angew Math, Hannover, Germany; [Winkler, Michael] Univ Paderborn, Inst Math, Paderborn, Germany; [Winkler, Michael] Univ Paderborn, Inst Math, Warburger Str 100, D-33098 Paderborn, Germany</t>
  </si>
  <si>
    <t>Leibniz University Hannover; University of Paderborn; University of Paderborn</t>
  </si>
  <si>
    <t>Winkler, M (corresponding author), Univ Paderborn, Inst Math, Warburger Str 100, D-33098 Paderborn, Germany.</t>
  </si>
  <si>
    <t>michael.winkler@math.uni-paderborn.de</t>
  </si>
  <si>
    <t>Lankeit, Johannes/ABA-4621-2020</t>
  </si>
  <si>
    <t>Lankeit, Johannes/0000-0002-2563-7759</t>
  </si>
  <si>
    <t>Deutsche Forschungsgemeinschaft [462888149]</t>
  </si>
  <si>
    <t>Deutsche Forschungsgemeinschaft, Grant/Award Number: 462888149</t>
  </si>
  <si>
    <t>10.1111/sapm.12625</t>
  </si>
  <si>
    <t>N8QP6</t>
  </si>
  <si>
    <t>WOS:001039598000001</t>
  </si>
  <si>
    <t>Liang, Z; Wei, S; Wu, YQ; Guo, YJ; Zhang, B; Yang, HH</t>
  </si>
  <si>
    <t>Liang, Zhen; Wei, Sha; Wu, Yuqing; Guo, Yingjie; Zhang, Ben; Yang, Honghu</t>
  </si>
  <si>
    <t>Temporally gene knockout using heat shock-inducible genome-editing system in plants</t>
  </si>
  <si>
    <t>PLANT GENOME</t>
  </si>
  <si>
    <t>EXPRESSION SYSTEM; GROWTH DEFECTS; DNA CLEAVAGE; RNAI SYSTEM; ARABIDOPSIS; PROMOTER; CRISPR/CAS9; PROTEINS; MUTANTS; PATHWAY</t>
  </si>
  <si>
    <t>Clustered regularly interspaced short palindromic repeat (CRISPR)/CRISPR-associated nuclease 9 (Cas9) has emerged as a powerful tool to generate targeted loss-of-function mutations for functional genomic studies. As a next step, tools to generate genome modifications in a spatially and temporally precise manner will enable researchers to further dissect gene function. Here, we present two heat shock-inducible genome-editing (IGE) systems that efficiently edit target genes when the system is induced, thus allowing us to target specific developmental stages. For this conditional editing system, we chose the natural heat-inducible promoter from heat-shock protein 18.2 (HSP18.2) from Arabidopsis thaliana and the synthetic heat-inducible promoter heat shock-response element HSE-COR15A to drive the expression of Cas9. We tested these two IGE systems in Arabidopsis using cyclic or continuous heat-shock treatments at the seedling and bolting stages. A real-time quantitative polymerase chain reaction analysis revealed that the HSP18.2 IGE system exhibited higher Cas9 expression levels than the HSE-COR15A IGE system upon both cyclic and continuous treatments. By targeting brassinosteroid-insensitive 1 (BRI1) and phytoene desaturase (PDS), we demonstrate that both cyclic and continuous heat inductions successfully activated the HSP18.2 IGE system at the two developmental stages, resulting in highly efficient targeted mutagenesis and clear phenotypic outcomes. By contrast, the HSE-COR15A IGE system was only induced at the seedling stage and was less effective than the HSP18.2 IGE system in terms of mutagenesis frequencies. The presented heat shock-IGE systems can be conditionally induced to efficiently inactivate genes at any developmental stage and are uniquely suited for the dissection and systematic characterization of essential genes.</t>
  </si>
  <si>
    <t>[Liang, Zhen; Wei, Sha; Wu, Yuqing; Zhang, Ben; Yang, Honghu] Shanxi Univ, Sch Life Sci, Taiyuan, Shanxi, Peoples R China; [Guo, Yingjie] Shanxi Univ, Res Inst Big Data Sci &amp; Ind, Taiyuan, Shanxi, Peoples R China</t>
  </si>
  <si>
    <t>Shanxi University; Shanxi University</t>
  </si>
  <si>
    <t>Liang, Z (corresponding author), Shanxi Univ, Sch Life Sci, Taiyuan, Shanxi, Peoples R China.</t>
  </si>
  <si>
    <t>zliang@sxu.edu.cn</t>
  </si>
  <si>
    <t>liang, zhen/0000-0002-5242-4644</t>
  </si>
  <si>
    <t>National Key Research and Development Program of China [2022YFF1002802]; National Natural Science Foundation of China [32170410]; Science and Technology Innovation Young Talent Team of Shanxi Province [202204051001019]</t>
  </si>
  <si>
    <t>National Key Research and Development Program of China; National Natural Science Foundation of China(National Natural Science Foundation of China (NSFC)); Science and Technology Innovation Young Talent Team of Shanxi Province</t>
  </si>
  <si>
    <t>ACKNOWLEDGMENTS We thank Qi-Jun Chen for the pHUE411 construct. We would like to thank the native English speaking scientists of Plant Editors Company for editing our manuscript. This work was supported by grants from the National Key Research and Development Program of China (2022YFF1002802), the National Natural Science Foundation of China (32170410), and the Science and Technology Innovation Young Talent Team of Shanxi Province (202204051001019).</t>
  </si>
  <si>
    <t>1940-3372</t>
  </si>
  <si>
    <t>PLANT GENOME-US</t>
  </si>
  <si>
    <t>Plant Genome</t>
  </si>
  <si>
    <t>10.1002/tpg2.20376</t>
  </si>
  <si>
    <t>Plant Sciences; Genetics &amp; Heredity</t>
  </si>
  <si>
    <t>R7DW6</t>
  </si>
  <si>
    <t>WOS:001038911400001</t>
  </si>
  <si>
    <t>Qiao, PT; Mei, XH; Li, RX; Xu, YY; Qiu, ZY; Xia, DG; Zhao, QL; Shen, DX</t>
  </si>
  <si>
    <t>Qiao, Peitong; Mei, Xianghan; Li, Ruixiang; Xu, Yuanyuan; Qiu, Zhiyong; Xia, Dingguo; Zhao, Qiaoling; Shen, Dongxu</t>
  </si>
  <si>
    <t>Transcriptome analysis of immune-related genes of Asian corn borer (Ostrinia furnacalis [Guenee]) after oral bacterial infection</t>
  </si>
  <si>
    <t>midgut immunity; Ostrinia furnacalis (Guenee); transcriptome</t>
  </si>
  <si>
    <t>PEPTIDOGLYCAN RECOGNITION PROTEINS; RNA-SEQ; EXPRESSION ANALYSIS; GUT IMMUNITY; DROSOPHILA; HOMEOSTASIS; MECHANISMS; STRINGTIE; INSIGHTS; INSECTS</t>
  </si>
  <si>
    <t>The Asian corn borer (Ostrinia furnacalis) is an important agricultural pest causing serious damage to economic crops, such as corn and sorghum. The gut is the first line of defense against pathogens that enter through the mouth. Staphylococcus aureus was used to infect the O. furnacalis midgut to understand the midgut immune mechanism against exogenous pathogens to provide new ideas and methods for the prevention and control of O. furnacalis. A sequencing platform was used for genome assembly and gene expression. The unigene sequences were annotated and functionally classified by Gene Ontology and Kyoto Encyclopedia of Genes and Genomes. Significant differences were found in the induced expression profiles before and after infection. Some differentially expressed genes have important relations with lipid metabolism and immune mechanism, suggesting that they play an important role in the innate immune response of O. furnacalis. Furthermore, quantitative real-time polymerase chain reaction assay was used to identify the key genes involved in the signaling pathway, and the expression patterns of these key genes were confirmed. The results could help study the innate immune system of lepidopteran insects and provide theoretical support for the control of related pests and the protection of beneficial insects.</t>
  </si>
  <si>
    <t>[Qiao, Peitong; Mei, Xianghan; Li, Ruixiang; Xu, Yuanyuan; Qiu, Zhiyong; Xia, Dingguo; Zhao, Qiaoling; Shen, Dongxu] Jiangsu Univ Sci &amp; Technol, Jiangsu Key Lab Sericultural Biol &amp; Biotechnol, Zhenjiang, Jiangsu, Peoples R China; [Qiao, Peitong; Mei, Xianghan; Li, Ruixiang; Xu, Yuanyuan; Qiu, Zhiyong; Xia, Dingguo; Zhao, Qiaoling; Shen, Dongxu] Chinese Acad Agr Sci, Sericultural Res Inst, Key Lab Silkworm &amp; Mulberry Genet Improvement, Minist Agr &amp; Rural Affairs, Zhenjiang, Jiangsu, Peoples R China; [Shen, Dongxu] Jiangsu Univ Sci &amp; Technol, 666 Changhui Rd, Zhenjiang 212100, Peoples R China</t>
  </si>
  <si>
    <t>Jiangsu University of Science &amp; Technology; Chinese Academy of Agricultural Sciences; Ministry of Agriculture &amp; Rural Affairs; Jiangsu University of Science &amp; Technology</t>
  </si>
  <si>
    <t>Shen, DX (corresponding author), Jiangsu Univ Sci &amp; Technol, 666 Changhui Rd, Zhenjiang 212100, Peoples R China.</t>
  </si>
  <si>
    <t>shendongxu0311@163.com</t>
  </si>
  <si>
    <t>Key Ramp;D Program of Jiangsu Province (Modern Agriculture); Youth Program of Natural Science Foundation of Jiangsu Province; Key Ramp;D Program of Zhenjiang (Modern Agriculture) [BK20190959]; [NY2020022]; [BE2021346]</t>
  </si>
  <si>
    <t>Key Ramp;D Program of Jiangsu Province (Modern Agriculture); Youth Program of Natural Science Foundation of Jiangsu Province; Key Ramp;D Program of Zhenjiang (Modern Agriculture); ;</t>
  </si>
  <si>
    <t>Key R &amp; amp;D Program of Jiangsu Province (Modern Agriculture), Grant/Award Number: BE2021346; Youth Program of Natural Science Foundation of Jiangsu Province, Grant/Award Number: BK20190959; Key R &amp; amp;D Program of Zhenjiang (Modern Agriculture), Grant/Award Number: NY2020022</t>
  </si>
  <si>
    <t>10.1002/arch.22044</t>
  </si>
  <si>
    <t>O1HU1</t>
  </si>
  <si>
    <t>WOS:001041406700001</t>
  </si>
  <si>
    <t>Sebastian-Valverde, E; Tellez, C; Burdio, F; Poves, I; Grande, L</t>
  </si>
  <si>
    <t>Sebastian-Valverde, Enric; Tellez, Clara; Burdio, Fernando; Poves, Ignasi; Grande, Luis</t>
  </si>
  <si>
    <t>Individualization of the best approach for adhesive small bowel obstruction</t>
  </si>
  <si>
    <t>adhesiolysis; adhesions; adhesive small bowel obstruction; conversion; laparoscopic surgery</t>
  </si>
  <si>
    <t>OPEN SURGICAL-MANAGEMENT; LAPAROSCOPIC ADHESIOLYSIS; OPEN SURGERY; CT; ISCHEMIA; LYSIS; RISK; PREDICTORS; INJURY</t>
  </si>
  <si>
    <t>Background: Laparoscopic postoperatives outcomes in adhesiolysis are promising but conversion and morbidity remains high. The objective of our study was to determine preoperative factors to individualize and select the most appropriate approach for each patient.Methods: Patients =18 years old undergoing emergent surgery for adhesive small bowel obstruction and internal hernias were evaluated. Bivariate and multivariate analysis were performed to investigate factors related to conversion to open surgery and to the type of adhesions.Results: Of 333 patients, 224 were operated by laparotomy and 109 by laparoscopy (conversion rate: 40%). Previous abdominal wall mesh, type of adhesions, bowel lesion, need for intestinal resection and laparoscopic skills were statistically related to conversion. In the multivariate analysis, complex adhesions (OR 4.3, 95% CI 1.5-12.2; P = 0.006), the need for intestinal resection (OR 14.16, 95% CI 2.55-78.68; P = 0.002), and non-advanced laparoscopy surgeons (OR 4.31, 95% CI 1.56-11.94; P = 0.005) were independent factors for conversion to open surgery. ASA III-IV, previous surgeries, previous abdominal mesh and previous adhesiolysis were related to complex adhesions. Previous laparoscopic surgery and internal hernia or closed loop in computed tomography were associated with simple adhesions as a cause of the obstruction. In the multivariate, previous adhesiolysis (OR 4.76, 95% CI 1.23-18.3; P = 0.023) and the findings on computed tomography were significantly related with the type of adhesion.Conclusion: Some preoperative factors allow to individualize the surgical approach in the adhesive small bowel obstruction improving surgical outcomes.</t>
  </si>
  <si>
    <t>[Sebastian-Valverde, Enric] Hosp St Boi, Dept Surg, St Boi De Llobregat, Spain; [Sebastian-Valverde, Enric; Tellez, Clara; Burdio, Fernando; Poves, Ignasi; Grande, Luis] Hosp Univ Mar, Dept Surg, Barcelona, Spain; [Burdio, Fernando] Univ Pompeu Fabra, Hlth &amp; Life Sci, Barcelona, Spain; [Grande, Luis] Univ Autonoma Barcelona, Dept Surg, Barcelona, Spain; [Sebastian-Valverde, Enric] Hosp St Boi, Dept Surg, Parc Sanitari St Joan Deu,25 Cami Vell Colonia, St Boi De Llobregat 08830, Spain</t>
  </si>
  <si>
    <t>Pompeu Fabra University; Autonomous University of Barcelona</t>
  </si>
  <si>
    <t>Sebastian-Valverde, E (corresponding author), Hosp St Boi, Dept Surg, Parc Sanitari St Joan Deu,25 Cami Vell Colonia, St Boi De Llobregat 08830, Spain.</t>
  </si>
  <si>
    <t>enric.sebastian@sjd.es</t>
  </si>
  <si>
    <t>Sebastian-Valverde, Enric/0000-0002-0726-0919</t>
  </si>
  <si>
    <t>10.1111/ans.18649</t>
  </si>
  <si>
    <t>WOS:001041417200001</t>
  </si>
  <si>
    <t>Wade, MJ; Sultan, SE</t>
  </si>
  <si>
    <t>Wade, Michael J.; Sultan, Sonia E.</t>
  </si>
  <si>
    <t>Niche construction and the environmental term of the price equation: How natural selection changes when organisms alter their environments</t>
  </si>
  <si>
    <t>EVOLUTION &amp; DEVELOPMENT</t>
  </si>
  <si>
    <t>adaptive plasticity; eco-evo feedbacks; ecosystem engineering; genotype by environment interaction; habitat choice</t>
  </si>
  <si>
    <t>FISHERS FUNDAMENTAL THEOREM; MATCHING HABITAT CHOICE; PHENOTYPIC PLASTICITY; EVOLUTIONARY CONSEQUENCES; BEHAVIORAL THERMOREGULATION; HETEROGENEOUS ENVIRONMENTS; DEVELOPMENTAL PLASTICITY; GENETIC-POLYMORPHISM; INDUCIBLE DEFENSE; POPULATION</t>
  </si>
  <si>
    <t>Organisms construct their own environments and phenotypes through the adaptive processes of habitat choice, habitat construction, and phenotypic plasticity. We examine how these processes affect the dynamics of mean fitness change through the environmental change term of the Price Equation. This tends to be ignored in evolutionary theory, owing to the emphasis on the first term describing the effect of natural selection on mean fitness (the additive genetic variance for fitness of Fisher's Fundamental Theorem). Using population genetic models and the Price Equation, we show how adaptive niche constructing traits favorably alter the distribution of environments that organisms encounter and thereby increase population mean fitness. Because niche-constructing traits increase the frequency of higher-fitness environments, selection favors their evolution. Furthermore, their alteration of the actual or experienced environmental distribution creates selective feedback between niche constructing traits and other traits, especially those with genotype-by-environment interaction for fitness. By altering the distribution of experienced environments, niche constructing traits can increase the additive genetic variance for such traits. This effect accelerates the process of overall adaption to the niche-constructed environmental distribution and can contribute to the rapid refinement of alternative phenotypic adaptations to different environments. Our findings suggest that evolutionary biologists revisit and reevaluate the environmental term of the Price Equation: owing to adaptive niche construction, it contributes directly to positive change in mean fitness; its magnitude can be comparable to that of natural selection; and, when there is fitness G x E, it increases the additive genetic variance for fitness, the much-celebrated first term.</t>
  </si>
  <si>
    <t>[Wade, Michael J.] Indiana Univ, Dept Biol, Bloomington, IN USA; [Sultan, Sonia E.] Wesleyan Univ, Dept Biol, Middletown, CT 06459 USA</t>
  </si>
  <si>
    <t>Indiana University System; Indiana University Bloomington; Wesleyan University</t>
  </si>
  <si>
    <t>Sultan, SE (corresponding author), Wesleyan Univ, Dept Biol, Middletown, CT 06459 USA.</t>
  </si>
  <si>
    <t>sesultan@wesleyan.edu</t>
  </si>
  <si>
    <t>Sultan, Sonia/0000-0001-8815-6437</t>
  </si>
  <si>
    <t>John Templeton Foundation [61369]; Konrad Lorenz Institute for Evolution and Cognition; National Institute of Food and Agriculture [2019-33522-30064]</t>
  </si>
  <si>
    <t>John Templeton Foundation; Konrad Lorenz Institute for Evolution and Cognition; National Institute of Food and Agriculture(United States Department of Agriculture (USDA)National Institute of Food and Agriculture)</t>
  </si>
  <si>
    <t>John Templeton Foundation, Grant/Award Number: 61369; Konrad Lorenz Institute for Evolution and Cognition, Grant/Award Number: Visiting Fellowship; National Institute of Food and Agriculture, Grant/Award Number: 2019-33522-30064</t>
  </si>
  <si>
    <t>1520-541X</t>
  </si>
  <si>
    <t>1525-142X</t>
  </si>
  <si>
    <t>EVOL DEV</t>
  </si>
  <si>
    <t>Evol. Dev.</t>
  </si>
  <si>
    <t>10.1111/ede.12452</t>
  </si>
  <si>
    <t>Evolutionary Biology; Developmental Biology; Genetics &amp; Heredity</t>
  </si>
  <si>
    <t>O0SZ0</t>
  </si>
  <si>
    <t>WOS:001041019500001</t>
  </si>
  <si>
    <t>Warling, A; Treder, KM; Brandi, K; Kumar, B; Fay, KE</t>
  </si>
  <si>
    <t>Warling, Allysa; Treder, Kelly M.; Brandi, Kristyn; Kumar, Bhavik; Fay, Kathryn E.</t>
  </si>
  <si>
    <t>An Ecological Model of Reproductive Coercion</t>
  </si>
  <si>
    <t>JOURNAL OF MIDWIFERY &amp; WOMENS HEALTH</t>
  </si>
  <si>
    <t>PARTNER VIOLENCE; PROVIDER</t>
  </si>
  <si>
    <t>[Warling, Allysa; Fay, Kathryn E.] Harvard Med Sch, Boston, MA 02115 USA; [Treder, Kelly M.] Boston Univ, Chobanian &amp; Avedisian Sch Med, Boston, MA USA; [Brandi, Kristyn] Phys Reprod Hlth, Hartsdale, NY USA; [Kumar, Bhavik] Planned Parenthood Gulf Coast, Houston, TX USA</t>
  </si>
  <si>
    <t>Harvard University; Harvard Medical School; Boston University</t>
  </si>
  <si>
    <t>Fay, KE (corresponding author), Harvard Med Sch, Boston, MA 02115 USA.</t>
  </si>
  <si>
    <t>kefay@bwh.harvard.edu</t>
  </si>
  <si>
    <t>Warling, Allysa/0000-0001-9412-6357</t>
  </si>
  <si>
    <t>Eunice Kennedy Shriver National Institute of Child Health and Human Development [K12HD103096]</t>
  </si>
  <si>
    <t>Eunice Kennedy Shriver National Institute of Child Health and Human Development(United States Department of Health &amp; Human ServicesNational Institutes of Health (NIH) - USANIH Eunice Kennedy Shriver National Institute of Child Health &amp; Human Development (NICHD))</t>
  </si>
  <si>
    <t>ACKNOWLEDGMENTS Kathryn Fay is currently supported by Eunice Kennedy Shriver National Institute of Child Health and Human Development (K12HD103096). The content is solely the responsibility of the authors and does not necessarily represent the official views of the National Institutes of Health.</t>
  </si>
  <si>
    <t>1526-9523</t>
  </si>
  <si>
    <t>1542-2011</t>
  </si>
  <si>
    <t>J MIDWIFERY WOM HEAL</t>
  </si>
  <si>
    <t>J. Midwifery Women Health</t>
  </si>
  <si>
    <t>10.1111/jmwh.13555</t>
  </si>
  <si>
    <t>N8UF8</t>
  </si>
  <si>
    <t>WOS:001039692200001</t>
  </si>
  <si>
    <t>Zhang, C; Gudmundsdottir, H; Takahashi, H; Day, C; Glasgow, A; Wasif, N; Starlinger, P; Warner, S; Grotz, T; Smoot, R; Truty, M; Cleary, S; Kendrick, M; Nagorney, D; Navin, P; Halfdanarson, TR; Thiels, C</t>
  </si>
  <si>
    <t>Zhang, Chi; Gudmundsdottir, Hallbera; Takahashi, Hiroaki; Day, Courtney; Glasgow, Amy; Wasif, Nabil; Starlinger, Patrick; Warner, Susanne; Grotz, Travis; Smoot, Rory; Truty, Mark; Cleary, Sean; Kendrick, Michael; Nagorney, David; Navin, Patrick; Halfdanarson, Thorvardur R.; Thiels, Cornelius</t>
  </si>
  <si>
    <t>Accuracy of DOTATATE PET imaging in the preoperative planning of small bowel neuroendocrine tumor resection</t>
  </si>
  <si>
    <t>DOTATATE PET; neuroendocrine tumors; robotic surgery</t>
  </si>
  <si>
    <t>GA-68-DOTATATE PET/CT; MANAGEMENT; SURGERY; MULTIFOCALITY; TOMOGRAPHY; HISTORY; POINT; PROBE</t>
  </si>
  <si>
    <t>Background and ObjectivesWe assessed the accuracy of preoperative gallium-68 DOTA-Tyr3-octreotate (DOTATATE) positron emission tomography (PET) imaging in estimating multifocality and nodal metastases of small bowel neuroendocrine tumors (sbNETs). MethodsA multicenter analysis was performed on patients with sbNETs who underwent preoperative DOTATATE PET imaging and surgical resection, with manual palpation of the entire length of the small bowel, between January 2016 and August 2022. Preoperative imaging reports and blinded secondary imaging reviews were compared to the final postoperative pathology reports. Descriptive statistics were applied. ResultsOne-hundred and four patients met inclusion criteria. Pathology showed 53 (51%) patients had multifocal sbNETs and 96 (92%) had nodal metastases. The original preoperative DOTATATE PET imaging identified multifocal sbNET in 28 (27%) patients and lymph node (LN) metastases in 80 (77%) patients. Based on original radiology reports, sensitivity for multifocal sbNET identification was 45%, specificity was 92%, positive predictive value (PPV) was 86%, and negative predictive value (NPV) was 62%. For the identification of LN metastases, sensitivity was 82%, specificity was 88%, PPV was 99%, and NPV was 29%. ConclusionsAlthough DOTATATE PET imaging is specific and relatively accurate, sensitivity and NPV are insufficient to guide surgical planning. Preoperative use should not replace open palpation to identify additional synchronous lesions or to omit regional lymphadenectomy.</t>
  </si>
  <si>
    <t>[Zhang, Chi; Wasif, Nabil] Mayo Clin, Dept Surg, Phoenix, AZ USA; [Zhang, Chi; Gudmundsdottir, Hallbera; Day, Courtney; Glasgow, Amy; Thiels, Cornelius] Robert D &amp; Patricia E Kern Ctr Sci Hlth Care Deliv, Rochester, MN USA; [Gudmundsdottir, Hallbera; Starlinger, Patrick; Warner, Susanne; Grotz, Travis; Smoot, Rory; Truty, Mark; Cleary, Sean; Kendrick, Michael; Nagorney, David; Thiels, Cornelius] Mayo Clin, Dept Surg, Rochester, MN USA; [Takahashi, Hiroaki] Mayo Clin, Dept Radiol, Rochester, MN USA; [Halfdanarson, Thorvardur R.] Mayo Clin, Div Med Oncol, Rochester, MN USA; [Thiels, Cornelius] Mayo Clin, Dept Surg, Div Hepatobiliary &amp; Pancreas Surg, Rochester, MN 55905 USA</t>
  </si>
  <si>
    <t>Mayo Clinic; Mayo Clinic Phoenix; Mayo Clinic; Mayo Clinic; Mayo Clinic; Mayo Clinic</t>
  </si>
  <si>
    <t>Thiels, C (corresponding author), Mayo Clin, Dept Surg, Div Hepatobiliary &amp; Pancreas Surg, Rochester, MN 55905 USA.</t>
  </si>
  <si>
    <t>thiels.cornelius@mayo.edu</t>
  </si>
  <si>
    <t>Halfdanarson, Thorvardur/AAO-8706-2020</t>
  </si>
  <si>
    <t>Halfdanarson, Thorvardur/0000-0001-8460-1257; Zhang, Chi/0000-0002-9297-0690; Grotz, Travis/0000-0002-7753-097X; Gudmundsdottir, Hallbera/0000-0002-1297-2769</t>
  </si>
  <si>
    <t>10.1002/jso.27413</t>
  </si>
  <si>
    <t>O0SA0</t>
  </si>
  <si>
    <t>WOS:001040994000001</t>
  </si>
  <si>
    <t>Alazreg, A; Vuksanovic, MM; Egelja, A; Mladenovic, IO; Radovanovic, Z; Petrovic, M; Marinkovic, A; Heinemann, RJ</t>
  </si>
  <si>
    <t>Alazreg, Asma; Vuksanovic, Marija M.; Egelja, Adela; Mladenovic, Ivana O.; Radovanovic, Zeljko; Petrovic, Milos; Marinkovic, Aleksandar; Heinemann, Radmila Jancic</t>
  </si>
  <si>
    <t>Mechanical properties of acrylate matrix composite reinforced with manganese-aluminum layered double hydroxide</t>
  </si>
  <si>
    <t>composite materials; layered double hydroxide; mechanical properties</t>
  </si>
  <si>
    <t>THERMAL-PROPERTIES; NANOCOMPOSITES; MORPHOLOGY; ADHESION; FILLERS</t>
  </si>
  <si>
    <t>Acrylate polymers are used in several applications such as dentistry, medicine, and industry. The modification of their properties using the reinforcement is of key importance for the possible applications. Layered double hydroxides are materials that are easily synthesized by several techniques giving the possibility to modulate the chemical composition and morphology of the reinforcement and they consist of a divalent and a trivalent anion hydroxide and the layers can be exfoliated and thus provide a material interesting for composite reinforcement. In this paper, Mn was used as a divalent and Al as a trivalent cation. The obtained particles were used as reinforcement for the preparation of composites in 1, 3, and 5 wt% quantities and prepared samples were compared to the matrix consisting of PMMA. Physical mechanical properties of the sample having the best mechanical properties (with 3 wt% of MnAl-LDH filers) exhibited 6.38% modulus of elasticity, 27% hardness, and 10% tensile strength improved values compared to the clear PMMA matrix. Toughness was lowered in this sort of composite compared to the pure matrix.</t>
  </si>
  <si>
    <t>[Alazreg, Asma; Petrovic, Milos; Marinkovic, Aleksandar; Heinemann, Radmila Jancic] Univ Belgrade, Fac Technol &amp; Met, Belgrade, Serbia; [Vuksanovic, Marija M.; Egelja, Adela] Natl Inst Republ Serbia, VINCA Inst Nucl Sci, Dept Chem Dynam &amp; Permanent Educ, Belgrade, Serbia; [Mladenovic, Ivana O.] Univ Belgrade, Inst Chem Technol &amp; Met, Natl Inst Republ Serbia, Belgrade, Serbia; [Radovanovic, Zeljko] Innovat Ctr Fac Technol &amp; Met Belgrade, Belgrade, Serbia</t>
  </si>
  <si>
    <t>University of Belgrade; University of Belgrade; University of Belgrade</t>
  </si>
  <si>
    <t>Heinemann, RJ (corresponding author), Univ Belgrade, Fac Technol &amp; Met, Belgrade, Serbia.</t>
  </si>
  <si>
    <t>radica@tmf.bg.ac.rs</t>
  </si>
  <si>
    <t>Jancic Heinemann, Radmila/0000-0001-9229-3741</t>
  </si>
  <si>
    <t>Ministry of Education, Science and Technological Development of the Republic of Serbia [451-03-47/2023-01/200017, 451-03-47/2023-01/ 200135, 451-03-47/2023-01/200026]</t>
  </si>
  <si>
    <t>Ministry of Education, Science and Technological Development of the Republic of Serbia(Ministry of Education, Science &amp; Technological Development, Serbia)</t>
  </si>
  <si>
    <t>ACKNOWLEDGMENTS The article is a part of the research done within the Ministry of Education, Science and Technological Development of the Republic of Serbia funded the research (Contracts No. 451-03-47/2023-01/200017, No. 451-03-47/2023-01/ 200135, and No. 451-03-47/2023-01/200026).</t>
  </si>
  <si>
    <t>2023 AUG 1</t>
  </si>
  <si>
    <t>10.1002/pc.27597</t>
  </si>
  <si>
    <t>N7YL2</t>
  </si>
  <si>
    <t>WOS:001039121900001</t>
  </si>
  <si>
    <t>Atwell, J; Chico, M; Vaca, M; Arevalo-Cortes, A; Karron, R; Cooper, PJ</t>
  </si>
  <si>
    <t>Atwell, Jessica; Chico, Martha; Vaca, Maritza; Arevalo-Cortes, Andrea; Karron, Ruth; Cooper, Philip J. J.</t>
  </si>
  <si>
    <t>Effect of infant viral respiratory disease on childhood asthma in a non-industrialized setting</t>
  </si>
  <si>
    <t>CLINICAL AND TRANSLATIONAL ALLERGY</t>
  </si>
  <si>
    <t>asthma; helminths; rhinoconjunctivitis; viral infections; wheeze</t>
  </si>
  <si>
    <t>SYNCYTIAL-VIRUS; EARLY-LIFE; INFECTIONS; ALLERGY; WHEEZE; RISK; BRONCHIOLITIS</t>
  </si>
  <si>
    <t>BackgroundThere are limited data from non-industrialized settings on the effects of early life viral respiratory disease on childhood respiratory illness. We followed a birth cohort in tropical Ecuador to understand how early viral respiratory disease, in the context of exposures affecting airway inflammation including ascariasis, affect wheezing illness, asthma, and rhinoconjunctivitis in later childhood. MethodsA surveillance cohort nested within a birth cohort was monitored for respiratory infections during the first 2 years in rural Ecuador and followed for 8 years for the development of wheeze and rhinoconjunctivitis. Nasal swabs were examined for viruses by polymerase chain reaction and respiratory symptom data on recent wheeze and rhinoconjunctivitis were collected by periodic questionnaires at 3, 5, and 8 years. Stools from pregnant mothers and periodically from children aged 2 years were examined microscopically for soil-transmitted helminths. Atopy was measured by allergen skin prick testing at 2 years. Spirometry, fractional exhaled nitric oxide measurement, and nasal washes were performed at 8 years. Associations between clinically significant respiratory disease (CSRD) and wheezing or rhinoconjunctivitis at 3, 5, and 8 years were estimated using multivariable logistic regression. ResultsFour hundred and twenty six children were followed of which 67.7% had at least one CSRD episode; 12% had respiratory syncytial virus (RSV)+CSRD and 36% had rhinovirus (RHV)+CSRD. All-cause CSRD was associated with increased wheeze at 3 (OR 2.33 [95% confidence intervals (CI) 1.23-4.40]) and 5 (OR: 2.12 [95% CI 1.12-4.01]) years. RHV+CSRD was more strongly associated with wheeze at 3 years in STH-infected (STH-infected [OR 13.41, 95% CI 1.56-115.64] vs. uninfected [OR 1.68, 95% CI 0.73-3.84]) and SPT+ (SPT+ [OR 9.42, 95% CI 1.88-47.15] versus SPT- [OR 1.92, 95% CI 0.84-4.38]) children. No associations were observed between CSRD and rhinoconjunctivitis. DiscussionCSRD was significantly associated with childhood wheeze with stronger associations observed for RHV+CSRD in SPT+ and STH-infected children.</t>
  </si>
  <si>
    <t>[Atwell, Jessica; Karron, Ruth] Johns Hopkins Bloomberg Sch Publ Hlth, Baltimore, MD USA; [Chico, Martha; Vaca, Maritza; Cooper, Philip J. J.] Fdn Ecuatoriana Invest Salud, Quito, Ecuador; [Arevalo-Cortes, Andrea; Cooper, Philip J. J.] Univ Int Ecuador, Escuela Med, Quito, Ecuador; [Cooper, Philip J. J.] St Georges Univ London, Inst Infect &amp; Immun, CranmerTerrace, London SW17 0RE, England</t>
  </si>
  <si>
    <t>Johns Hopkins University; Johns Hopkins Bloomberg School of Public Health; St Georges University London</t>
  </si>
  <si>
    <t>Cooper, PJ (corresponding author), St Georges Univ London, Inst Infect &amp; Immun, CranmerTerrace, London SW17 0RE, England.</t>
  </si>
  <si>
    <t>pcooper@sgul.ac.uk</t>
  </si>
  <si>
    <t>Cooper, Philip/0000-0002-6770-6871</t>
  </si>
  <si>
    <t>PATH Vaccine Solutions; Wellcome Trust [088862/Z/09/Z]; Wellcome Trust [088862/Z/09/Z] Funding Source: Wellcome Trust</t>
  </si>
  <si>
    <t>PATH Vaccine Solutions; Wellcome Trust(Wellcome Trust); Wellcome Trust(Wellcome Trust)</t>
  </si>
  <si>
    <t>This work was supported by PATH Vaccine Solutions and Wellcome Trust (088862/Z/09/Z). We thank the ECUAVIDA study team, children, and their families for their participation in and support of the study.</t>
  </si>
  <si>
    <t>2045-7022</t>
  </si>
  <si>
    <t>CLIN TRANSL ALLERGY</t>
  </si>
  <si>
    <t>Clin. Transl. Allergy</t>
  </si>
  <si>
    <t>e12291</t>
  </si>
  <si>
    <t>10.1002/clt2.12291</t>
  </si>
  <si>
    <t>O5BD9</t>
  </si>
  <si>
    <t>WOS:001043954700001</t>
  </si>
  <si>
    <t>Auerbach, M</t>
  </si>
  <si>
    <t>Auerbach, Michael</t>
  </si>
  <si>
    <t>Optimizing diagnosis and treatment of iron deficiency and iron deficiency anemia in women and girls of reproductive age: Clinical opinion</t>
  </si>
  <si>
    <t>anemia; iron deficiency; iron deficiency anemia; iron replacement</t>
  </si>
  <si>
    <t>RESTLESS LEGS SYNDROME; INTRAVENOUS IRON; ORAL IRON; POSTPARTUM ANEMIA; SERUM FERRITIN; SUPPLEMENTATION; TRANSFUSION; HEMOGLOBIN; ABSORPTION; MECHANISMS</t>
  </si>
  <si>
    <t>Iron deficiency (ID) is the world's most common disorder and one of the top five causes of years lived with disability. Whereas low serum ferritin is diagnostic of ID, ferritin-an acute phase reactant-may be elevated in inflammatory states and the first trimester of pregnancy even if ID exists. Consequently, in early pregnancy or chronic inflammation, percent transferrin saturation (TSAT) measurement is the best indicator of iron status. Unfortunately, current guidelines do not recommend routine screening for ID in either pregnant or nonpregnant women in the absence of anemia. This circumstance should be urgently reviewed based on available data. While oral formulations have long been the standard for iron replacement therapy and are widely available and inexpensive, oral iron is frequently associated with adverse gastrointestinal effects for the majority-a major reason for poor adherence, inadequate repletion, and persisting ID symptoms and sequellae. Although safe intravenous iron administration was introduced in the mid-1950s, formulations with cores binding the elemental iron more tightly became available in the 2000s, allowing complete and safe replacement, even in a single setting. Prospectively acquired neonatology evidence reports oral iron's failure to reach the developing fetus when the mother is iron deficient. Consequently, while oral iron remains frontline in the first trimester because of insufficient safety data for intravenous iron, the author recommends that the intravenous route should be the gold standard for second-trimester ID when hemoglobin concentrations are less than 10.5 g/dL and for all iron-deficient women in their third trimester.</t>
  </si>
  <si>
    <t>[Auerbach, Michael] Georgetown Univ, Dept Med, Sch Med, Washington, DC USA; [Auerbach, Michael] Auerbach Hematol &amp; Oncol, 5233 King Ave 308, Baltimore, MD 21237 USA</t>
  </si>
  <si>
    <t>Georgetown University</t>
  </si>
  <si>
    <t>Auerbach, M (corresponding author), Auerbach Hematol &amp; Oncol, 5233 King Ave 308, Baltimore, MD 21237 USA.</t>
  </si>
  <si>
    <t>mauerbachmd@abhemonc.com</t>
  </si>
  <si>
    <t>10.1002/ijgo.14949</t>
  </si>
  <si>
    <t>O3JA9</t>
  </si>
  <si>
    <t>WOS:001042802400008</t>
  </si>
  <si>
    <t>Batu, ED; Erden, A</t>
  </si>
  <si>
    <t>Batu, Ezgi Deniz; Erden, Abdulsamet</t>
  </si>
  <si>
    <t>The outcome of COVID-19 in patients with autoimmune rheumatic diseases: Comparable to the general population or worse?</t>
  </si>
  <si>
    <t>[Batu, Ezgi Deniz] Hacettepe Univ, Fac Med, Dept Pediat, Div Rheumatol, Ankara, Turkiye; [Erden, Abdulsamet] Gazi Univ, Fac Med, Dept Internal Sci, Div Rheumatol, Ankara, Turkiye; [Batu, Ezgi Deniz] Hacettepe Univ, Ihsan Dogramaci Cocuk Hastanesi, Cocuk Romatol Bolumu, Kat 3 Sihhiye, TR-06100 Ankara, Turkiye</t>
  </si>
  <si>
    <t>Hacettepe University; Gazi University; Hacettepe University</t>
  </si>
  <si>
    <t>Batu, ED (corresponding author), Hacettepe Univ, Ihsan Dogramaci Cocuk Hastanesi, Cocuk Romatol Bolumu, Kat 3 Sihhiye, TR-06100 Ankara, Turkiye.</t>
  </si>
  <si>
    <t>ezgidenizbatu@yahoo.com</t>
  </si>
  <si>
    <t>Erden, Abdulsamet/W-2397-2019</t>
  </si>
  <si>
    <t>Erden, Abdulsamet/0000-0002-8084-2018; Batu, Ezgi Deniz/0000-0003-1065-2363</t>
  </si>
  <si>
    <t>10.1111/1756-185X.14766</t>
  </si>
  <si>
    <t>O0XQ2</t>
  </si>
  <si>
    <t>WOS:001041142000004</t>
  </si>
  <si>
    <t>Bellisai, G; EFSA European Food Safety Authority; Bernasconi, G; Cabrera, LC; Castellan, I; del Aguila, M; Ferreira, L; Santonja, GG; Greco, L; Jarrah, S; Leuschner, R; Perez, JM; Miron, I; Nave, S; Pedersen, R; Reich, H; Ruocco, S; Santos, M; Scarlato, AP; Theobald, A; Tiramani, M; Verani, A</t>
  </si>
  <si>
    <t>Bellisai, Giulia; EFSA European Food Safety Authority, Luis; Bernasconi, Giovanni; Cabrera, Luis Carrasco; Castellan, Irene; del Aguila, Monica; Ferreira, Lucien; Santonja, German Giner; Greco, Luna; Jarrah, Samira; Leuschner, Renata; Perez, Javier Martinez; Miron, Ileana; Nave, Stefanie; Pedersen, Ragnor; Reich, Hermine; Ruocco, Silvia; Santos, Miguel; Scarlato, Alessia Pia; Theobald, Anne; Tiramani, Manuela; Verani, Alessia</t>
  </si>
  <si>
    <t>Modification of the existing maximum residue level for trifloxystrobin in honey</t>
  </si>
  <si>
    <t>EFSA JOURNAL</t>
  </si>
  <si>
    <t>trifloxystrobin; honey; pesticide; MRL; consumer risk assessment</t>
  </si>
  <si>
    <t>In accordance with Article 6 of Regulation (EC) No 396/2005, the applicant Bayer AG Crop Science Division submitted a request to the competent national authority in the Netherlands to set a maximum residue level (MRL) for the active substance trifloxystrobin in honey. The data submitted in support of the request were found to be sufficient to derive an MRL proposal for the commodity under assessment. An adequate analytical method for enforcement is available to control the residues of trifloxystrobin in honey at the validated limit of quantification (LOQ) of 0.01 mg/kg. Based on the risk assessment results, EFSA concluded that the short-term and long-term intake of residues resulting from the potential transfer of residues into honey assessed in the present MRL application of trifloxystrobin is unlikely to present a risk to consumer health. The consumer risk assessment shall be regarded as indicative and affected by uncertainties.</t>
  </si>
  <si>
    <t>pesticides.mrl@efsa.europa.eu</t>
  </si>
  <si>
    <t>Bellisai, Giulia/ISU-4238-2023</t>
  </si>
  <si>
    <t>1831-4732</t>
  </si>
  <si>
    <t>EFSA J</t>
  </si>
  <si>
    <t>EFSA J.</t>
  </si>
  <si>
    <t>e08189</t>
  </si>
  <si>
    <t>10.2903/j.efsa.2023.8189</t>
  </si>
  <si>
    <t>O4SZ7</t>
  </si>
  <si>
    <t>WOS:001043741800001</t>
  </si>
  <si>
    <t>Blandin, L; Cargou, M; Wojciechowski, E; Rouzaire, P; Lemal, R</t>
  </si>
  <si>
    <t>Blandin, Lucie; Cargou, Marine; Wojciechowski, Elodie; Rouzaire, Paul; Lemal, Richard</t>
  </si>
  <si>
    <t>Characterization of the novel HLA-B*51:384 allele by sequencing-based typing</t>
  </si>
  <si>
    <t>HLA; HLA-B*51:384; novel allele; sequencing-based typing</t>
  </si>
  <si>
    <t>HLA-B*51:384 differs from HLA-B*51:01:01:01 by one nucleotide substitution in codon 267 in exon 4.</t>
  </si>
  <si>
    <t>[Blandin, Lucie; Rouzaire, Paul; Lemal, Richard] Clermont Ferrand Univ Hosp, Histocompatibil &amp; Immunogenet Lab, Clermont Ferrand, France; [Cargou, Marine; Wojciechowski, Elodie] CHU Bordeaux, Hop Pellegrin, Lab Immunol &amp; Immunogenet, Bordeaux, France; [Cargou, Marine] Univ Bordeaux, CNRS, ImmunoConcEpT, UMR 5164, Bordeaux, France; [Rouzaire, Paul; Lemal, Richard] Clermont Auvergne Univ, CHELTER EA7453, Clermont Ferrand, France; [Rouzaire, Paul] CHU Clermont Ferrand, UCA, UFR Pharm,EA CHELTER 7453, Ctr Donneurs Volontaires Moelle Osseuse,Lab Histoc, 58 rue Montalembert, F-63003 Clermont Ferrand 01, France</t>
  </si>
  <si>
    <t>CHU Clermont Ferrand; UDICE-French Research Universities; Universite de Bordeaux; CHU Bordeaux; Centre National de la Recherche Scientifique (CNRS); CNRS - National Institute for Biology (INSB); UDICE-French Research Universities; Universite de Bordeaux; Universite Clermont Auvergne (UCA); CHU Clermont Ferrand</t>
  </si>
  <si>
    <t>Rouzaire, P (corresponding author), CHU Clermont Ferrand, UCA, UFR Pharm,EA CHELTER 7453, Ctr Donneurs Volontaires Moelle Osseuse,Lab Histoc, 58 rue Montalembert, F-63003 Clermont Ferrand 01, France.</t>
  </si>
  <si>
    <t>porouzaire@chu-clermontferrand.fr</t>
  </si>
  <si>
    <t>CARGOU, Marine/0000-0002-1141-1417; ROUZAIRE, Paul/0000-0002-0595-4378</t>
  </si>
  <si>
    <t>10.1111/tan.15168</t>
  </si>
  <si>
    <t>R0OL2</t>
  </si>
  <si>
    <t>WOS:001038693700001</t>
  </si>
  <si>
    <t>Blondeau-Bidet, E; Banousse, G; L'Honore, T; Farcy, E; Cosseau, C; Lorin-Nebel, C</t>
  </si>
  <si>
    <t>Blondeau-Bidet, Eva; Banousse, Ghizlane; L'Honore, Thibaut; Farcy, Emilie; Cosseau, Celine; Lorin-Nebel, Catherine</t>
  </si>
  <si>
    <t>The role of salinity on genome-wide DNA methylation dynamics in European sea bass gills</t>
  </si>
  <si>
    <t>DNA methylation; ecophysiology; fish; gene expression; gill; salinity</t>
  </si>
  <si>
    <t>DICENTRARCHUS-LABRAX; CHLORIDE CHANNEL; NURSERY AREAS; EXPRESSION; LOCALIZATION; METABOLISM; PATTERNS; SEAWATER; ACCLIMATION; STICKLEBACK</t>
  </si>
  <si>
    <t>Epigenetic modifications, like DNA methylation, generate phenotypic diversity in fish and ultimately lead to adaptive evolutionary processes. Euryhaline marine species that migrate between salinity-contrasted habitats have received little attention regarding the role of salinity on whole-genome DNA methylation. Investigation of salinity-induced DNA methylation in fish will help to better understand the potential role of this process in salinity acclimation. Using whole-genome bisulfite sequencing, we compared DNA methylation patterns in European sea bass (Dicentrarchus labrax) juveniles in seawater and after freshwater transfer. We targeted the gill as a crucial organ involved in plastic responses to environmental changes. To investigate the function of DNA methylation in gills, we performed RNAseq and assessed DNA methylome-transcriptome correlations. We showed a negative correlation between gene expression levels and DNA methylation levels in promoters, first introns and first exons. A significant effect of salinity on DNA methylation dynamics with an overall DNA hypomethylation in freshwater-transferred fish compared to seawater controls was demonstrated. This suggests a role of DNA methylation changes in salinity acclimation. Genes involved in key functions as metabolism, ion transport and transepithelial permeability (junctional complexes) were differentially methylated and expressed between salinity conditions. Expression of genes involved in mitochondrial metabolism (tricarboxylic acid cycle) was increased, whereas the expression of DNA methyltransferases 3a was repressed. This study reveals novel links between DNA methylation, mainly in promoters and first exons/introns, and gene expression patterns following salinity change.</t>
  </si>
  <si>
    <t>[Blondeau-Bidet, Eva; Banousse, Ghizlane; L'Honore, Thibaut; Farcy, Emilie; Lorin-Nebel, Catherine] Univ Montpellier, CNRS, Ifremer, MARBEC,IRD, Montpellier, France; [Cosseau, Celine] Univ Perpignan Via Domitia, Univ Montpellier, CNRS, IHPE,Ifremer, Perpignan, France</t>
  </si>
  <si>
    <t>Universite de Montpellier; Ifremer; Centre National de la Recherche Scientifique (CNRS); Institut de Recherche pour le Developpement (IRD); Ifremer; Centre National de la Recherche Scientifique (CNRS); Universite de Montpellier</t>
  </si>
  <si>
    <t>Lorin-Nebel, C (corresponding author), Univ Montpellier, CNRS, Ifremer, MARBEC,IRD, Montpellier, France.</t>
  </si>
  <si>
    <t>catherine.lorin@umontpellier.fr</t>
  </si>
  <si>
    <t>Blondeau-Bidet, Eva/0000-0002-8409-3544</t>
  </si>
  <si>
    <t>Agence Nationale de la Recherche [ANR- 10- LABX- 04-01]; LabEx CeMEB, an ANR Investissements d'avenir program</t>
  </si>
  <si>
    <t>Agence Nationale de la Recherche(Agence Nationale de la Recherche (ANR)); LabEx CeMEB, an ANR Investissements d'avenir program(Agence Nationale de la Recherche (ANR))</t>
  </si>
  <si>
    <t>Agence Nationale de la Recherche, Grant/Award Number: ANR- 10- LABX- 04-01; LabEx CeMEB, an ANR Investissements d'avenir program</t>
  </si>
  <si>
    <t>10.1111/mec.17089</t>
  </si>
  <si>
    <t>R1OY3</t>
  </si>
  <si>
    <t>Green Published, hybrid, Green Submitted</t>
  </si>
  <si>
    <t>WOS:001040992800001</t>
  </si>
  <si>
    <t>Chang, JJ; Gadi, SRV; Videnovic, A; Kuo, B; Pasricha, TS</t>
  </si>
  <si>
    <t>Chang, J. J.; Gadi, S. R. V.; Videnovic, A.; Kuo, B.; Pasricha, T. S.</t>
  </si>
  <si>
    <t>GI consult is under-utilized in Parkinson's disease and significantly affects diagnosis and management of symptoms</t>
  </si>
  <si>
    <t>[Chang, J. J.] Tufts Univ, Sch Med, Boston, MA USA; [Gadi, S. R. V.] Duke Univ Hlth Syst, Dept Med, Durham, NC USA; [Videnovic, A.] Massachusetts Gen Hosp, Dept Neurol, Neurol Clin Res Inst, Boston, MA USA; [Gadi, S. R. V.; Videnovic, A.] Harvard Med Sch, Boston, MA USA; [Kuo, B.; Pasricha, T. S.] Massachusetts Gen Hosp, Div Gastroenterol, Dept Med, Ctr Neurointestinal Hlth, Boston, MA USA</t>
  </si>
  <si>
    <t>Tufts University; Duke University; Harvard University; Massachusetts General Hospital; Harvard University; Harvard Medical School; Harvard University; Massachusetts General Hospital</t>
  </si>
  <si>
    <t>Q6VA4</t>
  </si>
  <si>
    <t>WOS:001058869800032</t>
  </si>
  <si>
    <t>Chen, J; Fu, WJ; Liu, SL; He, YM; Mebrahtu, C; Zhou, QQ; Zhang, YT; Wang, XR; Chen, HH; Zeng, F; Gu, XH</t>
  </si>
  <si>
    <t>Chen, Jian; Fu, Weijie; Liu, Shuilian; He, Yiming; Mebrahtu, Chalachew; Zhou, Qiaoqiao; Zhang, Yuting; Wang, Xuerui; Chen, Huanhao; Zeng, Feng; Gu, Xuehong</t>
  </si>
  <si>
    <t>Thermodynamic Analysis of Membrane Separation-Enhanced Co-Hydrogenation of CO2/CO to Ethanol</t>
  </si>
  <si>
    <t>CO hydrogenation; CO2 hydrogenation; Ethanol synthesis; Membrane reactor; Thermodynamics</t>
  </si>
  <si>
    <t>HIGHER ALCOHOLS SYNTHESIS; BIOMASS GASIFICATION; FAST PYROLYSIS; METHANOL; CATALYST; SYNGAS; CONVERSION; OPTIMIZATION; SIMULATION; REACTOR</t>
  </si>
  <si>
    <t>Co-hydrogenation of CO2/CO to produce ethanol presents an important way to utilize carbon-neutralized biomass resources through gasification. By applying a water-permselective membrane reactor, water, the byproduct of CO2/CO hydrogenation to ethanol, can be removed. Thus, ethanol formation can be promoted thermodynamically. Accordingly, herein, the thermodynamics of ethanol synthesis by CO2, CO, CO2/CO hydrogenation was investigated, as well as the promoting effects of water removal under various temperatures and pressures by Aspen Plus. It is found that, at medium reaction temperature (e.g., 250 &amp; DEG;C), medium pressure (e.g., 10-50 bar), and medium CO fraction (e.g., 0.1-0.5) together with 1-stage water removal, a CO2/CO equilibrium conversion higher than 80 % can be obtained.</t>
  </si>
  <si>
    <t>[Chen, Jian; Fu, Weijie; Liu, Shuilian; He, Yiming; Zhou, Qiaoqiao; Zhang, Yuting; Wang, Xuerui; Chen, Huanhao; Zeng, Feng; Gu, Xuehong] Nanjing Tech Univ, Coll Chem Engn, State Key Lab Mat Oriented Chem Engn, Nanjing 211816, Peoples R China; [Mebrahtu, Chalachew] Rhein Westfal TH Aachen, Inst Tech &amp; Macromol Chem, Worringerweg 2, D-52074 Aachen, Germany</t>
  </si>
  <si>
    <t>Nanjing Tech University; RWTH Aachen University</t>
  </si>
  <si>
    <t>Zeng, F; Gu, XH (corresponding author), Nanjing Tech Univ, Coll Chem Engn, State Key Lab Mat Oriented Chem Engn, Nanjing 211816, Peoples R China.</t>
  </si>
  <si>
    <t>zeng@njtech.edu.cn; xhgu@njtech.edu.cn</t>
  </si>
  <si>
    <t>Zeng, Feng/AAE-5430-2019</t>
  </si>
  <si>
    <t>Zeng, Feng/0000-0002-9346-9099</t>
  </si>
  <si>
    <t>National Natural Science Foundation of China [U22B20148]; China National Petroleum Corporation [22208143]; Nanjing Tech University [39801170]; State Key Laboratory of Materials-Oriented Chemical Engineering [38901218]</t>
  </si>
  <si>
    <t>National Natural Science Foundation of China(National Natural Science Foundation of China (NSFC)); China National Petroleum Corporation; Nanjing Tech University; State Key Laboratory of Materials-Oriented Chemical Engineering</t>
  </si>
  <si>
    <t>The authors acknowledge the financial support from the National Natural Science Foundation of China (U22B20148), funded by China National Petroleum Corporation (22208143), Nanjing Tech University (39801170), and the State Key Laboratory of Materials-Oriented Chemical Engineering (38901218).</t>
  </si>
  <si>
    <t>10.1002/ceat.202300137</t>
  </si>
  <si>
    <t>O0AC5</t>
  </si>
  <si>
    <t>WOS:001040523300001</t>
  </si>
  <si>
    <t>Chong, Y; Goto, T; Watanabe, H; Tani, N; Yonekawa, A; Ikematsu, H; Shimono, N; Tanaka, Y; Akashi, K</t>
  </si>
  <si>
    <t>Chong, Yong; Goto, Takeyuki; Watanabe, Haruka; Tani, Naoki; Yonekawa, Akiko; Ikematsu, Hideyuki; Shimono, Nobuyuki; Tanaka, Yosuke; Akashi, Koichi</t>
  </si>
  <si>
    <t>Achievement of sufficient antibody response after a fourth dose of wild-type SARS-CoV-2 mRNA vaccine in nursing home residents</t>
  </si>
  <si>
    <t>IMMUNITY INFLAMMATION AND DISEASE</t>
  </si>
  <si>
    <t>antibody response; COVID-19; fourth vaccination; nursing home residents; SARS-CoV-2; second booster</t>
  </si>
  <si>
    <t>OMICRON VARIANT; NETWORK; PERIODS; ADULTS; STATES</t>
  </si>
  <si>
    <t>Background Infection control during COVID-19 outbreaks in nursing facilities is a critical public health issue. Antibody responses before and after the fourth (second booster) dose of wild-type severe acute respiratory syndrome coronavirus 2 (SARS-CoV-2) vaccine in nursing home residents have not been fully characterized.Methods This study included 112 individuals: 54 nursing home residents (mean age: 84.4 years; 35 SARS-CoV-2-naive and 19 previously infected) and 58 healthcare workers (mean age: 47.7 years; 25 SARS-CoV-2-naive and 33 previously infected). Antispike and antinucleocapsid antibody responses to messenger RNA vaccination were evaluated using serum samples collected shortly and 5 months after the third dose, and shortly after the fourth dose.Results The median immunoglobulin G (IgG) level in SARS-CoV-2-naive residents was similar to that in SARS-CoV-2-naive healthcare workers after the fourth dose (24,026.3 vs. 30,328.6 AU/mL, p = .79), whereas after the third dose the IgG level of SARS-CoV-2-naive residents was approximately twofold lower than that in SARS-CoV-2-naive healthcare workers. In residents with previous SARS-CoV-2 infection, timing of infection in relation to vaccination affected the kinetics of antibody responses. Residents infected after the third dose showed the highest IgG levels after the fourth dose among all groups (median: 64,328.8 AU/mL), in contrast to residents infected before initiating vaccination with antibody levels similar to those of SARS-CoV-2-naive residents.Conclusions Advanced aged nursing home residents, poor responders in the initial SARS-CoV-2 vaccine series, could achieve sufficient antibody responses after the fourth (second booster) vaccination, comparable to those of younger adults.</t>
  </si>
  <si>
    <t>[Chong, Yong; Goto, Takeyuki; Tani, Naoki; Yonekawa, Akiko; Akashi, Koichi] Kyushu Univ, Dept Med &amp; Biosyst Sci, Dept Internal Med 1, Grad Sch Med Sci, Fukuoka, Japan; [Watanabe, Haruka] Kyushu Univ Hosp, Dept Clin Immunol &amp; Rheumatol &amp; Infect Dis, Fukuoka, Japan; [Ikematsu, Hideyuki] Japan Phys Assoc, Div Influenza Res, Tokyo, Japan; [Shimono, Nobuyuki] Kyushu Univ Hosp, Dept Ctr Study Global Infect, Ctr Study Global Infect, Fukuoka, Japan; [Tanaka, Yosuke] Kanenokuma Hosp, Dept Internal Med, Med Corp SOUSEIKAI, Fukuoka, Japan; [Chong, Yong] Kyushu Univ, Grad Sch Med Sci, Med &amp; Biosyst Sci, 3-1-1 Maidashi, Higashi Ku, Fukuoka 8128582, Japan</t>
  </si>
  <si>
    <t>Kyushu University; Kyushu University; Kyushu University; Kyushu University</t>
  </si>
  <si>
    <t>Chong, Y (corresponding author), Kyushu Univ, Grad Sch Med Sci, Med &amp; Biosyst Sci, 3-1-1 Maidashi, Higashi Ku, Fukuoka 8128582, Japan.</t>
  </si>
  <si>
    <t>ychong@gj9.so-net.ne.jp</t>
  </si>
  <si>
    <t>First, we would like to thank Atsushi Hisaeda and Seiji Sasaki for their technical support. Next, we sincerely thank Junko Nakahara and Yoko Ikeda for all of their support in the investigation. We would also like to thank the entire Department of Clinical</t>
  </si>
  <si>
    <t>First, we would like to thank Atsushi Hisaeda and Seiji Sasaki for their technical support. Next, we sincerely thank Junko Nakahara and Yoko Ikeda for all of their support in the investigation. We would also like to thank the entire Department of Clinical Chemistry (Kanenokuma Hospital). Finally, we thank all staff members of the facility for their dedicated work.</t>
  </si>
  <si>
    <t>2050-4527</t>
  </si>
  <si>
    <t>IMMUN INFLAMM DIS</t>
  </si>
  <si>
    <t>IMMUN. INFLAMM. DIS.</t>
  </si>
  <si>
    <t>e962</t>
  </si>
  <si>
    <t>10.1002/iid3.962</t>
  </si>
  <si>
    <t>Q6BH3</t>
  </si>
  <si>
    <t>WOS:001058350400005</t>
  </si>
  <si>
    <t>Coupe, S; Giantsis, IA; Luis, MV; Scarpa, F; Foulquie, M; Prevot, JM; Casu, M; Lattos, A; Michaelidis, B; Sanna, D; Garcia-March, JR; Tena-Medialdea, J; Vicente, N; Bunet, R</t>
  </si>
  <si>
    <t>Coupe, Stephane; Giantsis, Ioannis A.; Luis, Maite Vazquez; Scarpa, Fabio; Foulquie, Mathieu; Prevot, Jean-Marc; Casu, Marco; Lattos, Athanasios; Michaelidis, Basile; Sanna, Daria; Garcia-March, Jose Rafa; Tena-Medialdea, Jose; Vicente, Nardo; Bunet, Robert</t>
  </si>
  <si>
    <t>The characterization of toll-like receptor repertoire in Pinna nobilis after mass mortality events suggests adaptive introgression</t>
  </si>
  <si>
    <t>adaptation; critically endangered; fan mussel; genetic diversity; Haplosporidium pinnae; hybrids; introgression; pathogens; toll-like receptors</t>
  </si>
  <si>
    <t>BALANCING SELECTION; GENETIC DIVERSITY; RECOGNITION; EVOLUTION; RESPONSES; DISEASE; HOST; MHC; LIPOPROTEINS; POLYMORPHISM</t>
  </si>
  <si>
    <t>The fan mussel Pinna nobilis is currently on the brink of extinction due to a multifactorial disease mainly caused to the highly pathogenic parasite Haplosporidium pinnae, meaning that the selection pressure outweighs the adaptive potential of the species. Hopefully, rare individuals have been observed somehow resistant to the parasite, stretching the need to identify the traits underlying this better fitness. Among the candidate to explore at first intention are fast-evolving immune genes, of which toll-like receptor (TLR). In this study, we examined the genetic diversity at 14 TLR loci across P. nobilis, Pinna rudis and P. nobilis x P. rudis hybrid genomes, collected at four physically distant regions, that were found to be either resistant or sensitive to the parasite H. pinnae. We report a high genetic diversity, mainly observed at cell surface TLRs compared with that of endosomal TLRs. However, the endosomal TLR-7 exhibited unexpected level of diversity and haplotype phylogeny. The lack of population structure, associated with a high genetic diversity and elevated dN/dS ratio, was interpreted as balancing selection, though both directional and purifying selection were detected. Interestingly, roughly 40% of the P. nobilis identified as resistant to H. pinnae were introgressed with P. rudis TLR. Specifically, they all carried a TLR-7 of P. rudis origin, whereas sensitive P. nobilis were not introgressed, at least at TLR loci. Small contributions of TLR-6 and TLR-4 single-nucleotide polymorphisms to the clustering of resistant and susceptible individuals could be detected, but their specific role in resistance remains highly speculative. This study provides new information on the diversity of TLR genes within the P. nobilis species after MME and additional insights into adaptation to H. pinnae that should contribute to the conservation of this Mediterranean endemic species.</t>
  </si>
  <si>
    <t>[Coupe, Stephane; Foulquie, Mathieu] Aix Marseille Univ, Univ Toulon, CNRS, IRD,MIO, Marseille, France; [Giantsis, Ioannis A.; Lattos, Athanasios; Michaelidis, Basile] Univ Western Macedonia, Fac Agr Sci, Kozani, Greece; [Luis, Maite Vazquez] CSIC, Inst Espanol Oceanog IEO, Ctr Oceanog Baleares, Palma De Mallorca, Spain; [Scarpa, Fabio; Sanna, Daria] Univ Sassari, Dept Biomed Sci, Sassari, Italy; [Foulquie, Mathieu; Bunet, Robert] Inst Oceanog Paul Ricard, Ile Des Embiez, Var, France; [Prevot, Jean-Marc] Univ Toulon &amp; Var, Dept Informat, Var, France; [Casu, Marco] Univ Sassari, Dept Vet Med, Sassari, Italy; [Garcia-March, Jose Rafa; Tena-Medialdea, Jose] Univ Catolica Valencia SVM, IMEDMAR UCV, Inst Environm &amp; Marine Sci Res, Calpe, Alicante, Spain; [Vicente, Nardo] Avignon Univ, Inst Mediterraneen Biodivers &amp; Ecol Marine &amp; Conti, Aix Marseille Univ, CNRS,IRD, Avignon, France</t>
  </si>
  <si>
    <t>Institut de Recherche pour le Developpement (IRD); Centre National de la Recherche Scientifique (CNRS); UDICE-French Research Universities; Aix-Marseille Universite; University of Western Macedonia; Consejo Superior de Investigaciones Cientificas (CSIC); Spanish Institute of Oceanography; University of Sassari; Universite de Toulon; University of Sassari; Universidad Catolica de Valencia San Vicente Martir; UDICE-French Research Universities; Aix-Marseille Universite; Institut de Recherche pour le Developpement (IRD); Centre National de la Recherche Scientifique (CNRS); Avignon Universite</t>
  </si>
  <si>
    <t>Coupe, S (corresponding author), Aix Marseille Univ, Univ Toulon, CNRS, IRD,MIO, Marseille, France.</t>
  </si>
  <si>
    <t>stephane.coupe@univ-tln.fr</t>
  </si>
  <si>
    <t>Giantsis, Ioannis A./D-4382-2013</t>
  </si>
  <si>
    <t>Giantsis, Ioannis A./0000-0002-6323-2955</t>
  </si>
  <si>
    <t>European Commission [NAT/ES/001265]</t>
  </si>
  <si>
    <t>European Commission(European Union (EU)European Commission Joint Research Centre)</t>
  </si>
  <si>
    <t>European Commission, Grant/Award Number: NAT/ES/001265</t>
  </si>
  <si>
    <t>e10383</t>
  </si>
  <si>
    <t>10.1002/ece3.10383</t>
  </si>
  <si>
    <t>O3JN8</t>
  </si>
  <si>
    <t>WOS:001042815300001</t>
  </si>
  <si>
    <t>Coxon, C; Hepsomali, P; Brandt, K; Vauzour, D; Costabile, A</t>
  </si>
  <si>
    <t>Coxon, Christle; Hepsomali, Piril; Brandt, Karen; Vauzour, David; Costabile, Adele</t>
  </si>
  <si>
    <t>Personality, dietary identity, mental and sleep health in vegans and vegetarians: A preliminary cross-sectional study</t>
  </si>
  <si>
    <t>anxiety; depression; nutrition; sleep quality; stress</t>
  </si>
  <si>
    <t>DEPRESSIVE SYMPTOMS; LARGE-SAMPLE; ANXIETY; NEUROTICISM; DISORDERS; TRAITS; EXTROVERSION; METAANALYSIS; ASSOCIATION; VALIDATION</t>
  </si>
  <si>
    <t>Background and AimsPlant-based diets have gained popularity over the past decade. However, research regarding mental and sleep health benefits of following plant-based diets are conflicting. As there are associations between mental/sleep health and various personality traits, and personality may differ between individuals who follow different diets, in this preliminary study, we examined the associations between mental and sleep health and (i) personality and (ii) dietary identity in individuals who follow vegan and vegetarian diets. MethodsCross-sectional data on sociodemographic, personality traits, dietarian identity, overall mental health, depression, anxiety, stress, and sleep quality were collected from 57 vegan/vegetarian participants between the ages of 18-40. ResultsAfter controlling for various sociodemographic and lifestyle factors, linear regression models revealed that (i) higher dietarian private regard was a significant predictor of better overall mental health, (ii) lower levels of extraversion and higher levels of empathy predicted depression, (iii) higher levels of neuroticism and empathy predicted anxiety, (iv) higher levels of neuroticism, dietarian centrality, and neuroticism x centrality predicted stress, (v) higher levels of conscientiousness, lower levels of dietarian centrality, but higher levels of personal motivation and dietary strictness, as well as conscientiousness x centrality, conscientiousness x personal motivation, and conscientiousness x strictness predicted better sleep quality. ConclusionsThese preliminary findings suggest that not only personality traits, but also dietary identity was indeed related to mental and sleep health in individuals who follow plant-based diets.</t>
  </si>
  <si>
    <t>[Coxon, Christle; Hepsomali, Piril; Brandt, Karen] Univ Roehampton, Sch Psychol, London, England; [Vauzour, David] Univ East Anglia, Norwich Med Sch, Dept Nutr &amp; Prevent Med, Norwich, Norfolk, England; [Costabile, Adele] Univ Roehampton, Sch Life &amp; Hlth Sci, London, England; [Coxon, Christle] Univ Roehampton, Sch Psychol, Holybourne Ave, London SW15 4JD, England</t>
  </si>
  <si>
    <t>Roehampton University; University of East Anglia; University of London; King's College London; Roehampton University; Roehampton University</t>
  </si>
  <si>
    <t>Coxon, C (corresponding author), Univ Roehampton, Sch Psychol, Holybourne Ave, London SW15 4JD, England.</t>
  </si>
  <si>
    <t>Christle.Coxon@roehampton.ac.uk</t>
  </si>
  <si>
    <t>Vauzour, Dr David/C-2245-2008; COSTABILE, ADELE/HKO-8720-2023; Coxon, Christle/JED-6388-2023</t>
  </si>
  <si>
    <t>Vauzour, Dr David/0000-0001-5952-8756; COSTABILE, ADELE/0000-0003-3185-030X; Coxon, Christle/0000-0002-9168-9071</t>
  </si>
  <si>
    <t>e1525</t>
  </si>
  <si>
    <t>10.1002/hsr2.1525</t>
  </si>
  <si>
    <t>P7HG6</t>
  </si>
  <si>
    <t>WOS:001052342200001</t>
  </si>
  <si>
    <t>Daboul, J; Chan, MQ; Perry, KA; Rosenheck, JP; Nunley, D; Balasubramanian, G</t>
  </si>
  <si>
    <t>Daboul, J.; Chan, M. Q.; Perry, K. A.; Rosenheck, J. P.; Nunley, D.; Balasubramanian, G.</t>
  </si>
  <si>
    <t>A case series of high resolution pharyngeal manometry: Impact of lung transplantation on deglutitive oropharyngeal dynamics</t>
  </si>
  <si>
    <t>Ohio State Univ, Wexner Med Ctr, Div Gastroenterol Hepatol &amp; Nutr, Columbus, OH USA; Ohio State Univ, Wexner Med Ctr, Div Gen &amp; Gastrointestinal Surg, Columbus, OH USA; Ohio State Univ, Wexner Med Ctr, Div Pulm Crit Care &amp; Sleep Med, Columbus, OH USA; Ohio State Univ, Wexner Med Ctr, Columbus, OH USA</t>
  </si>
  <si>
    <t>University System of Ohio; Ohio State University; University System of Ohio; Ohio State University; University System of Ohio; Ohio State University; University System of Ohio; Ohio State University</t>
  </si>
  <si>
    <t>WOS:001058869800081</t>
  </si>
  <si>
    <t>Dusi, M; Lamperti, G</t>
  </si>
  <si>
    <t>Dusi, Michele; Lamperti, Gianfranco</t>
  </si>
  <si>
    <t>Quick Subset Construction</t>
  </si>
  <si>
    <t>SOFTWARE-PRACTICE &amp; EXPERIENCE</t>
  </si>
  <si>
    <t>determinization; finite automata; inward-oriented determinization; nondeterminism; subset construction</t>
  </si>
  <si>
    <t>DISCRETE-EVENT SYSTEMS; INCREMENTAL DETERMINIZATION; FAILURE DIAGNOSIS; AUTOMATA; DIAGNOSABILITY; MINIMIZATION</t>
  </si>
  <si>
    <t>A finite automaton can be either deterministic (DFA) or nondeterministic (NFA). An automaton-based task is in general more efficient when performed with a DFA rather than an NFA. For any NFA there is an equivalent DFA that can be generated by the classical Subset Construction algorithm. When, however, a large NFA may be transformed into an equivalent DFA by a series of actions operating directly on the NFA, Subset Construction may be unnecessarily expensive in computation, as a (possibly large) deterministic portion of the NFA is regenerated as is, a waste of processing. This is why a conservative algorithm for NFA determinization is proposed, called Quick Subset Construction, which progressively transforms an NFA into an equivalent DFA instead of generating the DFA from scratch, thereby avoiding unnecessary processing. Quick Subset Construction is proven, both formally and empirically, to be equivalent to Subset Construction, inasmuch it generates exactly the same DFA. Experimental results indicate that, the smaller the number of repair actions performed on the NFA, as compared to the size of the equivalent DFA, the faster Quick Subset Construction over Subset Construction.</t>
  </si>
  <si>
    <t>[Dusi, Michele; Lamperti, Gianfranco] Univ Brescia, Dept Informat Engn, Brescia, Italy; [Lamperti, Gianfranco] Univ Brescia, Dept Informat Engn, Via Branze 38, I-25123 Brescia, Italy</t>
  </si>
  <si>
    <t>University of Brescia; University of Brescia</t>
  </si>
  <si>
    <t>Lamperti, G (corresponding author), Univ Brescia, Dept Informat Engn, Via Branze 38, I-25123 Brescia, Italy.</t>
  </si>
  <si>
    <t>gianfranco.lamperti@unibs.it</t>
  </si>
  <si>
    <t>LAMPERTI, Gian Franco/0000-0002-1915-6932</t>
  </si>
  <si>
    <t>0038-0644</t>
  </si>
  <si>
    <t>1097-024X</t>
  </si>
  <si>
    <t>SOFTWARE PRACT EXPER</t>
  </si>
  <si>
    <t>Softw.-Pract. Exp.</t>
  </si>
  <si>
    <t>10.1002/spe.3246</t>
  </si>
  <si>
    <t>O1AG2</t>
  </si>
  <si>
    <t>WOS:001041210000001</t>
  </si>
  <si>
    <t>Enders, P; Prane, K; Schonke, E; Taeufer, T; Michalik, D; Rabeah, J; Francke, R</t>
  </si>
  <si>
    <t>Enders, Patrick; Prane, Katrina; Schoenke, Eric; Taeufer, Tobias; Michalik, Dirk; Rabeah, Jabor; Francke, Robert</t>
  </si>
  <si>
    <t>Cation Radical Newman-Kwart Rearrangement Enabled by Heterogeneous Photocatalysis under Mild Conditions</t>
  </si>
  <si>
    <t>Newman-Kwart rearrangement; photocatalysis; titanium dioxide; thiocarbamate; thiophenol</t>
  </si>
  <si>
    <t>TITANIUM-DIOXIDE; AQUEOUS-SOLUTIONS; LEWIS-ACID; TIO2; GENERATION; REDUCTION; MECHANISM; ANATASE; ION; PHOTODIMERIZATION</t>
  </si>
  <si>
    <t>A photochemical rearrangement of O-aryl thiocarbamates to the corresponding S-aryl compounds that is triggered by heterogeneous electron transfer between the substrate and photo-excited titanium dioxide is presented. The rearrangement is the key-reaction in the three-step conversion of phenols into the corresponding thiophenols. The described procedure can be performed at room temperature under aerobic conditions using violet LEDs. The rearrangement has been achieved for 24 electron-rich substrates with yields up to 99 %. A plausible mechanism is proposed based on the substrate scope, spectroscopic studies, and control experiments.</t>
  </si>
  <si>
    <t>[Enders, Patrick; Prane, Katrina; Schoenke, Eric; Taeufer, Tobias; Michalik, Dirk; Rabeah, Jabor; Francke, Robert] Leibniz Inst Catalysis, Albert Einstein Str 29a, D-18059 Rostock, Germany; [Enders, Patrick; Schoenke, Eric; Michalik, Dirk; Francke, Robert] Rostock Univ, Inst Chem, Albert Einstein Str 3a, D-18059 Rostock, Germany; [Prane, Katrina] Latvian Inst Organ Synth, Aizkraukles 21, LV-1006 Riga, Latvia</t>
  </si>
  <si>
    <t>Leibniz Institut fur Katalyse e.V. an der Universitat Rostock (LIKAT); University of Rostock; Latvian Institute of Organic Synthesis</t>
  </si>
  <si>
    <t>Francke, R (corresponding author), Leibniz Inst Catalysis, Albert Einstein Str 29a, D-18059 Rostock, Germany.;Francke, R (corresponding author), Rostock Univ, Inst Chem, Albert Einstein Str 3a, D-18059 Rostock, Germany.</t>
  </si>
  <si>
    <t>robert.francke@catalysis.de</t>
  </si>
  <si>
    <t>Francke, Robert/N-3116-2016</t>
  </si>
  <si>
    <t>Francke, Robert/0000-0002-4998-1829</t>
  </si>
  <si>
    <t>German Research Foundation (DFG Heisenberg Program) [FR 3848/4-1, FR 3848/3-1]</t>
  </si>
  <si>
    <t>German Research Foundation (DFG Heisenberg Program)(German Research Foundation (DFG))</t>
  </si>
  <si>
    <t>Acknowledgments Financial support by the German Research Foundation (DFG Heisenberg Program, FR 3848/4-1 and Individual Research Grant, FR 3848/3-1) is gratefully acknowledged. The authors thank Christine Rautenberg and Christoph Kubis for solid state UV-vis spectral analyses. Open Access funding enabled and organized by Projekt DEAL.</t>
  </si>
  <si>
    <t>10.1002/cctc.202300744</t>
  </si>
  <si>
    <t>N6VZ4</t>
  </si>
  <si>
    <t>WOS:001038378000001</t>
  </si>
  <si>
    <t>Fink, EA; Bardine, C; Gahbauer, S; Singh, I; Detomasi, TC; White, K; Gu, S; Wan, XB; Chen, J; Ary, B; Glenn, I; O'Connell, J; O'Donnell, H; Fajtova, P; Lyu, J; Vigneron, S; Young, NJ; Kondratov, IS; Alisoltani, A; Simons, LM; Lorenzo-Redondo, R; Ozer, EA; Hultquist, JF; O'Donoghue, AJ; Moroz, YS; Taunton, J; Renslo, AR; Irwin, JJ; Garcia-Sastre, A; Shoichet, BK; Craik, CS</t>
  </si>
  <si>
    <t>Fink, Elissa A. A.; Bardine, Conner; Gahbauer, Stefan; Singh, Isha; Detomasi, Tyler C. C.; White, Kris; Gu, Shuo; Wan, Xiaobo; Chen, Jun; Ary, Beatrice; Glenn, Isabella; O'Connell, Joseph; O'Donnell, Henry; Fajtova, Pavla; Lyu, Jiankun; Vigneron, Seth; Young, Nicholas J. J.; Kondratov, Ivan S. S.; Alisoltani, Arghavan; Simons, Lacy M. M.; Lorenzo-Redondo, Ramon; Ozer, Egon A. A.; Hultquist, Judd F. F.; O'Donoghue, Anthony J. J.; Moroz, Yurii S. S.; Taunton, Jack; Renslo, Adam R. R.; Irwin, John J. J.; Garcia-Sastre, Adolfo; Shoichet, Brian K. K.; Craik, Charles S. S.</t>
  </si>
  <si>
    <t>Large library docking for novel SARS-CoV-2 main protease non-covalent and covalent inhibitors</t>
  </si>
  <si>
    <t>major protease; SARS-COV-2; structure-based inhibitor; discoverydockinganti-viral</t>
  </si>
  <si>
    <t>RESPIRATORY SYNDROME-CORONAVIRUS; STRUCTURE-BASED DISCOVERY; SUBSTRATE-SPECIFICITY; LIGAND DISCOVERY; HIGH-THROUGHPUT; SARS; POTENT; IDENTIFICATION; PROTEINASE; REFINEMENT</t>
  </si>
  <si>
    <t>Antiviral therapeutics to treat SARS-CoV-2 are needed to diminish the morbidity of the ongoing COVID-19 pandemic. A well-precedented drug target is the main viral protease (M-Pro), which is targeted by an approved drug and by several investigational drugs. Emerging viral resistance has made new inhibitor chemotypes more pressing. Adopting a structure-based approach, we docked 1.2 billion non-covalent lead-like molecules and a new library of 6.5 million electrophiles against the enzyme structure. From these, 29 non-covalent and 11 covalent inhibitors were identified in 37 series, the most potent having an IC50 of 29 and 20 mu M, respectively. Several series were optimized, resulting in low micromolar inhibitors. Subsequent crystallography confirmed the docking predicted binding modes and may template further optimization. While the new chemotypes may aid further optimization of M-Pro inhibitors for SARS-CoV-2, the modest success rate also reveals weaknesses in our approach for challenging targets like M-Pro versus other targets where it has been more successful, and versus other structure-based techniques against M-Pro itself.</t>
  </si>
  <si>
    <t>[Fink, Elissa A. A.; Bardine, Conner; Gahbauer, Stefan; Singh, Isha; Detomasi, Tyler C. C.; Gu, Shuo; Wan, Xiaobo; Chen, Jun; Ary, Beatrice; Glenn, Isabella; O'Connell, Joseph; O'Donnell, Henry; Lyu, Jiankun; Vigneron, Seth; Young, Nicholas J. J.; Renslo, Adam R. R.; Irwin, John J. J.; Shoichet, Brian K. K.; Craik, Charles S. S.] Univ Calif San Francisco, Dept Pharmaceut Chem, San Francisco, CA 94143 USA; [Fink, Elissa A. A.] Univ Calif San Francisco, Grad Program Biophys, San Francisco, CA USA; [Bardine, Conner] Univ Calif San Francisco, Grad Program Chem &amp; Chem Biol, San Francisco, CA USA; [White, Kris; Garcia-Sastre, Adolfo] Icahn Sch Med Mt Sinai, Dept Microbiol, New York, NY USA; [White, Kris; Garcia-Sastre, Adolfo] Icahn Sch Med Mt Sinai, Global Hlth &amp; Emerging Pathogens Inst, New York, NY USA; [Fajtova, Pavla; O'Donoghue, Anthony J. J.] Univ Calif San Diego, Skaggs Sch Pharm &amp; Pharmaceut Sci, San Diego, CA USA; [Kondratov, Ivan S. S.] Enamine Ltd, Kiev, Ukraine; [Kondratov, Ivan S. S.] Natl Acad Sci Ukraine, VP Kukhar Inst Bioorgan Chem &amp; Petrochemistry, Kiev, Ukraine; [Alisoltani, Arghavan; Simons, Lacy M. M.; Lorenzo-Redondo, Ramon; Ozer, Egon A. A.; Hultquist, Judd F. F.] Northwestern Univ, Ctr Pathogen Genom &amp; Microbial Evolut, Feinberg Sch Med, Div Infect Dis, Chicago, IL USA; [Moroz, Yurii S. S.] Natl Taras Shevchenko Univ Kyiv, Kiev, Ukraine; [Moroz, Yurii S. S.] Chemspace LLC, Kiev, Ukraine; [Taunton, Jack] Univ Calif San Francisco, Dept Cellular &amp; Mol Pharmacol, San Francisco, CA USA; [Garcia-Sastre, Adolfo] Icahn Sch Med Mt Sinai, Dept Med, Div Infect Dis, New York, NY USA; [Garcia-Sastre, Adolfo] Icahn Sch Med Mt Sinai, Tisch Canc Inst, New York, NY USA; [Garcia-Sastre, Adolfo] Icahn Sch Med Mt Sinai, Dept Pathol Mol &amp; Cell Based Med, New York, NY USA; [Garcia-Sastre, Adolfo; Shoichet, Brian K. K.; Craik, Charles S. S.] QBI COVID 19 Res Grp QCRG, San Francisco, CA USA</t>
  </si>
  <si>
    <t>University of California System; University of California San Francisco; University of California System; University of California San Francisco; University of California System; University of California San Francisco; Icahn School of Medicine at Mount Sinai; Icahn School of Medicine at Mount Sinai; University of California System; University of California San Diego; Enamine Ltd; National Academy of Sciences Ukraine; Northwestern University; Feinberg School of Medicine; Ministry of Education &amp; Science of Ukraine; Taras Shevchenko National University Kiev; University of California System; University of California San Francisco; Icahn School of Medicine at Mount Sinai; Icahn School of Medicine at Mount Sinai; Icahn School of Medicine at Mount Sinai</t>
  </si>
  <si>
    <t>Shoichet, BK; Craik, CS (corresponding author), Univ Calif San Francisco, Dept Pharmaceut Chem, San Francisco, CA 94143 USA.</t>
  </si>
  <si>
    <t>bshoichet@gmail.com; charles.craik@ucsf.edu</t>
  </si>
  <si>
    <t>National Institutes of Health [R21AI163912, R35GM122481]; NIAID [U19AI135972, U19AI171110]; CRIPT [75N93021C00014]; DoD [W81XWH-20-1-0270]; DARPA [HR0011-19-2-0020]</t>
  </si>
  <si>
    <t>National Institutes of Health(United States Department of Health &amp; Human ServicesNational Institutes of Health (NIH) - USA); NIAID(United States Department of Health &amp; Human ServicesNational Institutes of Health (NIH) - USANIH National Institute of Allergy &amp; Infectious Diseases (NIAID)); CRIPT; DoD(United States Department of Defense); DARPA(United States Department of DefenseDefense Advanced Research Projects Agency (DARPA))</t>
  </si>
  <si>
    <t>National Institutes of Health, Grant/Award Numbers: R21AI163912, R35GM122481; NIAID, Grant/Award Numbers: U19AI135972, U19AI171110; CRIPT, Grant/Award Number: 75N93021C00014; DoD, Grant/Award Number: W81XWH-20-1-0270; DARPA, Grant/Award Number: HR0011-19-2-0020</t>
  </si>
  <si>
    <t>e4712</t>
  </si>
  <si>
    <t>10.1002/pro.4712</t>
  </si>
  <si>
    <t>N2GN3</t>
  </si>
  <si>
    <t>WOS:001035259600001</t>
  </si>
  <si>
    <t>Foster, AA; Watkins, K; Trivedi, TK; Cruz-Romero, M; Leibovich, SA; Daftary, RK; Kornblith, AE; Grupp-Phelan, J; Sporer, KA; Kellison, C; Glomb, NW</t>
  </si>
  <si>
    <t>Foster, Ashley A.; Watkins, Kenshata; Trivedi, Tarak K.; Cruz-Romero, Marisol; Leibovich, Sara A.; Daftary, Rajesh K.; Kornblith, Aaron E.; Grupp-Phelan, Jacqueline; Sporer, Karl A.; Kellison, Colleen; Glomb, Nicolaus W.</t>
  </si>
  <si>
    <t>Physical restraint use in children with mental and behavioral health emergencies in the prehospital setting</t>
  </si>
  <si>
    <t>JOURNAL OF THE AMERICAN COLLEGE OF EMERGENCY PHYSICIANS OPEN</t>
  </si>
  <si>
    <t>adolescent; child; emergency medical services; mental health services; physical; restraint</t>
  </si>
  <si>
    <t>ObjectiveEmergency medical services (EMS) transport for mental and behavioral health (MBH) emergencies occurs frequently in children, yet little is understood regarding prehospital physical restraint use despite the potential for serious adverse events. We aim to describe restraint use prevalence and primary impressions among children with MBH emergencies. MethodsThis is a retrospective cross-sectional study of children with MBH emergencies evaluated by Alameda County (ALCO), California EMS from January 1, 2012 to December 31, 2018. Patient demographics and clinical variables were collected from the EMS records including sex, age at time of encounter, year of encounter, transport destination, medication use, and primary impression(s). The primary outcome was the use of physical restraints. Descriptive statistics were used to characterize the primary outcome and associated demographic and diagnostic features, as well as temporal use patterns. Sex and age were compared between restrained and non-restrained youth using chi-square analysis. ResultsOver the 7-year study period, ALCO EMS transported 9775 children with MBH emergencies. Of these transports, 1205 (12.3%) were physically restrained. Most children restrained had the primary impression of behavioral/psychiatric crisis (51.1%), psychiatric crisis (27.4%), and behavioral-other (12.4%) and the remaining children (9.1%) had a non-psychiatric/behavioral health primary impression. Over time, there was no statistically significant change in either number of children with MBH emergencies transported or physical restraint rate. ConclusionsMore than 1 in 8 children with MBH emergencies are being physically restrained during EMS transport. Restraint rate did not substantially change over time. Further studies to understand existing restraint rates and EMS resources available to address acute agitation in children are needed to inform quality and care enhancing initiatives.</t>
  </si>
  <si>
    <t>[Foster, Ashley A.; Watkins, Kenshata; Leibovich, Sara A.; Daftary, Rajesh K.; Kornblith, Aaron E.; Grupp-Phelan, Jacqueline; Sporer, Karl A.; Kellison, Colleen; Glomb, Nicolaus W.] Univ Calif San Francisco, Dept Emergency Med, 550 16th St,Box 0649, San Francisco, CA 94143 USA; [Trivedi, Tarak K.] Univ Calif Los Angeles, Dept Emergency Med, Los Angeles, CA USA; [Cruz-Romero, Marisol] Univ Calif San Francisco, Dept Behav Hlth, San Francisco, CA USA</t>
  </si>
  <si>
    <t>University of California System; University of California San Francisco; University of California System; University of California Los Angeles; University of California System; University of California San Francisco</t>
  </si>
  <si>
    <t>Foster, AA (corresponding author), Univ Calif San Francisco, Dept Emergency Med, 550 16th St,Box 0649, San Francisco, CA 94143 USA.</t>
  </si>
  <si>
    <t>ashley.foster@ucsf.edu</t>
  </si>
  <si>
    <t>Foster, Ashley/0000-0002-3059-6218</t>
  </si>
  <si>
    <t>CARESTAR Foundation</t>
  </si>
  <si>
    <t>The authors would like to thank Jesh Harbaugh and other members of the Seneca Family of Agencies for their help with data collection and collaboration. Funding for the study is provided by CARESTAR Foundation.</t>
  </si>
  <si>
    <t>2688-1152</t>
  </si>
  <si>
    <t>JACEP OPEN</t>
  </si>
  <si>
    <t>J. Am. Coll. Emerg. Phys. Open</t>
  </si>
  <si>
    <t>e13016</t>
  </si>
  <si>
    <t>10.1002/emp2.13016</t>
  </si>
  <si>
    <t>Emergency Medicine</t>
  </si>
  <si>
    <t>P2OO1</t>
  </si>
  <si>
    <t>WOS:001049086700001</t>
  </si>
  <si>
    <t>Foster, AA; Li, J; Wilkinson, MH; Ely, M; Gausche-Hill, M; Newgard, C; Remick, K</t>
  </si>
  <si>
    <t>Foster, Ashley A. A.; Li, Joyce; Wilkinson, Matthew H. H.; Ely, Michael; Gausche-Hill, Marianne; Newgard, Craig; Remick, Katherine</t>
  </si>
  <si>
    <t>Pediatric emergency care coordinator workforce: A survey study</t>
  </si>
  <si>
    <t>pediatric emergency care coordinator; pediatric emergency medicine; pediatric emergency preparedness; pediatric readiness</t>
  </si>
  <si>
    <t>DEPARTMENTS; READINESS</t>
  </si>
  <si>
    <t>ObjectivesThe appointment of pediatric emergency care coordinators (PECC) in emergency departments (EDs) enhances pediatric readiness, yet little is understood regarding this workforce. We describe PECC role characteristics, responsibilities, barriers, and threats to the role among a national cohort. MethodsWe surveyed a sample of PECCs from all regions of the United States who participated in the Emergency Medical Services for Children PECC Workforce and Trauma Collaboratives (2021-2022). EDs were categorized by annual pediatric patient volume: low (&lt;1800), medium (1800-4999), medium-high (5000-9999), and high (&amp; GE;10,000). Trend tests were performed to explore the relationship between pediatric volume and PECC characteristics. ResultsAmong 187 PECCs, 114 (61.0%) responded. The majority (75.2%) identified as a nurse. There was a significant difference in median hours per week spent on PECC activities by pediatric volume ranging from a median of 2 hours (interquartile range [IQR] 0.0-2.3) for low pediatric volume to 16 hours (IQR 4.0-37.0) for high pediatric volume (P &lt; 0.001). Most respondents reported more time was needed for PECC activities (58.4%), and desired additional training to support the role (70.8%). Most (74.6%) felt the PECC position should be paid, yet 30.7% reported the role was voluntary. The most frequently assigned responsibilities were education of staff (77.2%) and oversight of quality improvement (QI) efforts (72.8%). ConclusionCharacteristics of PECC workforce vary but PECC activities of education and QI work are common among all. There is a reported need for additional training and support. Further studies will determine the impact of PECC characteristics on pediatric readiness.</t>
  </si>
  <si>
    <t>[Foster, Ashley A. A.] Univ Calif San Francisco, Dept Emergency Med, 5501 6th St, Box 0649, San Francisco, CA 94143 USA; [Li, Joyce] Boston Childrens Hosp, Div Emergency Med, Boston, MA USA; [Wilkinson, Matthew H. H.; Remick, Katherine] Univ Texas Austin, Med Sch, Dept Pediat, Austin, TX USA; [Ely, Michael] Emergency Med Serv Children Data Ctr, Salt Lake City, UT USA; [Ely, Michael] Univ Utah, Dept Pediat, Salt Lake City, UT USA; [Ely, Michael] Univ Utah, Div Crit Care, Salt Lake City, UT USA; [Gausche-Hill, Marianne] Los Angeles Cty EMS Agcy, Los Angeles, CA USA; [Gausche-Hill, Marianne] Univ Calif Los Angeles, Dept Emergency Med, David Geffen Sch Med, Los Angeles, CA USA; [Gausche-Hill, Marianne] Univ Calif Los Angeles, David Geffen Sch Med, Dept Pediat, Los Angeles, CA USA; [Gausche-Hill, Marianne] Harbor Univ Calif Los Angeles, Dept Emergency Med, Med Ctr, Torrance, CA USA; [Gausche-Hill, Marianne] Harbor Univ Calif Los Angeles, Med Ctr, Dept Pediat, Torrance, CA USA; [Newgard, Craig] Oregon Hlth &amp; Sci Univ, Ctr Policy &amp; Res Emergency Med, Dept Emergency Med, Portland, OR USA; [Remick, Katherine] Univ Texas Austin, Dell Med Sch, Dept Surg, Austin, TX USA; [Remick, Katherine] Univ Texas Austin, Dell Med Sch, Emergency Med Serv Children Innovat &amp; Improvement, Austin, TX USA</t>
  </si>
  <si>
    <t>University of California System; University of California San Francisco; Harvard University; Boston Children's Hospital; University of Texas System; University of Texas Austin; Utah System of Higher Education; University of Utah; Utah System of Higher Education; University of Utah; University of California System; University of California Los Angeles; University of California Los Angeles Medical Center; David Geffen School of Medicine at UCLA; University of California System; University of California Los Angeles; University of California Los Angeles Medical Center; David Geffen School of Medicine at UCLA; University of California System; University of California Los Angeles; University of California Los Angeles Medical Center; University of California System; University of California Los Angeles; University of California Los Angeles Medical Center; Oregon Health &amp; Science University; University of Texas System; University of Texas Austin; University of Texas System; University of Texas Austin</t>
  </si>
  <si>
    <t>Foster, AA (corresponding author), Univ Calif San Francisco, Dept Emergency Med, 5501 6th St, Box 0649, San Francisco, CA 94143 USA.</t>
  </si>
  <si>
    <t>Ashley.foster@ucsf.edu</t>
  </si>
  <si>
    <t>Wilkinson, Matthew/0000-0003-4932-4308; Foster, Ashley/0000-0002-3059-6218</t>
  </si>
  <si>
    <t>Health Resources and Services Administration [U07MC37471-01-00]; US Department of Health and Human Services (HHS)</t>
  </si>
  <si>
    <t>Health Resources and Services Administration(United States Department of Health &amp; Human ServicesUnited States Health Resources &amp; Service Administration (HRSA)); US Department of Health and Human Services (HHS)</t>
  </si>
  <si>
    <t>Health Resources and Services Administration, Grant/Award Number: #U07MC37471-01-00; US Department of Health and Human Services (HHS)</t>
  </si>
  <si>
    <t>e13006</t>
  </si>
  <si>
    <t>10.1002/emp2.13006</t>
  </si>
  <si>
    <t>M5HR6</t>
  </si>
  <si>
    <t>WOS:001030531100001</t>
  </si>
  <si>
    <t>Frolov, A; Mashchuk, I</t>
  </si>
  <si>
    <t>Frolov, Andrey; Mashchuk, Irina</t>
  </si>
  <si>
    <t>Two New Species of Eretmophyllum (Ginkgoales) from the Jurassic of Eastern Siberia</t>
  </si>
  <si>
    <t>ACTA GEOLOGICA SINICA-ENGLISH EDITION</t>
  </si>
  <si>
    <t>paleobotany; ginkgoalean; taxonomy; paleophytogeography; paleoecology; leaf cuticles; Irkutsk Coal Basin</t>
  </si>
  <si>
    <t>BASIN</t>
  </si>
  <si>
    <t>Two new species of Eretmophyllum Thomas are described from the lower (Toarcian) and upper (Aalenian) Prisayan Formation of the Irkutsk Basin, Eastern Siberia, Russia based on distinct morphological and cuticular features of the leaves that distinguish them from other species of the genus. Eretmophyllum polypapillosum sp. nov. is characterized by the presence of 2-3 papillae on the lower and upper epidermis of ordinary cells. Taphonomically, the leaf burials of E. polypapillosum sp. nov. indicate that it preferred mesophilic forests developed on river terraces and/or low watersheds. Eretmophyllum yershowskiensis sp. nov. is represented exclusively by leaf cuticles extracted by coal maceration, and it probably inhabited the low banks of peat bogs. The presence of the genus Eretmophyllum in the Early Jurassic of France and Eastern Siberia shows that it was already widespread in the territory of Eurasia, distributed from Western Europe to Eastern Siberia. This indicates the possible existence of Eretmophyllum species elsewhere in the Early Jurassic such as Central Asia and Northwest China.</t>
  </si>
  <si>
    <t>[Frolov, Andrey; Mashchuk, Irina] Russian Acad Sci, Inst Earths Crust, Siberian Branch, Irkutsk 664033, Russia</t>
  </si>
  <si>
    <t>Irkutsk Science Centre of the Russian Academy of Sciences; Institute of Earth's Crust of Siberian Branch of the Russian Academy of Sciences; Russian Academy of Sciences</t>
  </si>
  <si>
    <t>Frolov, A (corresponding author), Russian Acad Sci, Inst Earths Crust, Siberian Branch, Irkutsk 664033, Russia.</t>
  </si>
  <si>
    <t>frolov88-21@yandex.ru</t>
  </si>
  <si>
    <t>Institute of the Earth's Crust, Siberian Branch of the Russian Academy of Sciences [121042700218-2]; Centre of Geodynamics and Geochronology equipment at the Institute of the Earth's Crust [075-15-2021-682]</t>
  </si>
  <si>
    <t>Institute of the Earth's Crust, Siberian Branch of the Russian Academy of Sciences; Centre of Geodynamics and Geochronology equipment at the Institute of the Earth's Crust</t>
  </si>
  <si>
    <t>This work was carried out in the framework of the topic of the state task of the Institute of the Earth's Crust, Siberian Branch of the Russian Academy of Sciences (Project No. 121042700218-2); this work involved the Centre of Geodynamics and Geochronology equipment at the Institute of the Earth's Crust (Grant No. 075-15-2021-682). We are grateful to Marina M. Maslennikova for help with working on an FEI Company Quanta 200 scanning electron microscope at the Shared Research Facilities for Physical and Chemical Ultramicroanalysis (Limnological Institute SB RAS, Irkutsk), and Dr. Stepan V. Ivantsov (Tomsk State University, Russia) for active participation in field research. We are very grateful to Dr. Mike Pole (Queensland Herbarium, Australia) and the second anonymous reviewer for valuable comments and discussion of the study results.</t>
  </si>
  <si>
    <t>1000-9515</t>
  </si>
  <si>
    <t>1755-6724</t>
  </si>
  <si>
    <t>ACTA GEOL SIN-ENGL</t>
  </si>
  <si>
    <t>Acta Geol. Sin.-Engl. Ed.</t>
  </si>
  <si>
    <t>10.1111/1755-6724.15088</t>
  </si>
  <si>
    <t>Q4UD1</t>
  </si>
  <si>
    <t>WOS:001057477600002</t>
  </si>
  <si>
    <t>Gan, T; Qu, S; Zhang, H; Zhou, XJ</t>
  </si>
  <si>
    <t>Gan, Ting; Qu, Shu; Zhang, Hong; Zhou, Xu-jie</t>
  </si>
  <si>
    <t>Modulation of the immunity and inflammation by autophagy</t>
  </si>
  <si>
    <t>autophagy; immunity; inflammation; autoimmune diseases; pathogenesis</t>
  </si>
  <si>
    <t>GENOME-WIDE ASSOCIATION; SYSTEMIC-LUPUS-ERYTHEMATOSUS; INTESTINAL EPITHELIAL-CELLS; PLACEBO-CONTROLLED TRIAL; VITAMIN-D STATUS; CROHNS-DISEASE; SUSCEPTIBILITY LOCI; BOWEL-DISEASE; DOUBLE-BLIND; NONCANONICAL AUTOPHAGY</t>
  </si>
  <si>
    <t>Autophagy, a highly conserved cellular self-degradation pathway, has emerged with novel roles in the realms of immunity and inflammation. Genome-wide association studies have unveiled a correlation between genetic variations in autophagy-related genes and heightened susceptibility to autoimmune and inflammatory diseases. Subsequently, substantial progress has been made in unraveling the intricate involvement of autophagy in immunity and inflammation through functional studies. The autophagy pathway plays a crucial role in both innate and adaptive immunity, encompassing various key functions such as pathogen clearance, antigen processing and presentation, cytokine production, and lymphocyte differentiation and survival. Recent research has identified novel approaches in which the autophagy pathway and its associated proteins modulate the immune response, including noncanonical autophagy. This review provides an overview of the latest advancements in understanding the regulation of immunity and inflammation through autophagy. It summarizes the genetic associations between variants in autophagy-related genes and a range of autoimmune and inflammatory diseases, while also examining studies utilizing transgenic animal models to uncover the in vivo functions of autophagy. Furthermore, the review delves into the mechanisms by which autophagy dysregulation contributes to the development of three common autoimmune and inflammatory diseases and highlights the potential for autophagy-targeted therapies.</t>
  </si>
  <si>
    <t>[Gan, Ting; Qu, Shu; Zhang, Hong; Zhou, Xu-jie] Peking Univ First Hosp, Renal Div, Beijing, Peoples R China; [Gan, Ting; Qu, Shu; Zhang, Hong; Zhou, Xu-jie] Peking Univ, Inst Nephrol, Beijing, Peoples R China; [Gan, Ting; Qu, Shu; Zhang, Hong; Zhou, Xu-jie] Minist Hlth China, Key Lab Renal Dis, Beijing, Peoples R China; [Gan, Ting; Qu, Shu; Zhang, Hong; Zhou, Xu-jie] Peking Univ, Key Lab Chron Kidney Dis Prevent &amp; Treatment, Minist Educ, Beijing, Peoples R China; [Zhou, Xu-jie] Peking Univ First Hosp, Renal Div, 8 Xishiku St, Beijing, Peoples R China</t>
  </si>
  <si>
    <t>Zhou, XJ (corresponding author), Peking Univ First Hosp, Renal Div, 8 Xishiku St, Beijing, Peoples R China.</t>
  </si>
  <si>
    <t>zhouxujie@bjmu.edu.cn</t>
  </si>
  <si>
    <t>e311</t>
  </si>
  <si>
    <t>10.1002/mco2.311</t>
  </si>
  <si>
    <t>K6MV1</t>
  </si>
  <si>
    <t>WOS:001017570800001</t>
  </si>
  <si>
    <t>Gonzalez, A; Lin, XB; Jaiswal, V; Shrestha, AB; Song, YA; Song, DV</t>
  </si>
  <si>
    <t>Gonzalez, Alena; Lin, Xiongbin; Jaiswal, Vikash; Shrestha, Abhigan Babu; Song, Yeonah; Song, David</t>
  </si>
  <si>
    <t>Type A aortic dissection during diagnostic coronary angiography in normal coronary arteries: A case report</t>
  </si>
  <si>
    <t>aortic dissection; coronary angiography; iatrogenic</t>
  </si>
  <si>
    <t>Key Clinical MessageAortic dissection is one of the rare complication of coronary angiography. The main treatment underlies surgical intervention however; management should be done with patient's decision. Coronary angiography (CA) is a widely utilized diagnostic procedure used to evaluate blood flow through the coronary arteries and detect coronary artery disease (CAD). Despite its widespread use, it has complications including non-life-threatening, while there are some rare complications that can occur. We present a case of an elderly woman who presented with ST elevation myocardial infarction (STEMI) and underwent CA without evidence of CAD. However, the patient later developed type A aortic dissection (AD) as a complication of the procedure. Surgery is considered emergent treatment for type A-AD, but the patient was asymptomatic without any complaint, shared decision making was conducted and the patient decided to pursue conservative treatment without surgical intervention. Therefore, managing AD should be tailored to each patient individually through shared-decision making.</t>
  </si>
  <si>
    <t>[Gonzalez, Alena; Lin, Xiongbin; Song, David] Elmhurst Hosp Ctr, Icahn Sch Med Mt Sinai, Dept Internal Med, Elmhurst, NY 11373 USA; [Jaiswal, Vikash] Larkin Community Hosp, Dept Cardiovasc Res, South Miami, FL USA; [Shrestha, Abhigan Babu] M Abdur Rahim Med Coll, Dept Internal Med, Dinajpur, Bangladesh; [Song, Yeonah] St Johns Univ, Queens, NY USA; [Shrestha, Abhigan Babu] M Abdur Rahim Med Coll, Dinajpur, Bangladesh</t>
  </si>
  <si>
    <t>Icahn School of Medicine at Mount Sinai; Saint John's University</t>
  </si>
  <si>
    <t>Song, DV (corresponding author), Elmhurst Hosp Ctr, Icahn Sch Med Mt Sinai, Dept Internal Med, Elmhurst, NY 11373 USA.;Shrestha, AB (corresponding author), M Abdur Rahim Med Coll, Dinajpur, Bangladesh.</t>
  </si>
  <si>
    <t>abigan17@gmail.com; xdavidsong@gmail.com</t>
  </si>
  <si>
    <t>Jaiswal, Vikash/AAE-8215-2022</t>
  </si>
  <si>
    <t>Jaiswal, Vikash/0000-0002-2021-1660; shrestha, Abhigan babu/0000-0002-0681-3825</t>
  </si>
  <si>
    <t>e7777</t>
  </si>
  <si>
    <t>10.1002/ccr3.7777</t>
  </si>
  <si>
    <t>O1YF0</t>
  </si>
  <si>
    <t>WOS:001041837800001</t>
  </si>
  <si>
    <t>Haddadchi, A; Bind, J; Hoyle, J; Hicks, M</t>
  </si>
  <si>
    <t>Haddadchi, Arman; Bind, Jochen; Hoyle, Joanna; Hicks, Murray</t>
  </si>
  <si>
    <t>Quantifying the contribution of bank erosion to a suspended sediment budget using boat-mounted LiDAR and high-frequency suspended sediment monitoring</t>
  </si>
  <si>
    <t>EARTH SURFACE PROCESSES AND LANDFORMS</t>
  </si>
  <si>
    <t>fluvial processes; LiDAR surveys; remote sensing; river bank erosion; suspended sediment</t>
  </si>
  <si>
    <t>AGRICULTURAL CATCHMENTS; RIVER; TOPOGRAPHY; MIGRATION; SYSTEM; MODEL; CREEK; CURVATURE; TRANSPORT; BEHAVIOR</t>
  </si>
  <si>
    <t>Understanding the physical processes as well as the hydrological and morphological factors that influence channel bank erosion is important for river restoration and the management of the floodplain and associated ecosystems. In this study, we introduced an innovative approach to quantify river bank erosion and its contribution to a reach fine sediment budget by combining repeat bank erosion surveys using a jetboat-mounted LiDAR scanner with concurrent high-frequency suspended sediment load measurements into and out of the surveyed reach. Using this information, we established a sediment budget for a 5.5-km-long study reach of the lower Oreti River, Southland, New Zealand. A total of three surveys were conducted along the study reach to understand changes in the bank erosion contribution to suspended sediment load at different time scales. The first two surveys were separated by a short period of 8 weeks, and the third survey followed 2.5 years later. The measured volumes of fine sediment rendered from bank erosion equated to 25% and 29% of the measured outflowing suspended load over these two inter-survey epochs, respectively. By comparison, the net contribution of measured bank erosion and derived fine sediment deposition on the riverbed to the outflowing suspended load was 12% over the first, shorter epoch and 25% for the second, 2.5-year epoch. These results highlight the important role of in-channel sediment deposition in the variability of net suspended sediment exports from channel reaches experiencing bank erosion. The approach used in this study has a unique capability to accurately monitor bank erosion and obtain high-resolution topography data capturing changes in river banks over different time periods.</t>
  </si>
  <si>
    <t>[Haddadchi, Arman; Bind, Jochen; Hoyle, Joanna; Hicks, Murray] Natl Inst Water &amp; Atmospher Res, Christchurch, New Zealand; [Haddadchi, Arman] Natl Inst Water &amp; Atmospher Res, 10 Kyle St, Christchurch 8011, New Zealand</t>
  </si>
  <si>
    <t>National Institute of Water &amp; Atmospheric Research (NIWA) - New Zealand; National Institute of Water &amp; Atmospheric Research (NIWA) - New Zealand</t>
  </si>
  <si>
    <t>Haddadchi, A (corresponding author), Natl Inst Water &amp; Atmospher Res, 10 Kyle St, Christchurch 8011, New Zealand.</t>
  </si>
  <si>
    <t>arman.haddadchi@niwa.co.nz</t>
  </si>
  <si>
    <t>Catchment to Estuaries research programme [FWCE2205]</t>
  </si>
  <si>
    <t>Catchment to Estuaries research programme</t>
  </si>
  <si>
    <t>Catchment to Estuaries research programme, Grant/Award Number: FWCE2205</t>
  </si>
  <si>
    <t>0197-9337</t>
  </si>
  <si>
    <t>1096-9837</t>
  </si>
  <si>
    <t>EARTH SURF PROC LAND</t>
  </si>
  <si>
    <t>Earth Surf. Process. Landf.</t>
  </si>
  <si>
    <t>10.1002/esp.5667</t>
  </si>
  <si>
    <t>O0HW6</t>
  </si>
  <si>
    <t>WOS:001040728200001</t>
  </si>
  <si>
    <t>Han, M; Qin, YF; Wang, CZ; Yang, TQ</t>
  </si>
  <si>
    <t>Han, Min; Qin, Yifeng; Wang, Chengzhi; Yang, Tianqi</t>
  </si>
  <si>
    <t>Low-profile broadband circularly polarized short-circuited dipole antenna with backed cavity</t>
  </si>
  <si>
    <t>ELECTRONICS LETTERS</t>
  </si>
  <si>
    <t>dipole antennas; dipole coupling; ultra wideband antennas</t>
  </si>
  <si>
    <t>WIDE-BAND; MAGNETOELECTRIC DIPOLE</t>
  </si>
  <si>
    <t>A broadband circularly polarized (CP) dipole antenna with a backed cavity is presented in this letter. The proposed antenna consists of a pair of rotational symmetric short-circuited branches and a &amp; UGamma;-shaped feed structure. Each branch is designed to be axe-shaped so that the antenna can achieve a broad 3-dB axial ratio (AR) bandwidth. The coupled feeding method assures the antenna is wideband, and the shorting-to-the-ground technique miniaturizes the lateral dimensions of the antenna. The profile of the proposed antenna is around 0.16 &amp; lambda;(L) (&amp; lambda;(L) denotes the wavelength of the lower bound frequency). The introduction of a back cavity effectively enhances the boresight gain and improves the isolation level if the antenna is used to form an array. Finally, the design is prototyped, and the measurement results agree well with the simulation. The fractal voltage standing wave ratio (VSWR)&lt;2 bandwidth and 3-dB AR bandwidths are 61.15% (2.725-5.125 GHz) and 45.9% (3.15-5.03 GHz), respectively. The antenna's efficiency exceeds 91.5% over the target frequency band.</t>
  </si>
  <si>
    <t>[Han, Min] Inst Syst Engn, Acad Mil Sci, Beijing, Peoples R China; [Qin, Yifeng] Peng Cheng Lab, Shenzhen, Guangdong, Peoples R China; [Wang, Chengzhi] Natl Innovat Inst Def Technol, Acad Mil Sci, Beijing, Peoples R China; [Yang, Tianqi] Beijing Aerohydrodynam Res Ctr, Beijing, Peoples R China</t>
  </si>
  <si>
    <t>Peng Cheng Laboratory</t>
  </si>
  <si>
    <t>Qin, YF (corresponding author), Peng Cheng Lab, Shenzhen, Guangdong, Peoples R China.</t>
  </si>
  <si>
    <t>ee06b147@gmail.com</t>
  </si>
  <si>
    <t>Qin, Yifeng/0000-0003-1221-8093</t>
  </si>
  <si>
    <t>Major Key Project of PCL [PCL2023AS-4]</t>
  </si>
  <si>
    <t>Major Key Project of PCL</t>
  </si>
  <si>
    <t>&amp; nbsp;This work was supported by Major Key Project of PCL (Grant No. PCL2023AS-4). Thanks to Associate Professor Teng Li, State Key Laboratory of Millimeter Waves, Southeast University, for the fruitful discussion.</t>
  </si>
  <si>
    <t>0013-5194</t>
  </si>
  <si>
    <t>1350-911X</t>
  </si>
  <si>
    <t>ELECTRON LETT</t>
  </si>
  <si>
    <t>Electron. Lett.</t>
  </si>
  <si>
    <t>e12899</t>
  </si>
  <si>
    <t>10.1049/ell2.12899</t>
  </si>
  <si>
    <t>O3ZK1</t>
  </si>
  <si>
    <t>WOS:001043229800001</t>
  </si>
  <si>
    <t>Harder, AM; Sundaram, M; Narine, LL; Willoughby, JR</t>
  </si>
  <si>
    <t>Harder, Avril M.; Sundaram, Mekala; Narine, Lana L.; Willoughby, Janna R.</t>
  </si>
  <si>
    <t>Remotely sensed environmental measurements detect decoupled processes driving population dynamics at contrasting scales</t>
  </si>
  <si>
    <t>fitness; Landsat; monitoring; population dynamics</t>
  </si>
  <si>
    <t>TAILED KANGAROO RAT; DIPODOMYS-SPECTABILIS; CHIHUAHUAN DESERT; RODENT COMMUNITY; PRECIPITATION; VEGETATION; TRANSFORMATION; DISPERSAL; TEMPERATURE; VARIABILITY</t>
  </si>
  <si>
    <t>The increasing availability of satellite imagery has supported a rapid expansion in forward-looking studies seeking to track and predict how climate change will influence wild population dynamics. However, these data can also be used in retrospect to provide additional context for historical data in the absence of contemporaneous environmental measurements. We used 167 Landsat-5 Thematic Mapper (TM) images spanning 13 years to identify environmental drivers of fitness and population size in a well-characterized population of banner-tailed kangaroo rats (Dipodomys spectabilis) in the southwestern United States. We found evidence of two decoupled processes that may be driving population dynamics in opposing directions over distinct time frames. Specifically, increasing mean surface temperature corresponded to increased individual fitness, where fitness is defined as the number of offspring produced by a single individual. This result contrasts with our findings for population size, where increasing surface temperature led to decreased numbers of active mounds. These relationships between surface temperature and (i) individual fitness and (ii) population size would not have been identified in the absence of remotely sensed data, indicating that such information can be used to test existing hypotheses and generate new ecological predictions regarding fitness at multiple spatial scales and degrees of sampling effort. To our knowledge, this study is the first to directly link remotely sensed environmental data to individual fitness in a nearly exhaustively sampled population, opening a new avenue for incorporating remote sensing data into eco-evolutionary studies.</t>
  </si>
  <si>
    <t>[Harder, Avril M.; Narine, Lana L.; Willoughby, Janna R.] Auburn Univ, Coll Forestry Wildlife &amp; Environm, Auburn, AL USA; [Sundaram, Mekala] Oklahoma State Univ, Dept Integrat Biol, Stillwater, OK USA; [Harder, Avril M.] Auburn Univ, Coll Forestry Wildlife &amp; Environm, 602 Duncan Dr, Auburn, AL 36849 USA</t>
  </si>
  <si>
    <t>Auburn University System; Auburn University; Oklahoma State University System; Oklahoma State University - Stillwater; Auburn University System; Auburn University</t>
  </si>
  <si>
    <t>Harder, AM (corresponding author), Auburn Univ, Coll Forestry Wildlife &amp; Environm, 602 Duncan Dr, Auburn, AL 36849 USA.</t>
  </si>
  <si>
    <t>avrilharder@gmail.com</t>
  </si>
  <si>
    <t>Willoughby, Janna/L-2764-2013</t>
  </si>
  <si>
    <t>Willoughby, Janna/0000-0002-0176-1878; Harder, Avril/0000-0001-7371-4002</t>
  </si>
  <si>
    <t>National Institute of Food and Agriculture [1025651]; National Science Foundation [2010251]</t>
  </si>
  <si>
    <t>National Institute of Food and Agriculture(United States Department of Agriculture (USDA)National Institute of Food and Agriculture); National Science Foundation(National Science Foundation (NSF))</t>
  </si>
  <si>
    <t>National Institute of Food and Agriculture, Grant/Award Number: 1025651; National Science Foundation, Grant/Award Number: 2010251</t>
  </si>
  <si>
    <t>e10358</t>
  </si>
  <si>
    <t>10.1002/ece3.10358</t>
  </si>
  <si>
    <t>O1OR6</t>
  </si>
  <si>
    <t>WOS:001041588000001</t>
  </si>
  <si>
    <t>Hegazy, S; Leahy, M; Laing, M</t>
  </si>
  <si>
    <t>Hegazy, S.; Leahy, M.; Laing, M.</t>
  </si>
  <si>
    <t>Sunscreen photoprotection: An observational study of cosmetic suitability and skin colour inclusivity</t>
  </si>
  <si>
    <t>[Hegazy, S.; Leahy, M.; Laing, M.] Univ Hosp Galway, Dept Dermatol, Galway, Ireland; [Laing, M.] Univ Galway, Galway, Ireland; [Hegazy, S.] Univ Hosp Galway, Galway, Ireland</t>
  </si>
  <si>
    <t>Ollscoil na Gaillimhe-University of Galway; Ollscoil na Gaillimhe-University of Galway; Ollscoil na Gaillimhe-University of Galway</t>
  </si>
  <si>
    <t>Hegazy, S (corresponding author), Univ Hosp Galway, Galway, Ireland.</t>
  </si>
  <si>
    <t>sherok.hegazy@gmail.com</t>
  </si>
  <si>
    <t>Leahy, Marion/0000-0002-7269-2048</t>
  </si>
  <si>
    <t>10.1111/jdv.19341</t>
  </si>
  <si>
    <t>O0TA9</t>
  </si>
  <si>
    <t>WOS:001041021400001</t>
  </si>
  <si>
    <t>Herrmann, JR; Jackson, TC; Fabio, A; Clark, RSB; Berger, RP; Janesko-Feldman, KL; Kochanek, PM; Fink, EL; POCCA Investigators</t>
  </si>
  <si>
    <t>Herrmann, Jeremy R. R.; Jackson, Travis C. C.; Fabio, Anthony; Clark, Robert S. B.; Berger, Rachel P. P.; Janesko-Feldman, Keri L. L.; Kochanek, Patrick M. M.; Fink, Ericka L. L.; POCCA Investigators</t>
  </si>
  <si>
    <t>Association of Growth Differentiation Factor-15 With Event Cause and Cardiovascular Failure After Pediatric Cardiac Arrest in a Multi-Institutional Trial</t>
  </si>
  <si>
    <t>asphyxia; biomarker; child; infant; resuscitation</t>
  </si>
  <si>
    <t>[Kochanek, Patrick M. M.] UPMC Childrens Hosp Pittsburgh, Rangos Res Ctr, 6th Floor,4401 Penn Ave, Pittsburgh, PA 15224 USA; [Herrmann, Jeremy R. R.; Clark, Robert S. B.; Janesko-Feldman, Keri L. L.; Kochanek, Patrick M. M.] Univ Pittsburgh, UPMC Childrens Hosp Pittsburgh, Sch Med, Pittsburgh, PA USA; [Jackson, Travis C. C.] Univ S Florida, Morsani Coll Med, Dept Mol Pharmacol &amp; Physiol, Tampa, FL USA; [Fabio, Anthony] Univ Pittsburgh, Grad Sch Publ Hlth, Pittsburgh, PA USA; [Clark, Robert S. B.; Berger, Rachel P. P.; Kochanek, Patrick M. M.] Univ Pittsburgh, UPMC Childrens Hosp Pittsburgh, Dept Pediat, Sch Med, Pittsburgh, PA USA</t>
  </si>
  <si>
    <t>Pennsylvania Commonwealth System of Higher Education (PCSHE); University of Pittsburgh; Pennsylvania Commonwealth System of Higher Education (PCSHE); University of Pittsburgh; State University System of Florida; University of South Florida; Pennsylvania Commonwealth System of Higher Education (PCSHE); University of Pittsburgh; Pennsylvania Commonwealth System of Higher Education (PCSHE); University of Pittsburgh</t>
  </si>
  <si>
    <t>Kochanek, PM (corresponding author), UPMC Childrens Hosp Pittsburgh, Rangos Res Ctr, 6th Floor,4401 Penn Ave, Pittsburgh, PA 15224 USA.</t>
  </si>
  <si>
    <t>kochanekpm@pitt.edu</t>
  </si>
  <si>
    <t>Jackson, Travis/JEZ-5995-2023</t>
  </si>
  <si>
    <t>Herrmann, Jeremy/0000-0002-3342-0189; Feldman, Keri/0000-0003-3970-3013; Kochanek, Patrick/0000-0002-2627-913X; Fabio, Anthony/0000-0002-6808-4939; Fink, Ericka/0000-0002-3683-4571</t>
  </si>
  <si>
    <t>National Institutes of Health (NIH) [T32 HD040686]; Zoll Foundation; Laerdal Foundation; NIH [NS105721, NS096714]; Ake Grenvik Endowment</t>
  </si>
  <si>
    <t>National Institutes of Health (NIH)(United States Department of Health &amp; Human ServicesNational Institutes of Health (NIH) - USA); Zoll Foundation; Laerdal Foundation; NIH(United States Department of Health &amp; Human ServicesNational Institutes of Health (NIH) - USA); Ake Grenvik Endowment</t>
  </si>
  <si>
    <t>This work was supported by National Institutes of Health (NIH) T32 HD040686 (J.R.H.), The Zoll Foundation (J.R.H.), The Laerdal Foundation (J.R.H.), NIH NS105721 (T.C.J.), NIH NS096714 (E.L.F.), and the Ake Grenvik Endowment (P.M.K.).</t>
  </si>
  <si>
    <t>AUG 1</t>
  </si>
  <si>
    <t>e029972</t>
  </si>
  <si>
    <t>10.1161/JAHA.123.029972</t>
  </si>
  <si>
    <t>O0UO2</t>
  </si>
  <si>
    <t>WOS:001041061200021</t>
  </si>
  <si>
    <t>Hinman, K; Sun, NN; Amon, JJ</t>
  </si>
  <si>
    <t>Hinman, Kati; Sun, Nina; Amon, Joseph J.</t>
  </si>
  <si>
    <t>Ensuring access to justice: the need for community paralegals to end AIDS by 2030</t>
  </si>
  <si>
    <t>JOURNAL OF THE INTERNATIONAL AIDS SOCIETY</t>
  </si>
  <si>
    <t>HIV; prevention; access to care; structural interventions; human rights; legal services</t>
  </si>
  <si>
    <t>LEGAL EMPOWERMENT; STRUCTURAL INTERVENTIONS; SEX WORKERS; HEALTH; SERVICES; CARE</t>
  </si>
  <si>
    <t>IntroductionThe HIV response has long recognized that certain key populations such as individuals in detention, adolescent girls and young women, sex workers, people who use drugs, LGBTQ individuals, migrants and others face higher barriers to access to, uptake of, and retention in HIV prevention and treatment services. One approach to addressing these barriers is the training of community paralegals to advocate for the rights of individuals and to address discrimination in health settings. DiscussionCommunity paralegal programmes have been able to successfully address rights violations that impact access to health services and underlying determinants of health across a range of countries and populations, focusing upon issues such as discrimination and the denial of health services; unlawful detention of outreach workers, sex workers, persons who use drugs and men who have sex with men; and harmful traditional practices and gender-based violence. In addition to resolving specific cases, evaluations of paralegal programmes have found that these programmes increased legal literacy among key populations at risk of HIV and increased understanding of human rights among healthcare providers, resulting in improved access to HIV services. Some evaluations have noted challenges related to the sustainability of paralegal programmes similar to those raised with community health worker programmes more broadly. ConclusionsTo achieve global HIV goals, funding for legal literacy and paralegal programmes should be increased and interventions should be rigorously evaluated. Efforts should target discrimination in access to HIV prevention and treatment and criminalization of key populations, two key barriers to ensuring access to HIV prevention and treatment services.</t>
  </si>
  <si>
    <t>[Amon, Joseph J.] Nesbitt Hall,3215 Market St, Philadelphia, PA 19104 USA; [Hinman, Kati; Sun, Nina; Amon, Joseph J.] Drexel Univ, Dornsife Sch Publ Hlth, Off Global Hlth, Philadelphia, PA USA</t>
  </si>
  <si>
    <t>Drexel University</t>
  </si>
  <si>
    <t>Amon, JJ (corresponding author), Nesbitt Hall,3215 Market St, Philadelphia, PA 19104 USA.</t>
  </si>
  <si>
    <t>jja88@drexel.edu</t>
  </si>
  <si>
    <t>1758-2652</t>
  </si>
  <si>
    <t>J INT AIDS SOC</t>
  </si>
  <si>
    <t>J. Int. AIDS Soc.</t>
  </si>
  <si>
    <t>e26146</t>
  </si>
  <si>
    <t>10.1002/jia2.26146</t>
  </si>
  <si>
    <t>Immunology; Infectious Diseases</t>
  </si>
  <si>
    <t>O5HP7</t>
  </si>
  <si>
    <t>WOS:001044122600001</t>
  </si>
  <si>
    <t>Holzknecht, F; Harding, L</t>
  </si>
  <si>
    <t>Holzknecht, Franz; Harding, Luke</t>
  </si>
  <si>
    <t>Repeating the Listening Text: Effects on Listener Performance, Metacognitive Strategy Use, and Anxiety</t>
  </si>
  <si>
    <t>TESOL QUARTERLY</t>
  </si>
  <si>
    <t>REPETITION; INPUT; TASK</t>
  </si>
  <si>
    <t>In second language listening assessment and pedagogy, practitioners hold different views on whether to repeat a listening text in contexts where inferences about listening ability are to be drawn from task performance. To address this issue, we investigated the effects of repeating the listening text (double play) on listener performance, listening strategies, test-taking strategies, test-taking anxiety, and listening anxiety. Three hundred six Austrian secondary school students responded to four listening tasks drawn from the Austrian Matura exam and completed questionnaires measuring strategic behavior and anxiety in a counter-balanced research design. Data were analyzed using many-facet Rasch measurement (MFRM), factor analysis, and inferential statistics. Findings confirmed that double play led to higher levels of listener performance across two task types (multiple-choice items and note completion), however, scores were higher in the single play condition compared to the first play of double play. Students also reported lower levels of anxiety, and the use of more listening strategies and fewer test-taking strategies in double play compared to single play with small effect sizes. We discuss the importance of balancing an empirically derived understanding of the effects of repeating the listening text with considerations of the purpose of an assessment, and the characteristics of the target language use domain.</t>
  </si>
  <si>
    <t>[Holzknecht, Franz] Univ Teacher Educ Special Needs, Zurich, Switzerland; [Harding, Luke] Univ Lancaster, Lancaster, England</t>
  </si>
  <si>
    <t>Lancaster University</t>
  </si>
  <si>
    <t>Harding, L (corresponding author), Univ Lancaster, Lancaster, England.</t>
  </si>
  <si>
    <t>l.harding@lancaster.ac.uk</t>
  </si>
  <si>
    <t>Harding, Luke/0000-0001-9579-6571; Holzknecht, Franz/0000-0002-1218-2062</t>
  </si>
  <si>
    <t>0039-8322</t>
  </si>
  <si>
    <t>1545-7249</t>
  </si>
  <si>
    <t>TESOL QUART</t>
  </si>
  <si>
    <t>Tesol Q.</t>
  </si>
  <si>
    <t>10.1002/tesq.3249</t>
  </si>
  <si>
    <t>N9KE9</t>
  </si>
  <si>
    <t>WOS:001040109400001</t>
  </si>
  <si>
    <t>Huang, WY; Jiao, BL; Ji, CL; Peng, QD; Zhou, JY; Yang, YT; Xi, DH</t>
  </si>
  <si>
    <t>Huang, Wanying; Jiao, Bolei; Ji, Chenglong; Peng, Qiding; Zhou, Jingya; Yang, Yiting; Xi, Dehui</t>
  </si>
  <si>
    <t>Catalases mediate tobacco resistance to virus infection through crosstalk between salicylic acid and auxin signaling pathways</t>
  </si>
  <si>
    <t>PHYSIOLOGIA PLANTARUM</t>
  </si>
  <si>
    <t>DARK GREEN ISLANDS; MOSAIC-VIRUS; NICOTIANA-TABACUM; CELL-DEATH; EXPRESSION; STRESS; BIOSYNTHESIS; INTERACTS</t>
  </si>
  <si>
    <t>Catalases (CATs) play important roles in plant growth, development and defense responses. Previous studies have shown that CATs exhibit different or even opposite effects on plant immunity in different plant-pathogen interactions, but little is known about the mechanisms. In this study, Nicotiana tabacum plants with overexpression or knockout of CAT genes, tobacco mosaic virus (TMV) and cucumber mosaic virus (CMV) were employed to investigate the role of CAT in compatible plant-virus interactions. The results showed that there were dynamic changes in the effect of CAT on N. tabacum defense responses. Overexpression of catalase 1 (CAT1) and catalase 3 (CAT3) improved N. tabacum resistance in the early stage of virus infection but depressed it during the late stages of pathogenesis, especially in CAT3 overexpressing plants. The lower level of electrolyte leakage, lower contents of malonaldehyde and hydrogen peroxide (H2O2), higher activities of antioxidant enzymes and improved functions of photosystem II corresponded to the milder symptoms and higher resistance of infected tobacco plants. In addition, the infection of TMV and CMV resulted in expression changes of CATs in tobacco plants, and pretreatment with H2O2 facilitated TMV and CMV infection. Further experiments showed that the content of salicylic acid (SA) and the expression of genes related to SA signaling pathway were positively correlated with plant resistance, whereas auxin and its related signaling pathway were related to the viral susceptibility of plants. Taken together, our results demonstrated that CAT1 and CAT3 mediated tobacco resistance to virus infection through crosstalk between SA and auxin signaling pathways.</t>
  </si>
  <si>
    <t>[Huang, Wanying; Jiao, Bolei; Ji, Chenglong; Peng, Qiding; Zhou, Jingya; Yang, Yiting; Xi, Dehui] Sichuan Univ, Coll Life Sci, Key Lab Bioresource Ecoenvironm, Minist Educ, Chengdu, Sichuan, Peoples R China; [Xi, Dehui] Sichuan Univ, Coll Life Sci, Key Lab Bioresource &amp; Ecoenvironm, Minist Educ, Chengdu 610065, Sichuan, Peoples R China</t>
  </si>
  <si>
    <t>Xi, DH (corresponding author), Sichuan Univ, Coll Life Sci, Key Lab Bioresource &amp; Ecoenvironm, Minist Educ, Chengdu 610065, Sichuan, Peoples R China.</t>
  </si>
  <si>
    <t>xidh@scu.edu.cn</t>
  </si>
  <si>
    <t>Xi, DH/0000-0002-1314-1262</t>
  </si>
  <si>
    <t>National Natural Science Foundation of China [32270166, 32070167]; Natural Science Foundation of Sichuan Province [2023NSFSC0148]; Fundamental Research Funds for the Central Universities [2022SCUH0006]</t>
  </si>
  <si>
    <t>National Natural Science Foundation of China(National Natural Science Foundation of China (NSFC)); Natural Science Foundation of Sichuan Province; Fundamental Research Funds for the Central Universities(Fundamental Research Funds for the Central Universities)</t>
  </si>
  <si>
    <t>National Natural Science Foundation of China, Grant/Award Numbers: 32270166, 32070167; Natural Science Foundation of Sichuan Province, Grant/Award Number: 2023NSFSC0148; Fundamental Research Funds for the Central Universities, Grant/Award Number: 2022SCUH0006</t>
  </si>
  <si>
    <t>0031-9317</t>
  </si>
  <si>
    <t>1399-3054</t>
  </si>
  <si>
    <t>PHYSIOL PLANTARUM</t>
  </si>
  <si>
    <t>Physiol. Plant.</t>
  </si>
  <si>
    <t>e14012</t>
  </si>
  <si>
    <t>10.1111/ppl.14012</t>
  </si>
  <si>
    <t>R1ZK6</t>
  </si>
  <si>
    <t>WOS:001062390100001</t>
  </si>
  <si>
    <t>Huggannavar, V; Indu, J</t>
  </si>
  <si>
    <t>Huggannavar, Vinayak; Indu, J.</t>
  </si>
  <si>
    <t>Ramifications of groundwater model in WRF/Noah-MP coupled system: Effects on soil-moisture and regional climate simulation</t>
  </si>
  <si>
    <t>land-atmosphere interactions; shallow groundwater; soil moisture; WRF-NoahMP</t>
  </si>
  <si>
    <t>SUMMER MONSOON RAINFALL; LAND-SURFACE; DATA ASSIMILATION; INDIA; PRECIPITATION; FLOW</t>
  </si>
  <si>
    <t>Soil moisture is a key variable that contributes for flux partitioning into sensible and latent heat components. There is a pressing need to study the impacts of shallow groundwater table dynamics on antecedent soil moisture and corresponding feedbacks to atmosphere. In this study, we evaluate WRF-NoahMP simulated soil moisture using two experimental configurations: one with the default, free drainage approach (CTL) and with Miguez-Macho groundwater scheme (GW). Results are presented for the study conducted over Ganga River basin, India between the years 2008 and 2014 for all the three seasons (pre-monsoon, monsoon, post-monsoon). It was observed that the GW model runs, improve soil moisture in topmost and bottom-most layers. We discovered that the simulations improved temporal negative bias of seasonal accumulation during monsoon by around 91 mm. In addition, the average negative bias in latent heat flux improved by around 28 W/m(2). Compared to CTL, GW was found to contribute additional atmospheric moisture content ranging between 3% and 5%. Comparison with in-situ ground water showed that model overestimates the ground water table depth. This can be attributed to the ability of the model to only simulate natural occurring variabilities and lack of inclusion of anthropogenic factors such as ground water pumping in the model. The groundwater trend in Ganga is declining at alarming rate. In addition, if over exploitation of groundwater is not monitored properly, water and food scarcity is an imminent threat to the country's economy. To the best of authors knowledge, this is the first study of its kind to be implemented over Ganga basin, which evaluates the role of shallow ground water table on regional climate using coupled atmosphere-land surface-groundwater model. In summary, we highlight that the groundwater component along with WRF-NoahMP coupled model improves soil moisture and precipitation representation over the Ganga basin.</t>
  </si>
  <si>
    <t>[Huggannavar, Vinayak; Indu, J.] Indian Inst Technol, Dept Civil Engn, Mumbai, India</t>
  </si>
  <si>
    <t>Indu, J (corresponding author), Indian Inst Technol, Dept Civil Engn, Mumbai, India.</t>
  </si>
  <si>
    <t>indus.j@gmail.com</t>
  </si>
  <si>
    <t>The authors would like to acknowledge the support by DST BRICS project through CCAFRITPOA and the DST Center of Excellence in climate studies, IIT Bombay under project DST/CCP/CoE/140/2018(G).; DST BRICS project through CCAFRITPOA; DST Center of Excellence in climate studies, IIT Bombay; [DST/CCP/CoE/140/2018(G)]</t>
  </si>
  <si>
    <t>The authors would like to acknowledge the support by DST BRICS project through CCAFRITPOA and the DST Center of Excellence in climate studies, IIT Bombay under project DST/CCP/CoE/140/2018(G).; DST BRICS project through CCAFRITPOA; DST Center of Excellence in climate studies, IIT Bombay;</t>
  </si>
  <si>
    <t>The authors would like to acknowledge the support by DST BRICS project through CCAFRITPOA and the DST Center of Excellence in climate studies, IIT Bombay under project DST/CCP/CoE/140/2018(G).</t>
  </si>
  <si>
    <t>e14967</t>
  </si>
  <si>
    <t>10.1002/hyp.14967</t>
  </si>
  <si>
    <t>P9NS6</t>
  </si>
  <si>
    <t>WOS:001053879200001</t>
  </si>
  <si>
    <t>Ibrahim, EAA; Mohammed, NIMAH; Ahmed, KAHM; Manhal, GAA; Eljack, MMF; Tahir, MJ</t>
  </si>
  <si>
    <t>Ibrahim, Etedal Ahmed A.; Mohammed, Nosiba Ibrahim Mohammed Ahmed Hamza; Ahmed, Khabab Abbasher Hussien Mohamed; Manhal, Gaffar Alemam A.; Eljack, Mohammed Mahmmoud Fadelallah; Tahir, Muhammad Junaid</t>
  </si>
  <si>
    <t>RETRACTION: The pattern of neurological manifestations of tuberculosis among adult Sudanese patients attending multi-neurological centers and hospitals in Sudan: A hospital-based cross-sectional study (vol 6, e1068, 2022) (Retraction of Vol 6, art no E1068, 2022)</t>
  </si>
  <si>
    <t>Etedal Ahmed A. Ibrahim, Nosiba Ibrahim Mohammed Ahmed Hamza Mohammed, Khabab Abbasher Hussien Mohamed Ahmed, Gaffar Alemam A. Manhal, Mohammed Mahmmoud Fadelallah Eljack, Muhammad Junaid Tahir, HSR21068, . The above article, published online on {First published: 19 January 2023} in Wiley Online Library {} has been retracted by agreement between the journal's Editor-in-Chief, Charles Young and John Wiley &amp; Sons Ltd. The retraction has been agreed given the journal has received evidence confirming that the peer review process of this paper was manipulated. As a result, the conclusions reported in the article are not considered reliable.</t>
  </si>
  <si>
    <t>e1529</t>
  </si>
  <si>
    <t>10.1002/hsr2.1529</t>
  </si>
  <si>
    <t>P9JQ3</t>
  </si>
  <si>
    <t>WOS:001053770500001</t>
  </si>
  <si>
    <t>Inglis, JM; Bacchi, S; Troelnikov, A; Smith, W; Shakib, S</t>
  </si>
  <si>
    <t>Inglis, Joshua M.; Bacchi, Stephen; Troelnikov, Alexander; Smith, William; Shakib, Sepehr</t>
  </si>
  <si>
    <t>Machine learning models automate classification of penicillin adverse drug reaction labels</t>
  </si>
  <si>
    <t>penicillin; adverse drug reaction; electronic health records; deep learning; natural language processing</t>
  </si>
  <si>
    <t>ALLERGY; IMPACT</t>
  </si>
  <si>
    <t>There is a growing interest in the appropriate evaluation of penicillin adverse drug reaction (ADR) labels. We have developed machine learning models for classifying penicillin ADR labels using free-text reaction descriptions, and here report external and practical validation. The models performed comparably with expert criteria for the categorisation of allergy or intolerance and identification of high-risk allergies. These models have practical applications in detecting individuals suitable for penicillin ADR evaluation. Implementation studies are required.</t>
  </si>
  <si>
    <t>[Inglis, Joshua M.; Bacchi, Stephen; Shakib, Sepehr] Royal Adelaide Hosp, Dept Clin Pharmacol, Adelaide, SA, Australia; [Inglis, Joshua M.; Bacchi, Stephen; Troelnikov, Alexander; Smith, William] Univ Adelaide, Fac Hlth &amp; Med Sci, Adelaide Med Sch, Adelaide, SA, Australia; [Inglis, Joshua M.] Flinders Univ S Australia, Dept Clin Pharmacol, Adelaide, SA, Australia; [Inglis, Joshua M.] Flinders Med Ctr, Adelaide, SA, Australia; [Troelnikov, Alexander; Smith, William] Royal Adelaide Hosp, Clin Immunol &amp; Allergy, Adelaide, SA, Australia; [Shakib, Sepehr] Univ Adelaide, Sch Med, Discipline Pharmacol, Adelaide, SA, Australia; [Troelnikov, Alexander] Flinders Univ S Australia, Adelaide, SA, Australia; [Inglis, Joshua M.] Royal Adelaide Hosp, Dept Clin Pharmacol, Mail Delivery Point 22, Port Rd, Adelaide, SA 5000, Australia</t>
  </si>
  <si>
    <t>Royal Adelaide Hospital; University of Adelaide; Flinders University South Australia; Flinders Medical Centre; Royal Adelaide Hospital; University of Adelaide; Flinders University South Australia; Royal Adelaide Hospital</t>
  </si>
  <si>
    <t>Inglis, JM (corresponding author), Royal Adelaide Hosp, Dept Clin Pharmacol, Mail Delivery Point 22, Port Rd, Adelaide, SA 5000, Australia.</t>
  </si>
  <si>
    <t>joshua.m.inglis@gmail.com</t>
  </si>
  <si>
    <t>10.1111/imj.16194</t>
  </si>
  <si>
    <t>P6KV0</t>
  </si>
  <si>
    <t>WOS:001051754100025</t>
  </si>
  <si>
    <t>Jin, Y; Li, SY; Yu, QX; Chen, TL; Liu, D</t>
  </si>
  <si>
    <t>Jin, Ye; Li, Shuangyang; Yu, Qixuan; Chen, Tianli; Liu, Da</t>
  </si>
  <si>
    <t>Application of stem cells in regeneration medicine</t>
  </si>
  <si>
    <t>bone regeneration; exosomes; nanoformulations; skin regeneration; stem cells</t>
  </si>
  <si>
    <t>MESENCHYMAL STROMAL CELLS; EXTRACELLULAR VESICLES; BONE REGENERATION; IN-VITRO; OSTEOGENIC DIFFERENTIATION; ENHANCING ANGIOGENESIS; PARACRINE MECHANISMS; CONTROLLED-RELEASE; EXOSOMES; TISSUE</t>
  </si>
  <si>
    <t>Regeneration is a complex process affected by many elements independent or combined, including inflammation, proliferation, and tissue remodeling. Stem cells is a class of primitive cells with the potentiality of differentiation, regenerate with self-replication, multidirectional differentiation, and immunomodulatory functions. Stem cells and their cytokines not only inextricably linked to the regeneration of ectodermal and skin tissues, but also can be used for the treatment of a variety of chronic wounds. Stem cells can produce exosomes in a paracrine manner. Stem cell exosomes play an important role in tissue regeneration, repair, and accelerated wound healing, the biological properties of which are similar with stem cells, while stem cell exosomes are safer and more effective. Skin and bone tissues are critical organs in the body, which are essential for sustaining life activities. The weak repairing ability leads a pronounced impact on the quality of life of patients, which could be alleviated by stem cell exosomes treatment. However, there are obstacles that stem cells and stem cells exosomes trough skin for improved bioavailability. This paper summarizes the applications and mechanisms of stem cells and stem cells exosomes for skin and bone healing. We also propose new ways of utilizing stem cells and their exosomes through different nanoformulations, liposomes and nanoliposomes, polymer micelles, microspheres, hydrogels, and scaffold microneedles, to improve their use in tissue healing and regeneration.</t>
  </si>
  <si>
    <t>[Jin, Ye; Li, Shuangyang; Yu, Qixuan; Chen, Tianli; Liu, Da] Changchun Univ Chinese Med, Sch Pharm, Changchun 130117, Jilin, Peoples R China</t>
  </si>
  <si>
    <t>Changchun University of Chinese Medicine</t>
  </si>
  <si>
    <t>Chen, TL; Liu, D (corresponding author), Changchun Univ Chinese Med, Sch Pharm, Changchun 130117, Jilin, Peoples R China.</t>
  </si>
  <si>
    <t>tli_chen@163.com; liuda_1986@163.com</t>
  </si>
  <si>
    <t>e291</t>
  </si>
  <si>
    <t>10.1002/mco2.291</t>
  </si>
  <si>
    <t>J1GR0</t>
  </si>
  <si>
    <t>WOS:001007163800001</t>
  </si>
  <si>
    <t>Karacay, AB</t>
  </si>
  <si>
    <t>Karacay, Aysem Biriz</t>
  </si>
  <si>
    <t>Gender and migration IMISCOE short reader</t>
  </si>
  <si>
    <t>INTERNATIONAL MIGRATION</t>
  </si>
  <si>
    <t>[Karacay, Aysem Biriz] Istanbul Commerce Univ, Istanbul, Turkiye</t>
  </si>
  <si>
    <t>Istanbul Ticaret University</t>
  </si>
  <si>
    <t>Karacay, AB (corresponding author), Istanbul Commerce Univ, Istanbul, Turkiye.</t>
  </si>
  <si>
    <t>biriz.karacay@gmail.com</t>
  </si>
  <si>
    <t>0020-7985</t>
  </si>
  <si>
    <t>1468-2435</t>
  </si>
  <si>
    <t>INT MIGR</t>
  </si>
  <si>
    <t>Int. Migr.</t>
  </si>
  <si>
    <t>10.1111/imig.13168</t>
  </si>
  <si>
    <t>Demography</t>
  </si>
  <si>
    <t>M6MH9</t>
  </si>
  <si>
    <t>WOS:001031332700028</t>
  </si>
  <si>
    <t>Kashkanova, AD; Blessing, M; Reischke, M; Baur, JO; Baur, AS; Sandoghdar, V; Van Deun, J</t>
  </si>
  <si>
    <t>Kashkanova, Anna D.; Blessing, Martin; Reischke, Marie; Baur, Jan-Ole; Baur, Andreas S.; Sandoghdar, Vahid; Van Deun, Jan</t>
  </si>
  <si>
    <t>Label-free discrimination of extracellular vesicles from large lipoproteins</t>
  </si>
  <si>
    <t>JOURNAL OF EXTRACELLULAR VESICLES</t>
  </si>
  <si>
    <t>concentration; extracellular vesicles; interferometric scattering; lipoproteins; plasma; refractive index; size</t>
  </si>
  <si>
    <t>NANOPARTICLE TRACKING ANALYSIS; PARTICLE-SIZE</t>
  </si>
  <si>
    <t>Extracellular vesicles (EVs) are increasingly gaining interest as biomarkers and therapeutics. Accurate sizing and quantification of EVs remain problematic, given their nanometre size range and small scattering cross-sections. This is compounded by the fact that common EV isolation methods result in co-isolation of particles with comparable features. Especially in blood plasma, similarly-sized lipoproteins outnumber EVs to a great extent. Recently, interferometric nanoparticle tracking analysis (iNTA) was introduced as a particle analysis method that enables determining the size and refractive index of nanoparticles with high sensitivity and precision. In this work, we apply iNTA to differentiate between EVs and lipoproteins, and compare its performance to conventional nanoparticle tracking analysis (NTA). We show that iNTA can accurately quantify EVs in artificial EV-lipoprotein mixtures and in plasma-derived EV samples of varying complexity. Conventional NTA could not report on EV numbers, as it was not able to distinguish EVs from lipoproteins. iNTA has the potential to become a new standard for label-free EV characterization in suspension.</t>
  </si>
  <si>
    <t>[Kashkanova, Anna D.; Blessing, Martin; Reischke, Marie; Sandoghdar, Vahid] Max Planck Inst Sci Light, Erlangen, Germany; [Kashkanova, Anna D.; Blessing, Martin; Sandoghdar, Vahid] Max Planck Zentrum Phys &amp; Med, Erlangen, Germany; [Blessing, Martin; Sandoghdar, Vahid] Friedrich Alexander Univ Erlangen Nurnberg, Dept Phys, Erlangen, Germany; [Baur, Jan-Ole; Baur, Andreas S.; Van Deun, Jan] Friedrich Alexander Univ Erlangen Nurnberg, Dept Dermatol, Univ Klinikum Erlangen, Erlangen, Germany; [Sandoghdar, Vahid] Max Planck Inst Sci Light, D-91058 Erlangen, Germany; [Van Deun, Jan] Friedrich Alexander Univ Erlangen Nurnberg, Dept Dermatol, Univ Klinikum Erlangen, D-91052 Erlangen, Germany</t>
  </si>
  <si>
    <t>Max Planck Society; University of Erlangen Nuremberg; University of Erlangen Nuremberg; Max Planck Society; University of Erlangen Nuremberg</t>
  </si>
  <si>
    <t>Sandoghdar, V (corresponding author), Max Planck Inst Sci Light, D-91058 Erlangen, Germany.;Van Deun, J (corresponding author), Friedrich Alexander Univ Erlangen Nurnberg, Dept Dermatol, Univ Klinikum Erlangen, D-91052 Erlangen, Germany.</t>
  </si>
  <si>
    <t>Vahid.Sandoghdar@mpl.mpg.de; Jan.VanDeun@uk-erlangen.de</t>
  </si>
  <si>
    <t>Van Deun, Jan/A-3747-2016</t>
  </si>
  <si>
    <t>Van Deun, Jan/0000-0003-1707-6266</t>
  </si>
  <si>
    <t>Alexander von Humboldt-Stiftung; Max-Planck-Gesellschaft; Bundesministerium fuer Bildung und Forschung; Christiane Nuesslein-Volhard-Stiftung</t>
  </si>
  <si>
    <t>Alexander von Humboldt-Stiftung(Alexander von Humboldt Foundation); Max-Planck-Gesellschaft(Max Planck Society); Bundesministerium fuer Bildung und Forschung; Christiane Nuesslein-Volhard-Stiftung</t>
  </si>
  <si>
    <t>2001-3078</t>
  </si>
  <si>
    <t>J EXTRACELL VESICLES</t>
  </si>
  <si>
    <t>J. Extracell. Vesicles</t>
  </si>
  <si>
    <t>e12346</t>
  </si>
  <si>
    <t>10.1002/jev2.12348</t>
  </si>
  <si>
    <t>Cell Biology</t>
  </si>
  <si>
    <t>N1FA1</t>
  </si>
  <si>
    <t>WOS:001034543300001</t>
  </si>
  <si>
    <t>Klosowski, ML; Hughes, KL; Moore, AR</t>
  </si>
  <si>
    <t>Klosowski, Marika L.; Hughes, Kelly L.; Moore, A. Russell</t>
  </si>
  <si>
    <t>MUM1/IRF4 immunolabeling of neoplastic Langerhans histiocytes in a putative case of canine Langerhans cell histiocytosis</t>
  </si>
  <si>
    <t>VETERINARY CLINICAL PATHOLOGY</t>
  </si>
  <si>
    <t>dogs; histiocytic disorders; interferon regulatory factor 4; malignant; pathology; skin diseases</t>
  </si>
  <si>
    <t>EXPRESSION; CD1A</t>
  </si>
  <si>
    <t>Langerhans cell histiocytosis is a systemic histiocytic proliferative disease with cutaneous manifestations which is well described in human medical literature and has relatively recently been reclassified as a neoplastic disorder. The diagnosis of canine Langerhans cell histiocytosis has been proposed in the veterinary literature to refer to a histiocytic proliferative disease in the dog with clinical and histopathologic features that mirror the human disease. However, reports that invoke this diagnosis are rare and often lack complete diagnostic characterization. This case report presents an extensive diagnostic investigation of a putative case of Langerhans cell histiocytosis in a 3-year-old male castrated Golden Retriever dog, including gross, cytologic, histopathologic, and immunohistochemical findings. Furthermore, we document that canine LCH may have positive immunolabeling for the transcription factor multiple myeloma oncogene 1/interferon regulatory factor 4 (MUM1/IRF4), which is classically used for the diagnosis of canine plasma cell neoplasms.</t>
  </si>
  <si>
    <t>[Klosowski, Marika L.; Hughes, Kelly L.; Moore, A. Russell] Colorado State Univ, Coll Vet Med &amp; Biomed Sci, Dept Microbiol Immunol &amp; Pathol, Ft Collins, CO 80523 USA</t>
  </si>
  <si>
    <t>Colorado State University</t>
  </si>
  <si>
    <t>Klosowski, ML (corresponding author), Colorado State Univ, Coll Vet Med &amp; Biomed Sci, Dept Microbiol Immunol &amp; Pathol, Ft Collins, CO 80523 USA.</t>
  </si>
  <si>
    <t>marika.klosowski@colostate.edu</t>
  </si>
  <si>
    <t>; Moore, A Russell/G-3612-2017</t>
  </si>
  <si>
    <t>Klosowski, Marika/0000-0001-9548-9088; Moore, A Russell/0000-0003-4904-8788</t>
  </si>
  <si>
    <t>0275-6382</t>
  </si>
  <si>
    <t>1939-165X</t>
  </si>
  <si>
    <t>VET CLIN PATH</t>
  </si>
  <si>
    <t>Vet. Clin. Pathol.</t>
  </si>
  <si>
    <t>10.1111/vcp.13270</t>
  </si>
  <si>
    <t>N7EV3</t>
  </si>
  <si>
    <t>WOS:001038608900001</t>
  </si>
  <si>
    <t>Kontrick, AV; Thakkar, PM; Mycyk, MB</t>
  </si>
  <si>
    <t>Kontrick, Amy V.; Thakkar, Pankti M.; Mycyk, Mark B.</t>
  </si>
  <si>
    <t>Do emergency medicine residents have access to healthy food options during work hours?</t>
  </si>
  <si>
    <t>AEM EDUCATION AND TRAINING</t>
  </si>
  <si>
    <t>Article; Proceedings Paper</t>
  </si>
  <si>
    <t>American College of Emergency Physicians (ACEP) Research Forum</t>
  </si>
  <si>
    <t>OCT, 2021</t>
  </si>
  <si>
    <t>Boston, MA</t>
  </si>
  <si>
    <t>nutrition; residency training; well-being; wellness</t>
  </si>
  <si>
    <t>WELLNESS</t>
  </si>
  <si>
    <t>BackgroundRelatively little data describe how diet and food choices impact trainee well-being despite evidence that diet impacts both physical and mental health. The objective was to describe food options available to emergency medicine (EM) residents when on duty. MethodsA survey utilizing closed-ended, binary, rank-order responses was developed by experts in graduate medical education and wellness; it was piloted, revised, and then electronically distributed to 211 EM residency programs over 2 weeks in 2021. The program director (PD) or associate PD was invited to participate. ResultsA total of 114 EM programs participated (54%). The primary teaching site included 43 community hospitals, 23 county hospitals, and 48 university hospitals. Resident access to an onsite hospital cafeteria was most common (97%); other onsite options were vending machines (87%), fresh food fridges (34%), national chains (32%), local restaurants (25%), food trucks (30%), and farmer's markets (11%). More than one-third (38%) reported that onsite options did not include healthy food, 26% reported being dissatisfied with onsite food, and 35% rarely or never purchased food onsite. Most programs (89%) do not have a dedicated meal break for residents while on duty. Few residency programs include diet or nutrition classes or counseling. When programs sponsor meals during residency events, nutritional value and dietary considerations were ranked less important than cost of food and convenience. ConclusionsAccess to healthy food options is not always available during scheduled resident work hours, and dedicated meal breaks are infrequent. These data should inform institutional initiatives to improve the health and well-being of resident physicians.</t>
  </si>
  <si>
    <t>[Kontrick, Amy V.] Northwestern Univ, Dept Emergency Med, Feinberg Sch Med, Chicago, IL 60611 USA; [Thakkar, Pankti M.; Mycyk, Mark B.] Cook Cty Hlth, Dept Emergency Med, Chicago, IL USA; [Kontrick, Amy V.] Northwestern Univ, Dept Emergency Med &amp; Med Educ, Feinberg Sch Med, 211 East Ontario,Suite 200, Chicago, IL 60611 USA</t>
  </si>
  <si>
    <t>Northwestern University; Feinberg School of Medicine; Northwestern University; Feinberg School of Medicine</t>
  </si>
  <si>
    <t>Kontrick, AV (corresponding author), Northwestern Univ, Dept Emergency Med &amp; Med Educ, Feinberg Sch Med, 211 East Ontario,Suite 200, Chicago, IL 60611 USA.</t>
  </si>
  <si>
    <t>a-kontrick@northwestern.edu</t>
  </si>
  <si>
    <t>2472-5390</t>
  </si>
  <si>
    <t>AEM EDUC TRAIN</t>
  </si>
  <si>
    <t>AEM Educ. Train.</t>
  </si>
  <si>
    <t>e10890</t>
  </si>
  <si>
    <t>10.1002/aet2.10890</t>
  </si>
  <si>
    <t>Emergency Medicine; Education, Scientific Disciplines</t>
  </si>
  <si>
    <t>Emergency Medicine; Education &amp; Educational Research</t>
  </si>
  <si>
    <t>M4QI0</t>
  </si>
  <si>
    <t>WOS:001030067700001</t>
  </si>
  <si>
    <t>Kuai, J; Nie, XY; Lou, HX; Li, Z; Xie, XZ; Sun, YY; Xu, ZH; Wang, J; Wang, B; Zhou, GS</t>
  </si>
  <si>
    <t>Kuai, Jie; Nie, Xiaoyu; Lou, Hongxiang; Li, Zhen; Xie, Xiongze; Sun, Yingying; Xu, Zhenghua; Wang, Jing; Wang, Bo; Zhou, Guangsheng</t>
  </si>
  <si>
    <t>Nitrogen supply alleviates seed yield reduction by improving the morphology and carbon metabolism of pod walls in shaded rapeseed</t>
  </si>
  <si>
    <t>SUCROSE METABOLISM; BRASSICA-NAPUS; USE EFFICIENCY; GROWTH-STAGES; SILIQUE WALL; OILSEED RAPE; OIL; ARABIDOPSIS; RESPONSES; SYNTHASE</t>
  </si>
  <si>
    <t>Shading significantly affects rapeseed yield, while reasonable nitrogen (N) application has efficiency gains. However, the functions and mechanisms of N are not fully established for shaded rapeseed plants. Therefore, we conducted a 2-year field experiment to study the effect of N on pod wall morphology and carbon metabolism of shaded rapeseed. Two varieties, three N rates (120 [N1], 240 [N2], and 360 [N3] kg hm(-2)) and two light intensities (100 and 70% light transmission) from 10 to 35 days after the end of flowering were set as experimental parameters. Shading decreased the pod wall chlorophyll content, ribulose 1,5-bisphosphate carboxylase (Rubisco) activity and glucose content at 25 and 35 days after flowering (DAF). Decreased sucrose synthase (SuSy) and sucrose phosphate synthase activity caused by shading reduced sucrose and fructose content. They are responsible for the decline in the 1000-seed weight and a 22.1-37.6% decline in seed yield. More N under shading promoted pod elongation and pigment content, improved chloroplast ultrastructure, increased Rubisco and SuSy activity at 35 DAF, thus contributing to pod wall photosynthesis and fructose and glucose levels in shaded rapeseed plants. Similar trends were observed in pod number, pod weight, and seed weight, while the greatest increase in seed/wall ratio was observed under N2 for shaded rapeseed plants. The results indicated that N can reduce the yield difference between different light conditions and balance partitioning and conversion of photoassimilates in pod wall, but avoid applying an excessive amount of nitrogen.</t>
  </si>
  <si>
    <t>[Kuai, Jie; Nie, Xiaoyu; Lou, Hongxiang; Li, Zhen; Xu, Zhenghua; Wang, Jing; Wang, Bo; Zhou, Guangsheng] Huazhong Agr Univ, MOA Key Lab Crop Ecophysiol &amp; Farming Syst, Middle Reaches Yangtze River, Coll Plant Sci &amp; Technol, Wuhan 430070, Hubei, Peoples R China; [Li, Zhen] Jinhua Polytech, Coll Agr, Jinhua, Zhejiang, Peoples R China; [Xie, Xiongze] Xiangyang Acad Agr Sci, Xiangyang, Hubei, Peoples R China; [Sun, Yingying] Taian Acad Agr Sci, Tai An, Shandong, Peoples R China</t>
  </si>
  <si>
    <t>Huazhong Agricultural University; Jinhua Polytechnic</t>
  </si>
  <si>
    <t>Zhou, GS (corresponding author), Huazhong Agr Univ, MOA Key Lab Crop Ecophysiol &amp; Farming Syst, Middle Reaches Yangtze River, Coll Plant Sci &amp; Technol, Wuhan 430070, Hubei, Peoples R China.</t>
  </si>
  <si>
    <t>zhougs@mail.hzau.edu.cn</t>
  </si>
  <si>
    <t>Lou, Hongxiang/0009-0000-5114-2752</t>
  </si>
  <si>
    <t>The study was funded by the National Natural Science Foundation of China (31871565) and the Earmarked Fund for CARS-12. [CARS-12]; National Natural Science Foundation of China; [31871565]</t>
  </si>
  <si>
    <t>The study was funded by the National Natural Science Foundation of China (31871565) and the Earmarked Fund for CARS-12.; National Natural Science Foundation of China(National Natural Science Foundation of China (NSFC));</t>
  </si>
  <si>
    <t>The study was funded by the National Natural Science Foundation of China (31871565) and the Earmarked Fund for CARS-12.</t>
  </si>
  <si>
    <t>e14003</t>
  </si>
  <si>
    <t>10.1111/ppl.14003</t>
  </si>
  <si>
    <t>Q6SL6</t>
  </si>
  <si>
    <t>WOS:001058801900001</t>
  </si>
  <si>
    <t>Lalani, N; Hamash, K; Wang, YT</t>
  </si>
  <si>
    <t>Lalani, Nasreen; Hamash, Kawther; Wang, Yitong</t>
  </si>
  <si>
    <t>Palliative care needs and preferences of older adults with advanced or serious chronic illnesses and their families in rural communities of Indiana, USA</t>
  </si>
  <si>
    <t>access to care; rural; quality; qualitative research; palliative care; caregiver</t>
  </si>
  <si>
    <t>UNITED-STATES; PEOPLE; HEALTH</t>
  </si>
  <si>
    <t>PurposeTo explore the palliative care needs and preferences of older adults with advanced or serious chronic illnesses and their families. Also, to propose strategies to promote supportive palliative care in the rural communities of Indiana, USA. MethodWe conducted qualitative interviews to gather rural caregivers' experiences of palliative care. Recruitment was done in collaboration with community partners using social media, flyers, emails, invitations, and word-of-mouth. A purposive sample of family caregivers was obtained. All the interviews were conducted online. The average interview was 30-45 minutes. Data were analyzed using a thematic analysis approach. FindingsOur findings showed 6 major themes that indicated several palliative care needs and preferences of older patients and their families in rural communities that include: (1) difficulties in pain and symptom burden; (2) perceived discrimination and lack of trust; (3) longer distances to care facilities; (4) difficult conversations; (5) caregiving burden; and (6) use of telehealth in a rural palliative care context. ConclusionRural family caregivers experience several social inequities and disparities causing a lack of access to and low utilization of palliative care. All these disparities cause several challenges for patients and their families trying to manage serious illnesses and die in place with peace and comfort. Inadequate access and lack of resources cause pain and distress for both patients and their families. Provider education and trainings, initiating early palliative care models, integrating behavioral health in palliative care, and using culturally congruent care delivery approaches in support of community partners can improve palliative care services in rural communities.</t>
  </si>
  <si>
    <t>[Lalani, Nasreen; Wang, Yitong] Purdue Univ, Sch Nursing, W Lafayette, IN USA; [Lalani, Nasreen] Purdue Univ, Ctr Aging &amp; Life Course, W Lafayette, IN USA; [Hamash, Kawther] Kennesaw State Univ, WellStar Sch Nursing, Kennesaw, GA USA; [Lalani, Nasreen] 502 N Univ St, W Lafayette, IN 47907 USA</t>
  </si>
  <si>
    <t>Purdue University System; Purdue University West Lafayette Campus; Purdue University; Purdue University System; Purdue University; Purdue University West Lafayette Campus; University System of Georgia; Kennesaw State University</t>
  </si>
  <si>
    <t>Lalani, N (corresponding author), 502 N Univ St, W Lafayette, IN 47907 USA.</t>
  </si>
  <si>
    <t>lalanin@purdue.edu</t>
  </si>
  <si>
    <t>Purdue University</t>
  </si>
  <si>
    <t>The study was funded by the Agricultural Science and Extension for Economic Development program (AgSEED) grant from Purdue University. We would like to acknowledge our community partners for their contribution to the study. They include Purdue Extension Teams, Indiana Rural Health Association, and Federally Qualified Purdue Nurse Managed Clinics.</t>
  </si>
  <si>
    <t>10.1111/jrh.12787</t>
  </si>
  <si>
    <t>O0CA2</t>
  </si>
  <si>
    <t>WOS:001040573100001</t>
  </si>
  <si>
    <t>Le Cam, S; Bremaud, J; Malkocs, T; Kreckelbergh, E; Becquet, V; Dubillot, E; Garcia, P; Breton, S; Pante, E</t>
  </si>
  <si>
    <t>Le Cam, Sabrina; Bremaud, Julie; Malkocs, Tamas; Kreckelbergh, Eugenie; Becquet, Vanessa; Dubillot, Emmanuel; Garcia, Pascale; Breton, Sophie; Pante, Eric</t>
  </si>
  <si>
    <t>LAMP-based molecular sexing in a gonochoric marine bivalve (Macoma balthica rubra) with divergent sex-specific mitochondrial genomes</t>
  </si>
  <si>
    <t>DUI; heteroplasmy; loop-mediated isothermal amplification; Macoma balthica; mitochondrial DNA; sexing</t>
  </si>
  <si>
    <t>DOUBLY UNIPARENTAL INHERITANCE; MYTILUS-EDULIS; DNA; AMPLIFICATION; MTDNA; DISRUPTION; SELECTION; GENETICS</t>
  </si>
  <si>
    <t>Taking advantage of the unique system of doubly uniparental inheritance (DUI) of mitochondria, we developed a reliable molecular method to sex individuals of the marine bivalve Macoma balthica rubra. In species with DUI (similar to 100 known bivalves), both sexes transmit their mitochondria: males bear both a male- and female-type mitogenome, while females bear only the female type. Male and female mitotypes are sufficiently divergent to reliably PCR-amplify them specifically. Loop-mediated isothermal amplification (LAMP) is a precise, economical and portable alternative to PCR for molecular sexing and we demonstrate its application in this context. We used 154 individuals sampled along the Atlantic coast of France and sexed microscopically by gonad examination to test for the congruence among gamete type, PCR sexing and LAMP sexing. We show an exact match among the sexing results from these three methods using the male and female mt-cox1 genes. DUI can be disrupted in inter-specific hybrids, causing unexpected distribution of mitogenomes, such as homoplasmic males or heteroplasmic females. To our knowledge, DUI disruption at the intra-specific scale has never been tested. We applied our sexing protocol to control for unexpected heteroplasmy caused by hybridization between divergent genetic lineages and found no evidence of disruption in the mode of mitochondrial inheritance in M. balthica rubra. We propose LAMP as a useful tool to accelerate eco-evolutionary studies of DUI. It offers the opportunity to investigate the potential role of, previously unaccounted-for, sex-specific patterns such as sexual selection or sex-specific dispersal bias in the evolution of free-spawning benthic species.</t>
  </si>
  <si>
    <t>[Le Cam, Sabrina; Malkocs, Tamas; Kreckelbergh, Eugenie; Becquet, Vanessa; Dubillot, Emmanuel; Garcia, Pascale] La Rochelle Univ, Lab Littoral Environm &amp; Soc LIENSs, UMR 7266, CNRS, La Rochelle, France; [Bremaud, Julie; Breton, Sophie] Univ Montreal, Dept Sci Biol, Montreal, PQ, Canada; [Pante, Eric] Inst Univ Europeen Mer, Lab Sci Environm Marin LEMAR, UMR 6539, CNRS UBO IRD Ifremer, F-29280 Plouzane, France; [Le Cam, Sabrina] La Rochelle Univ, LIENSs Lab, CNRS, UMR7266, 2 Rue Olympe Gouges, F-17000 La Rochelle, France</t>
  </si>
  <si>
    <t>Centre National de la Recherche Scientifique (CNRS); CNRS - Institute of Ecology &amp; Environment (INEE); Universite de Montreal; Centre National de la Recherche Scientifique (CNRS); CNRS - Institute of Ecology &amp; Environment (INEE); Universite de Bretagne Occidentale; Institut Universitaire Europeen de la Mer (IUEM); Ifremer; Institut de Recherche pour le Developpement (IRD); Centre National de la Recherche Scientifique (CNRS); CNRS - Institute of Ecology &amp; Environment (INEE)</t>
  </si>
  <si>
    <t>Pante, E (corresponding author), Inst Univ Europeen Mer, Lab Sci Environm Marin LEMAR, UMR 6539, CNRS UBO IRD Ifremer, F-29280 Plouzane, France.;Le Cam, S (corresponding author), La Rochelle Univ, LIENSs Lab, CNRS, UMR7266, 2 Rue Olympe Gouges, F-17000 La Rochelle, France.</t>
  </si>
  <si>
    <t>sablecam15@gmail.com; eric.pante@cnrs.fr</t>
  </si>
  <si>
    <t>Malkocs, Tamas/0000-0002-6582-1219</t>
  </si>
  <si>
    <t>ANR (DRIVE project) [ANR-18-CE02-0004-01]; Contrat de Plan Etat-Region (CPER/FEDER) ECONAT (RPC DYPOMAR)</t>
  </si>
  <si>
    <t>ANR (DRIVE project)(Agence Nationale de la Recherche (ANR)); Contrat de Plan Etat-Region (CPER/FEDER) ECONAT (RPC DYPOMAR)</t>
  </si>
  <si>
    <t>This work was funded by the ANR (DRIVE project, grant n. ANR-18-CE02-0004-01) and by the Contrat de Plan Etat- Region (CPER/FEDER) ECONAT (RPC DYPOMAR).</t>
  </si>
  <si>
    <t>10.1002/ece3.10320</t>
  </si>
  <si>
    <t>Q4SL9</t>
  </si>
  <si>
    <t>WOS:001057434400001</t>
  </si>
  <si>
    <t>Lee, SY; Park, YM; Yoo, HJ; Lee, SH; Choi, EJ; Baek, EY; Song, KB; Yoon, J; Hong, SJ</t>
  </si>
  <si>
    <t>Lee, So-Yeon; Park, Yoon Mee; Yoo, Hyun Ju; Lee, Seung-Hwa; Choi, Eom Ji; Baek, Eun Young; Song, Kun Baek; Yoon, Jisun; Hong, Soo-Jong</t>
  </si>
  <si>
    <t>The alternative bile acid pathway can predict food allergy persistence in early childhood</t>
  </si>
  <si>
    <t>PEDIATRIC ALLERGY AND IMMUNOLOGY</t>
  </si>
  <si>
    <t>alternative pathway; bile acids; food allergy; metabolomics; microbiota</t>
  </si>
  <si>
    <t>PREVALENCE; LIFE; AGE</t>
  </si>
  <si>
    <t>BackgroundMechanisms underlying persistent food allergy (FA) are not well elucidated. The intestinal mucosa is the primary exposure route of food allergens. However, no study has examined intestinal metabolites associated with FA persistence. The goal of this study was to investigate intestinal metabolites and associated microbiomes in early life that aid in determining the development and persistence of FA. MethodsWe identified metabolomic alterations in the stool of infants according to FA by mass spectrometry-based untargeted metabolome profiling. The targeted metabolomic analysis of bile acid metabolites and stool microbiome was performed. Bile acid metabolite composition in infancy was evaluated by characterizing the subjects at the age of 3 into FA remission and persistent FA. ResultsIn untargeted metabolomics, primary bile acid biosynthesis was significantly different between subjects with FA and healthy controls. In targeted metabolomics for bile acids, intestinal bile acid metabolites synthesized by the alternative pathway were reduced in infants with FA than those in healthy controls. Subjects with persistent FA were also distinguished from healthy controls and those with FA remission by bile acid metabolites of the alternative pathway. These metabolites were negatively correlated with specific IgE levels in egg white. The abundance of intestinal Clostridia was decreased in the FA group and was correlated with ursodeoxycholic acid. ConclusionIntestinal bile acid metabolites of the alternative pathway could be predictive biomarkers for persistent FA in early childhood. These findings require replication in future studies.</t>
  </si>
  <si>
    <t>[Lee, So-Yeon; Choi, Eom Ji; Baek, Eun Young; Hong, Soo-Jong] Univ Ulsan, Coll Med, Childhood Asthma Atopy Ctr, Environm Hlth Ctr,Asan Med Ctr,Dept Pediat, Seoul, South Korea; [Park, Yoon Mee; Lee, Seung-Hwa] Univ Ulsan, Coll Med, Asan Inst Life Sci, Seoul, South Korea; [Yoo, Hyun Ju] Univ Ulsan, Coll Med, Asan Inst Life Sci, Asan Med Ctr,Dept Convergence Med, Seoul, South Korea; [Song, Kun Baek] Soonchunhyang Univ, Cheonan Hosp, Coll Med, Dept Pediat, Cheonan, South Korea; [Yoon, Jisun] Chung Ang Univ, Chung Ang Univ Hosp, Coll Med, Dept Pediat, Seoul, South Korea; [Hong, Soo-Jong] Univ Ulsan, Childhood Asthma Atopy Ctr, Humidifier Disinfectant Hlth Ctr, Asan Med Ctr,Coll Med,Dept Pediat, 88 Olymp Ro 43 Gil, Seoul 05505, South Korea</t>
  </si>
  <si>
    <t>University of Ulsan; Asan Medical Center; University of Ulsan; University of Ulsan; Asan Medical Center; Soonchunhyang University; Chung Ang University; Chung Ang University Hospital; University of Ulsan</t>
  </si>
  <si>
    <t>Hong, SJ (corresponding author), Univ Ulsan, Childhood Asthma Atopy Ctr, Humidifier Disinfectant Hlth Ctr, Asan Med Ctr,Coll Med,Dept Pediat, 88 Olymp Ro 43 Gil, Seoul 05505, South Korea.</t>
  </si>
  <si>
    <t>sjhong@amc.seoul.kr</t>
  </si>
  <si>
    <t>National Research Foundation of Korea (NRF) grant - Korean Government (MSIT) [NRF-2020R1A2C2012822]</t>
  </si>
  <si>
    <t>National Research Foundation of Korea (NRF) grant - Korean Government (MSIT)(National Research Foundation of KoreaMinistry of Science &amp; ICT (MSIT), Republic of Korea)</t>
  </si>
  <si>
    <t>National Research Foundation of Korea (NRF) grant funded by the Korean Government (MSIT), Grant/Award Number: NRF-2020R1A2C2012822</t>
  </si>
  <si>
    <t>0905-6157</t>
  </si>
  <si>
    <t>1399-3038</t>
  </si>
  <si>
    <t>PEDIAT ALLERG IMM-UK</t>
  </si>
  <si>
    <t>Pediatr. Allergy Immunol.</t>
  </si>
  <si>
    <t>10.1111/pai.14003</t>
  </si>
  <si>
    <t>Allergy; Immunology; Pediatrics</t>
  </si>
  <si>
    <t>O0AK7</t>
  </si>
  <si>
    <t>WOS:001040531500001</t>
  </si>
  <si>
    <t>Lemanissier, M; Riboulot, C; Weill-Chounlamountry, A; Dehollain, C; Pradat-Diehl, P; Bayen, E; Villain, M</t>
  </si>
  <si>
    <t>Lemanissier, Maureen; Riboulot, Camille; Weill-Chounlamountry, Agnes; Dehollain, Charlotte; Pradat-Diehl, Pascale; Bayen, Eleonore; Villain, Marie</t>
  </si>
  <si>
    <t>Benefits of a targeted rehabilitation of number transcoding in secondary acalculia: A single-case experimental design</t>
  </si>
  <si>
    <t>INTERNATIONAL JOURNAL OF LANGUAGE &amp; COMMUNICATION DISORDERS</t>
  </si>
  <si>
    <t>acalculia; rehabilitation; single-case experimental design; stroke; numerical transcoding</t>
  </si>
  <si>
    <t>ASSESSMENT BATTERY; NORMATIVE DATA; RECOVERY; LANGUAGE</t>
  </si>
  <si>
    <t>BackgroundDespite its potentially significant functional and emotional impact, acalculia is still too rarely assessed and managed by speech and language therapists. Research on the rehabilitation of numerical transcoding remains scarce in the literature and, despite positive results, presents a low level of evidence. AimsThe present study aims to evaluate the effectiveness of a targeted rehabilitation of numerical transcoding in two patients suffering from a chronic secondary acalculia. Methods &amp; ProceduresTwo post-brain injury females with secondary acalculia took part in a single-case experimental design with multiple baseline across subjects according to a three-phase experimental protocol: baseline involving global cognitive rehabilitation (5-7 measurements with randomized sequential introduction); targeted intervention (10 measurements); follow-up (2 immediate measurements and 1 month after the end of the intervention). Repeated outcome measures consisted of six lists composed of numbers of equivalent difficulty that were used alternately to assess numerical transcoding. We used a reverse digit span as a control measure to assess the specificity of the intervention. Rehabilitation lasted 5 weeks and consisted of errorless learning with colour cues, tables and number-words cards. Outcomes &amp; ResultsDuring baseline period involving global cognitive rehabilitation, transcoding scores remained unchanged. In contrast, there was a significant improvement in scores for both patients during the intervention phase targeting transcoding and maintenance of benefits 1-month post-intervention. Conclusions &amp; ImplicationsThis study demonstrates that a specific rehabilitation targeting numerical transcoding following chronic secondary acalculia can be effective in improving transcoding skills. WHAT THIS PAPER ADDSWhat is already known on the subjectTranscoding difficulties in patients with acalculia can cause a significant disability in everyday life activities. In secondary acalculia, rehabilitation of cognitive functions associated with number processing (attention, working memory, language) is not sufficient for improvement of transcoding. What this paper adds to existing knowledgeAn intervention specifically targeting numerical transcoding significantly and durably improves the skills of patients with chronic secondary acalculia. What are the potential or actual clinical implications of this work?Procedural error-free intervention using colour cueing, tables, cards with number-words, copy and repetition seems effective to improve transcoding skills in chronic acalculia.</t>
  </si>
  <si>
    <t>[Lemanissier, Maureen; Riboulot, Camille; Weill-Chounlamountry, Agnes; Dehollain, Charlotte; Pradat-Diehl, Pascale; Bayen, Eleonore; Villain, Marie] Charles Foix Univ Hosp, AP HP, La Pitie Salpetriere, Dept Phys &amp; Rehabil Med, Paris, France; [Lemanissier, Maureen; Riboulot, Camille; Weill-Chounlamountry, Agnes; Dehollain, Charlotte; Pradat-Diehl, Pascale; Bayen, Eleonore; Villain, Marie] Sorbonne Univ, Handicap Moteur &amp; Cognit &amp; Readaptat HaMCRe AP HP, GRC n 24, Paris, France; [Villain, Marie] Hop La Pitie Salpetriere, Phys &amp; Rehabil Med Dept, Paris, France</t>
  </si>
  <si>
    <t>UDICE-French Research Universities; Universite Paris Cite; Assistance Publique Hopitaux Paris (APHP); Hopital Universitaire Saint-Louis - APHP; Hopital Universitaire Charles-Foix - APHP; Hopital Universitaire Cochin - APHP; Hopital Universitaire Pitie-Salpetriere - APHP; Sorbonne Universite; UDICE-French Research Universities; Sorbonne Universite; Assistance Publique Hopitaux Paris (APHP); Hopital Universitaire Pitie-Salpetriere - APHP; UDICE-French Research Universities; Sorbonne Universite; Hopital Universitaire Armand-Trousseau - APHP; Hopital Universitaire Charles-Foix - APHP</t>
  </si>
  <si>
    <t>Villain, M (corresponding author), Hop La Pitie Salpetriere, Phys &amp; Rehabil Med Dept, Paris, France.</t>
  </si>
  <si>
    <t>marie.villain@aphp.fr</t>
  </si>
  <si>
    <t>1368-2822</t>
  </si>
  <si>
    <t>1460-6984</t>
  </si>
  <si>
    <t>INT J LANG COMM DIS</t>
  </si>
  <si>
    <t>Int. J. Lang. Commun. Disord.</t>
  </si>
  <si>
    <t>10.1111/1460-6984.12942</t>
  </si>
  <si>
    <t>Audiology &amp; Speech-Language Pathology; Linguistics; Rehabilitation</t>
  </si>
  <si>
    <t>N9DP2</t>
  </si>
  <si>
    <t>WOS:001039935700001</t>
  </si>
  <si>
    <t>Li, JA; Wu, XH</t>
  </si>
  <si>
    <t>Li, Jiana; Wu, Xiaohua</t>
  </si>
  <si>
    <t>SALL4 as an indicator for the diagnosis of hepatoid carcinoma of the ovary: A case report and literature review</t>
  </si>
  <si>
    <t>diagnosis; HCO; hepatoid carcinoma of the ovary; SALL4; therapy</t>
  </si>
  <si>
    <t>GERM-CELL TUMORS; HEPATOCELLULAR-CARCINOMA; FEATURES</t>
  </si>
  <si>
    <t>Key Clinical MessagePrimary HCO is a rare, aggressive ovarian malignant tumor, morphologically resembling HCC. SALL4 can be adopted to differentiate HCO from HCC. The serum AFP and CA125 rather than HE4 can be employed as possible biomarkers to track treatment and monitor recurrence. We report a case of a postmenopausal woman presenting with lower abdominal pain and vaginal bleeding. She went through a maximal debulking surgery, and the pathological biopsy revealed hepatoid carcinoma of the ovary (HCO). Immunohistochemical assay demonstrates SALL4 as an indicator to differentiate HCO from hepatocellular carcinoma (HCC).</t>
  </si>
  <si>
    <t>[Li, Jiana; Wu, Xiaohua] Fudan Univ, Shanghai Med Coll, Dept Oncol, Shanghai, Peoples R China; [Li, Jiana; Wu, Xiaohua] Fudan Univ, Dept Gynecol Oncol, Shanghai Canc Ctr, Shanghai, Peoples R China; [Wu, Xiaohua] Fudan Univ, Dept Gynecol Oncol, Shanghai Canc Ctr, Shanghai 200032, Peoples R China</t>
  </si>
  <si>
    <t>Fudan University; Fudan University; Fudan University</t>
  </si>
  <si>
    <t>Wu, XH (corresponding author), Fudan Univ, Dept Gynecol Oncol, Shanghai Canc Ctr, Shanghai 200032, Peoples R China.</t>
  </si>
  <si>
    <t>docwuxh@163.com</t>
  </si>
  <si>
    <t>e7706</t>
  </si>
  <si>
    <t>10.1002/ccr3.7706</t>
  </si>
  <si>
    <t>N5AG0</t>
  </si>
  <si>
    <t>Green Published, gold, Green Submitted</t>
  </si>
  <si>
    <t>WOS:001037131500001</t>
  </si>
  <si>
    <t>Linke, S; Teixeira, D; Turlington, K</t>
  </si>
  <si>
    <t>Linke, Simon; Teixeira, Daniella; Turlington, Katie</t>
  </si>
  <si>
    <t>Evaluating and optimising performance of multi-species call recognisers for ecoacoustic restoration monitoring</t>
  </si>
  <si>
    <t>Applied ecology; Community ecology; Ecoinformatics; Spatial ecology</t>
  </si>
  <si>
    <t>ACOUSTIC INDEXES; AUTOMATED IDENTIFICATION; BIODIVERSITY</t>
  </si>
  <si>
    <t>Monitoring the effect of ecosystem restoration can be difficult and time-consuming. Autonomous sensors, such as acoustic recorders, can aid monitoring across long time scales. This project successfully developed, tested and implemented call recognisers for eight species of frog in the Murray-Darling Basin. Recognisers for all but one species performed well and substantially better than many species recognisers reported in the literature. We achieved this through a comprehensive development phase, which carefully considered and refined the representativeness of training data, as well as the construction (amplitude cut-off) and the similarity thresholds (score cut-offs) of each call template used. Recogniser performance was high for almost all species examined. Recognisers for Crinia signifera, Limnodynastes fletcherii, Limnodynastes dumerilii, Litoria peronii and Crinia parinsignifera all performed well, with most templates having receiver operating characteristics values (the proportion of true positive and true negatives) over 0.7, and some much higher. Recognisers for L. peronii, L. fletcherii and L. dumerilii performed particularly well in the training data set, which allowed for responses to environmental watering events, a restoration activity, to be clearly observed. While slightly more involved than building recognisers using commercial packages, the workflows ensure that a high-quality recogniser can be built and the performance fine-tuned using multiple parameters. Using the same framework, recognisers can be improved on in future iterations. We believe that multi-species recognisers are a highly effective and precise way to detect the effects of ecosystem restoration.</t>
  </si>
  <si>
    <t>[Linke, Simon] CSIRO Environm, Dutton Pk, Qld, Australia; [Linke, Simon; Turlington, Katie] Griffith Univ, Australian Rivers Inst, Nathan, Qld, Australia; [Teixeira, Daniella] Queensland Univ Technol, Sch Biol &amp; Environm Sci, Brisbane, Qld, Australia; [Teixeira, Daniella] Bush Heritage Australia, Melbourne, Vic, Australia; [Linke, Simon] CSIRO Environm, 41 Boggo Rd, Dutton Pk, Qld 4102, Australia</t>
  </si>
  <si>
    <t>Griffith University; Queensland University of Technology (QUT)</t>
  </si>
  <si>
    <t>Linke, S (corresponding author), CSIRO Environm, 41 Boggo Rd, Dutton Pk, Qld 4102, Australia.</t>
  </si>
  <si>
    <t>simon.linke@csiro.au</t>
  </si>
  <si>
    <t>Forestry Corporation of NSW</t>
  </si>
  <si>
    <t>e10309</t>
  </si>
  <si>
    <t>10.1002/ece3.10309</t>
  </si>
  <si>
    <t>P7PL4</t>
  </si>
  <si>
    <t>WOS:001052555500001</t>
  </si>
  <si>
    <t>Long, HN; Zhu, WS; Wei, LM; Zhao, JG</t>
  </si>
  <si>
    <t>Long, Haining; Zhu, Wangshu; Wei, Liming; Zhao, Jungong</t>
  </si>
  <si>
    <t>Iron homeostasis imbalance and ferroptosis in brain diseases</t>
  </si>
  <si>
    <t>ferroptosis; iron chelators; iron homeostasis; neurodegenerative diseases; stroke</t>
  </si>
  <si>
    <t>ACUTE ISCHEMIC-STROKE; OXIDATIVE STRESS; LIPID-PEROXIDATION; ALPHA-SYNUCLEIN; INTRACEREBRAL HEMORRHAGE; CELL-DEATH; CEREBRAL INFARCTION; MITOCHONDRIAL; EXPRESSION; TRANSPORT</t>
  </si>
  <si>
    <t>Brain iron homeostasis is maintained through the normal function of blood-brain barrier and iron regulation at the systemic and cellular levels, which is fundamental to normal brain function. Excess iron can catalyze the generation of free radicals through Fenton reactions due to its dual redox state, thus causing oxidative stress. Numerous evidence has indicated brain diseases, especially stroke and neurodegenerative diseases, are closely related to the mechanism of iron homeostasis imbalance in the brain. For one thing, brain diseases promote brain iron accumulation. For another, iron accumulation amplifies damage to the nervous system and exacerbates patients' outcomes. In addition, iron accumulation triggers ferroptosis, a newly discovered iron-dependent type of programmed cell death, which is closely related to neurodegeneration and has received wide attention in recent years. In this context, we outline the mechanism of a normal brain iron metabolism and focus on the current mechanism of the iron homeostasis imbalance in stroke, Alzheimer's disease, and Parkinson's disease. Meanwhile, we also discuss the mechanism of ferroptosis and simultaneously enumerate the newly discovered drugs for iron chelators and ferroptosis inhibitors.</t>
  </si>
  <si>
    <t>[Long, Haining; Zhu, Wangshu; Wei, Liming; Zhao, Jungong] Shanghai Jiao Tong Univ, Shanghai Peoples Hosp 6, Dept Diagnost &amp; Intervent Radiol, Sch Med, 600 Yi Shan Rd, Shanghai 200233, Peoples R China</t>
  </si>
  <si>
    <t>Wei, LM; Zhao, JG (corresponding author), Shanghai Jiao Tong Univ, Shanghai Peoples Hosp 6, Dept Diagnost &amp; Intervent Radiol, Sch Med, 600 Yi Shan Rd, Shanghai 200233, Peoples R China.</t>
  </si>
  <si>
    <t>weilimingnj@126.com; zhaojungongradio@hotmail.com</t>
  </si>
  <si>
    <t>National Natural Science Foundation of China [81901845]; Shanghai Key Clinical Specialty [shslczdzk03203]</t>
  </si>
  <si>
    <t>National Natural Science Foundation of China(National Natural Science Foundation of China (NSFC)); Shanghai Key Clinical Specialty</t>
  </si>
  <si>
    <t>ACKNOWLEDGMENTS This work was supported by the National Natural Science Foundation of China (81901845) and Shanghai Key Clinical Specialty (N0. shslczdzk03203). All Figures were created by Adobe Illustrator 2022 by using icons from Reactome (reactome.org).</t>
  </si>
  <si>
    <t>e298</t>
  </si>
  <si>
    <t>10.1002/mco2.298</t>
  </si>
  <si>
    <t>K0AQ3</t>
  </si>
  <si>
    <t>WOS:001013165000001</t>
  </si>
  <si>
    <t>Michelson, K; Abdennebi, M; Michelson, C</t>
  </si>
  <si>
    <t>Michelson, Kristen; Abdennebi, Mourad; Michelson, Chuck</t>
  </si>
  <si>
    <t>Text-centered talk in foreign language classrooms: Comparing the affordances of face-to-face and digital social annotated reading</t>
  </si>
  <si>
    <t>affordances; authentic texts; collaborative learning; digital social annotated reading; multiliteracies</t>
  </si>
  <si>
    <t>L2; MULTILITERACIES; COMMUNICATION; PATTERNS; ONLINE</t>
  </si>
  <si>
    <t>This quasi-experimental study compares text-centered dialogs between two groups of intermediate second language (L2) French learners: traditional face-to-face (FTF) discussion groups; and groups who annotated and discussed texts through the digital social annotated reading (DSAR) platform, Hypothes.is. All participants read the same articles, with discussions guided by the same reading questions. Participants' dialogs in both conditions were coded based on types of discursive moves, then analyzed through a framework of social, textual, and linguistic affordances. Findings revealed that social affordances emerged significantly more frequently than other affordances among FTF groups while textual affordances emerged significantly more frequently than other affordances among DSAR groups. Findings support the benefits of DSAR tools for more anchored discussions over traditional FTF classroom discussions, with the caution that DSAR tools alone do not necessarily promote deep discussion of foreign language texts. Beyond pedagogical implications, this study suggests an expansion of theoretical frameworks of affordances in future DSAR research.</t>
  </si>
  <si>
    <t>[Michelson, Kristen] Texas Tech Univ, Class &amp; Modern Languages &amp; Literatures, Lubbock, TX 79409 USA; [Abdennebi, Mourad] Univ Arizona, Language Acquisit &amp; Teaching 2, Tucson, AZ USA</t>
  </si>
  <si>
    <t>Texas Tech University System; Texas Tech University; University of Arizona</t>
  </si>
  <si>
    <t>Michelson, K (corresponding author), Texas Tech Univ, Class &amp; Modern Languages &amp; Literatures, Lubbock, TX 79409 USA.</t>
  </si>
  <si>
    <t>kristen.michelson@ttu.edu</t>
  </si>
  <si>
    <t>Michelson, Kristen/0000-0002-5669-4246</t>
  </si>
  <si>
    <t>Alumni College Fellowship from the Texas Tech University Humanities Center</t>
  </si>
  <si>
    <t>Alumni College Fellowship from the Texas Tech University Humanities Center.</t>
  </si>
  <si>
    <t>10.1111/flan.12712</t>
  </si>
  <si>
    <t>WOS:001040537300001</t>
  </si>
  <si>
    <t>Nakamura, S; Komatsu, S; Yamada, T; Kitahara, H; Yamamoto, T</t>
  </si>
  <si>
    <t>Nakamura, Shingo; Komatsu, Shuji; Yamada, Toshihiko; Kitahara, Hiromi; Yamamoto, Tatsuo</t>
  </si>
  <si>
    <t>Oral morphine induces spinal 5-hydroxytryptamine (5-HT) release using an opioid receptor-independent mechanism</t>
  </si>
  <si>
    <t>PHARMACOLOGY RESEARCH &amp; PERSPECTIVES</t>
  </si>
  <si>
    <t>5-HT; antinociception; morphine; oxycodone; persistent pain; spinal cord</t>
  </si>
  <si>
    <t>BETA-FUNALTREXAMINE; SYSTEMIC MORPHINE; CORD; SEROTONIN; ANTINOCICEPTION; ACID</t>
  </si>
  <si>
    <t>Morphine induces spinal 5-hydroxytryptamine (5-HT) release, but the role and mechanism of the spinal 5-HT release induced by morphine are not well understood. The purpose of this study was to define the role and mechanism of spinal 5-HT release induced by oral morphine. We also examined whether persistent pain affected the spinal 5-HT release induced by oral morphine. Spinal 5-HT release was measured using microdialysis of lumbar cerebrospinal fluid (CSF). Two opioids, morphine and oxycodone, were orally administered and 5-HT release was measured in awake rats. Naloxone and &amp; beta;-funaltrexamine (&amp; beta;-FNA) were used to determine whether the effect of morphine on 5-HT release was mediated by opioid receptor activation. To study persistent pain, a formalin test was used. At 45 min after oral morphine administration, the formalin test was started and spinal 5-HT release was measured. Oral morphine, but not oral oxycodone, increased 5-HT release at the spinal cord to approximately 4000% of the baseline value. This effect of morphine was not antagonized by either naloxone or &amp; beta;-FNA at a dose that antagonized the antinociceptive effect of morphine. Formalin-induced persistent pain itself had no effect on spinal 5-HT release but enhanced the oral morphine-induced spinal 5-HT release. Oral morphine-induced spinal 5-HT release was not mediated by opioid receptor activation. Spinal 5-HT induced by oral morphine did not play a major role in the antinociceptive effect of morphine in the hot plate test. Persistent pain increased oral morphine-induced spinal 5-HT release.</t>
  </si>
  <si>
    <t>[Nakamura, Shingo; Komatsu, Shuji; Yamada, Toshihiko; Yamamoto, Tatsuo] Kumamoto Univ Hosp, Dept Anesthesiol, Kumamoto, Japan; [Kitahara, Hiromi] Kumamoto Univ, Sch Med, Kumamoto, Japan; [Yamamoto, Tatsuo] Saitama Med Univ Hosp, Dept Anesthesiol, Saitama, Japan; [Yamamoto, Tatsuo] Funabashi Orthoped Hosp, Dept Anesthesiol, Chiba, Japan</t>
  </si>
  <si>
    <t>Kumamoto University; Kumamoto University; Saitama Medical University</t>
  </si>
  <si>
    <t>Yamamoto, T (corresponding author), Saitama Med Univ Hosp, Dept Anesthesiol, Saitama, Japan.</t>
  </si>
  <si>
    <t>yamyam@kumamoto-u.ac.jp</t>
  </si>
  <si>
    <t>Kumamoto University, Kumamoto, Japan; Saitama Medical University Hospital, Saitama, Japan</t>
  </si>
  <si>
    <t>We thank Professor Naoyuki Hirata, Department of Anesthesiology, Kumamoto University Hospital and Associate Professor, Tsutomu Mieda, Department of Anesthesiology, Saitama Medical University Hospital, for their generous supports of our study. This study was partly supported by Kumamoto University, Kumamoto, Japan and Saitama Medical University Hospital, Saitama, Japan.</t>
  </si>
  <si>
    <t>2052-1707</t>
  </si>
  <si>
    <t>PHARMACOL RES PERSPE</t>
  </si>
  <si>
    <t>Pharmacol. Res. Perspect.</t>
  </si>
  <si>
    <t>e01119</t>
  </si>
  <si>
    <t>10.1002/prp2.1119</t>
  </si>
  <si>
    <t>N0PY7</t>
  </si>
  <si>
    <t>WOS:001034151200001</t>
  </si>
  <si>
    <t>Nam, J; Balakrishnan, M; De Freitas, J; Brooks, AW</t>
  </si>
  <si>
    <t>Nam, Jimin; Balakrishnan, Maya; De Freitas, Julian; Brooks, Alison Wood</t>
  </si>
  <si>
    <t>Speedy activists: How firm response time to sociopolitical events influences consumer behavior</t>
  </si>
  <si>
    <t>JOURNAL OF CONSUMER PSYCHOLOGY</t>
  </si>
  <si>
    <t>brand activism; branding; communications; sociopolitical issues; text analysis</t>
  </si>
  <si>
    <t>INCREASES; AUTHENTICITY; QUEUES; IMPACT</t>
  </si>
  <si>
    <t>Organizations face growing pressure from their consumers and stakeholders to take public stances on sociopolitical issues. However, many are hesitant to do so lest they make missteps, promises they cannot keep, appear inauthentic, or alienate consumers, employees, or other stakeholders. Here we investigate consumers' impressions of firms that respond quickly or slowly to sociopolitical events. Using data scraped from Instagram and three online experiments (N = 2452), we find that consumers express more positive sentiment and greater purchasing intentions toward firms that react more quickly to sociopolitical issues. Unlike other types of public firm decision making such as product launch, where careful deliberation can be appreciated, consumers treat firm response time to sociopolitical events as an informative cue of the firm's authentic commitment to the issue. We identify an important boundary condition of this main effect: speedy responses bring limited benefits when the issue is highly divisive along political lines. Our findings bridge extant research on brand activism and communication, and offer practical advice for firms.</t>
  </si>
  <si>
    <t>[Nam, Jimin; Balakrishnan, Maya; De Freitas, Julian; Brooks, Alison Wood] Harvard Univ, Harvard Business Sch, Boston, MA USA; [Nam, Jimin] Harvard Univ, Harvard Business Sch, Soldiers Field Rd, Boston 02138, MA USA</t>
  </si>
  <si>
    <t>Nam, J (corresponding author), Harvard Univ, Harvard Business Sch, Soldiers Field Rd, Boston 02138, MA USA.</t>
  </si>
  <si>
    <t>jnam@hbs.edu</t>
  </si>
  <si>
    <t>Nam, Jimin/0000-0002-6132-5234</t>
  </si>
  <si>
    <t>1057-7408</t>
  </si>
  <si>
    <t>1532-7663</t>
  </si>
  <si>
    <t>J CONSUM PSYCHOL</t>
  </si>
  <si>
    <t>J. Consum. Psychol.</t>
  </si>
  <si>
    <t>10.1002/jcpy.1380</t>
  </si>
  <si>
    <t>O1AF0</t>
  </si>
  <si>
    <t>WOS:001041208800001</t>
  </si>
  <si>
    <t>Nangaku, M</t>
  </si>
  <si>
    <t>Nangaku, Masaomi</t>
  </si>
  <si>
    <t>Global perspective of kidney diseases: Challenges and changes</t>
  </si>
  <si>
    <t>NEPHROLOGY</t>
  </si>
  <si>
    <t>CKD; end-stage kidney disease; kidney failure</t>
  </si>
  <si>
    <t>Chronic kidney disease (CKD) is a major public health issue worldwide. Although strategies for prevention, early detection and treatment to reduce the progression of CKD should remain continuous endeavours, public funding for kidney replacement therapy is urgently needed in low-income countries (LICs) and lower-middle-income countries (LMICs). A multisectoral approach is needed to tackle the global burden of kidney disease. Getting a new drug, from first testing to final approval by a regulatory agency and ultimately to market, is a long, costly and risky process. While clinical trials and research have delivered new therapies and devices to patients with kidney disease during the last decade, there remains a significant residual risk for patients with CKD. Therefore, developing new drugs for better treatment and patient care is essential. For this purpose, the ISN held a consensus meeting entitled 'TRANSFORM; TRAnslational Nephrology Science FOR new Medications', which connected experts in the global kidney community and provided guidance on optimal management of translational animal studies for the development of new drugs to treat kidney diseases.</t>
  </si>
  <si>
    <t>[Nangaku, Masaomi] Univ Tokyo, Grad Sch Med, Div Nephrol &amp; Endocrinol, Bunkyo Ku, Tokyo, Japan; [Nangaku, Masaomi] Univ Tokyo, Grad Sch Med, Div Nephrol &amp; Endocrinol, 7-3-1 Hongo,Bunkyo Ku, Tokyo 1138655, Japan</t>
  </si>
  <si>
    <t>University of Tokyo; University of Tokyo</t>
  </si>
  <si>
    <t>Nangaku, M (corresponding author), Univ Tokyo, Grad Sch Med, Div Nephrol &amp; Endocrinol, 7-3-1 Hongo,Bunkyo Ku, Tokyo 1138655, Japan.</t>
  </si>
  <si>
    <t>mnangaku@m.u-tokyo.ac.jp</t>
  </si>
  <si>
    <t>1320-5358</t>
  </si>
  <si>
    <t>1440-1797</t>
  </si>
  <si>
    <t>Nephrology</t>
  </si>
  <si>
    <t>10.1111/nep.14200</t>
  </si>
  <si>
    <t>Urology &amp; Nephrology</t>
  </si>
  <si>
    <t>O8SM9</t>
  </si>
  <si>
    <t>WOS:001046460300002</t>
  </si>
  <si>
    <t>Nata, N; Khongkha, S; Chaiprasert, A; Satirapoj, B</t>
  </si>
  <si>
    <t>Nata, Naowanit; Khongkha, Siriwan; Chaiprasert, Amnart; Satirapoj, Bancha</t>
  </si>
  <si>
    <t>CALCINEURIN INHIBITORS PROTOCOL PREDICTS NEW ONSET HYPOMAGNESEMIA AFTER KIDNEY TRANSPLANTATION</t>
  </si>
  <si>
    <t>hypomagnesemia; kidney transplantation; calcineurin inhibitor; tacrolimus</t>
  </si>
  <si>
    <t>[Nata, Naowanit; Khongkha, Siriwan; Chaiprasert, Amnart; Satirapoj, Bancha] Phramongkutklao Hosp &amp; Coll Med, Dept Med, Div Nephrol, Bangkok, Thailand</t>
  </si>
  <si>
    <t>Phramongkutklao Hospital; Phramongkutklao College of Medicine</t>
  </si>
  <si>
    <t>P054</t>
  </si>
  <si>
    <t>WOS:001046460300061</t>
  </si>
  <si>
    <t>Ominato, H; Komabayashi, Y</t>
  </si>
  <si>
    <t>Ominato, Hisataka; Komabayashi, Yuki</t>
  </si>
  <si>
    <t>Man with pharyngeal discomfort and dysphagia</t>
  </si>
  <si>
    <t>[Ominato, Hisataka; Komabayashi, Yuki] Sapporo Higashi Tokushukai Hosp, Dept Otolaryngol Head &amp; Neck Surg, Higasiku,Kita 33,Higashi 14-3-1, Sapporo, Hokkaido 0650033, Japan; [Ominato, Hisataka] Asahikawa Med Univ, Dept Otolaryngol Head &amp; Neck Surg, Asahikawa, Japan</t>
  </si>
  <si>
    <t>Asahikawa Medical College</t>
  </si>
  <si>
    <t>Ominato, H (corresponding author), Sapporo Higashi Tokushukai Hosp, Dept Otolaryngol Head &amp; Neck Surg, Higasiku,Kita 33,Higashi 14-3-1, Sapporo, Hokkaido 0650033, Japan.</t>
  </si>
  <si>
    <t>h-ominato@asahikawa-med.ac.jp</t>
  </si>
  <si>
    <t>Ominato, Hisataka/0000-0003-4826-9829</t>
  </si>
  <si>
    <t>e12995</t>
  </si>
  <si>
    <t>10.1002/emp2.12995</t>
  </si>
  <si>
    <t>K8MG3</t>
  </si>
  <si>
    <t>WOS:001018917400001</t>
  </si>
  <si>
    <t>Osada, N; Kikuchi, J; Iha, H; Yasui, H; Ikeda, S; Takahashi, N; Furukawa, Y</t>
  </si>
  <si>
    <t>Osada, Naoki; Kikuchi, Jiro; Iha, Hidekatsu; Yasui, Hiroshi; Ikeda, Sho; Takahashi, Naoto; Furukawa, Yusuke</t>
  </si>
  <si>
    <t>c-FOS is an integral component of the IKZF1 transactivator complex and mediates lenalidomide resistance in multiple myeloma</t>
  </si>
  <si>
    <t>CLINICAL AND TRANSLATIONAL MEDICINE</t>
  </si>
  <si>
    <t>activator protein-1; drug resistance; IKZF1 complex; immunomodulatory drugs; multiple myeloma</t>
  </si>
  <si>
    <t>CELL-PROLIFERATION; DRUG-RESISTANCE; GENE-EXPRESSION; IKAROS; LYMPHOCYTE; SURVIVAL; FAMILY; CEREBLON; ENCODES; PROTEIN</t>
  </si>
  <si>
    <t>BackgroundThe immunomodulatory drug lenalidomide, which is now widely used for the treatment of multiple myeloma (MM), exerts pharmacological action through the ubiquitin-dependent degradation of IKZF1 and subsequent down-regulation of interferon regulatory factor 4 (IRF4), a critical factor for the survival of MM cells. IKZF1 acts principally as a tumour suppressor via transcriptional repression of oncogenes in normal lymphoid lineages. In contrast, IKZF1 activates IRF4 and other oncogenes in MM cells, suggesting the involvement of unknown co-factors in switching the IKZF1 complex from a transcriptional repressor to an activator. The transactivating components of the IKZF1 complex might promote lenalidomide resistance by residing on regulatory regions of the IRF4 gene to maintain its transcription after IKZF1 degradation. MethodsTo identify unknown components of the IKZF1 complex, we analyzed the genome-wide binding of IKZF1 in MM cells using chromatin immunoprecipitation-sequencing (ChIP-seq) and screened for the co-occupancy of IKZF1 with other DNA-binding factors on the myeloma genome using the ChIP-Atlas platform. ResultsWe found that c-FOS, a member of the activator protein-1 (AP-1) family, is an integral component of the IKZF1 complex and is primarily responsible for the activator function of the complex in MM cells. The genome-wide screening revealed the co-occupancy of c-FOS with IKZF1 on the regulatory regions of IKZF1-target genes, including IRF4 and SLAMF7, in MM cells but not normal bone marrow progenitors, pre-B cells or mature T-lymphocytes. c-FOS and IKZF1 bound to the same consensus sequence as the IKZF1 complex through direct protein-protein interactions. The complex also includes c-JUN and IKZF3 but not IRF4. Treatment of MM cells with short-hairpin RNA against FOS or a selective AP-1 inhibitor significantly enhanced the anti-MM activity of lenalidomide in vitro and in two murine MM models. Furthermore, an AP-1 inhibitor mitigated the lenalidomide resistance of MM cells. ConclusionsC-FOS determines lenalidomide sensitivity and mediates drug resistance in MM cells as a co-factor of IKZF1 and thus, could be a novel therapeutic target for further improvement of the prognosis of MM patients.</t>
  </si>
  <si>
    <t>[Osada, Naoki; Kikuchi, Jiro; Furukawa, Yusuke] Jichi Med Univ, Ctr Mol Med, Div Stem Cell Regulat, Shimotsuke, Tochigi, Japan; [Iha, Hidekatsu] Oita Univ, Res Ctr GLOBAL &amp; LOCAL Infect Dis RCGLID, Div Pathophysiol, Oita, Japan; [Yasui, Hiroshi] St Marianna Univ, Sch Med, Dept Internal Med, Div Hematol &amp; Oncol, Kawasaki, Kanagawa, Japan; [Yasui, Hiroshi] Univ Tokyo, Inst Med Sci, Project Div Innovat Diagnost Technol Platform, Tokyo, Japan; [Ikeda, Sho; Takahashi, Naoto] Akita Univ, Grad Sch Med, Dept Hematol Nephrol &amp; Rheumatol, Akita, Japan; [Furukawa, Yusuke] Teikyo Univ Sci, Ctr Med Educ, Tokyo, Japan; [Furukawa, Yusuke] Jichi Med Univ, Ctr Mol Med, Div Stem Cell Regulat, 3311-1 Yakushiji, Shimotsuke, Tochigi 3290498, Japan</t>
  </si>
  <si>
    <t>Jichi Medical University; Oita University; Saint Marianna University; University of Tokyo; Akita University; Jichi Medical University</t>
  </si>
  <si>
    <t>Furukawa, Y (corresponding author), Jichi Med Univ, Ctr Mol Med, Div Stem Cell Regulat, 3311-1 Yakushiji, Shimotsuke, Tochigi 3290498, Japan.</t>
  </si>
  <si>
    <t>furuyu@jichi.ac.jp</t>
  </si>
  <si>
    <t>Furukawa, Yusuke/Y-1342-2018</t>
  </si>
  <si>
    <t>Furukawa, Yusuke/0000-0002-7249-6418</t>
  </si>
  <si>
    <t>JSPS; International Myeloma Foundation Japan; Kanehara Foundation; Jichi Medical University; Japanese Society of Myeloma Research Award</t>
  </si>
  <si>
    <t>JSPS(Ministry of Education, Culture, Sports, Science and Technology, Japan (MEXT)Japan Society for the Promotion of Science); International Myeloma Foundation Japan; Kanehara Foundation; Jichi Medical University; Japanese Society of Myeloma Research Award</t>
  </si>
  <si>
    <t>The authors are grateful to Ms. Mayuka Shiino, Ms. Mai Tadaki and Ms. Akiko Yonekura for technical assistance. This work was supported in part by Grants-in-Aid for Scientific Research from JSPS (to Naoki Osada, Jiro Kikuchi and Yusuke Furukawa) and research grants from the International Myeloma Foundation Japan (Jiro Kikuchi) and Kanehara Foundation (Naoki Osada). Naoki Osada received the 2021 Young Investigator Award from Jichi Medical University and the Japanese Society of Myeloma Research Award.</t>
  </si>
  <si>
    <t>2001-1326</t>
  </si>
  <si>
    <t>CLIN TRANSL MED</t>
  </si>
  <si>
    <t>Clin. Transl. Med.</t>
  </si>
  <si>
    <t>e1364</t>
  </si>
  <si>
    <t>10.1002/ctm2.1364</t>
  </si>
  <si>
    <t>Oncology; Medicine, Research &amp; Experimental</t>
  </si>
  <si>
    <t>Oncology; Research &amp; Experimental Medicine</t>
  </si>
  <si>
    <t>P1AI0</t>
  </si>
  <si>
    <t>WOS:001048029400001</t>
  </si>
  <si>
    <t>Ozimic, AS; Oblak, A; Kordes, U; Purg, N; Bon, J; Repovs, G</t>
  </si>
  <si>
    <t>Ozimic, Anka Slana; Oblak, Ales; Kordes, Urban; Purg, Nina; Bon, Jurij; Repovs, Grega</t>
  </si>
  <si>
    <t>The Diversity of Strategies Used in Working Memory for Colors, Orientations, and Positions: A Quantitative Approach to a First-Person Inquiry</t>
  </si>
  <si>
    <t>COGNITIVE SCIENCE</t>
  </si>
  <si>
    <t>Visuo-spatial working memory; Strategies; Phenomenology; Encoding; Maintenance; Retrieval</t>
  </si>
  <si>
    <t>INDIVIDUAL-DIFFERENCES; SUPPRESSION; CAPACITY; MIND</t>
  </si>
  <si>
    <t>The study of individual experience during the performance of a psychological task using a phenomenological approach is a relatively new area of research. The aim of this paper was to combine first- and third-person approaches to investigate whether the strategies individuals use during a working memory task are associated with specific task conditions, whether the strategies combine to form stable patterns, and whether the use of specific strategies is related to task accuracy. Thirty-one participants took part in an experiment in which they were instructed to remember colors, orientations, or positions of stimuli presented in a change detection task. After every 7th-15th trial, participants took part in an in-depth phenomenological interview in which they described their experiences during the trial that immediately preceded the interview. Qualitative analysis revealed a set of 18 strategies that participants used while performing the task, which we divided into active and passive strategies of encoding, maintenance, and retrieval. Quantitative analysis revealed that while many strategies were used in all task conditions, some strategies and their combinations may be better suited to the specific task demands, while others are more general in nature. The results also suggest a distinction between strategies for encoding object identity and spatial features. Finally, our results did not provide robust evidence for a relationship between specific strategies and task accuracy.</t>
  </si>
  <si>
    <t>[Ozimic, Anka Slana; Purg, Nina; Repovs, Grega] Univ Ljubljana, Fac Arts, Dept Psychol, Ljubljana, Slovenia; [Oblak, Ales; Bon, Jurij] Univ Psychiat Clin Ljubljana, Lab Cognit Neurosci &amp; Psychopathol, Ljubljana, Slovenia; [Kordes, Urban] Univ Ljubljana, Ctr Cognit Sci, Fac Educ, Ljubljana, Slovenia; [Bon, Jurij] Univ Ljubljana, Fac Med, Dept Phys Med &amp; Rehabil, Ljubljana SI-1000, Slovenia; [Ozimic, Anka Slana] Univ Ljubljana, Fac Arts, Dept Psychol, Askerceva cesta 2, Ljubljana 1000, Slovenia</t>
  </si>
  <si>
    <t>University of Ljubljana; University Medical Centre Ljubljana; University of Ljubljana; University of Ljubljana; University of Ljubljana</t>
  </si>
  <si>
    <t>Ozimic, AS (corresponding author), Univ Ljubljana, Fac Arts, Dept Psychol, Askerceva cesta 2, Ljubljana 1000, Slovenia.</t>
  </si>
  <si>
    <t>anka.slanaozimic@ff.uni-lj.si</t>
  </si>
  <si>
    <t>Slovenian Research and Innovation Agency (ARIS) [P5-0126, P5-0100, J3-9264, P3-0338]</t>
  </si>
  <si>
    <t>Slovenian Research and Innovation Agency (ARIS)</t>
  </si>
  <si>
    <t>This work was supported by Slovenian Research and Innovation Agency (ARIS) research grants P5-0126 (UK), P5-0100 (JB), and J3-9264 and P3-0338 (ASO, GR, and NP).</t>
  </si>
  <si>
    <t>0364-0213</t>
  </si>
  <si>
    <t>1551-6709</t>
  </si>
  <si>
    <t>COGNITIVE SCI</t>
  </si>
  <si>
    <t>Cogn. Sci.</t>
  </si>
  <si>
    <t>e13333</t>
  </si>
  <si>
    <t>10.1111/cogs.13333</t>
  </si>
  <si>
    <t>Q7GE6</t>
  </si>
  <si>
    <t>WOS:001059162000004</t>
  </si>
  <si>
    <t>Painter, LE; Beschta, RL; Ripple, WJ</t>
  </si>
  <si>
    <t>Painter, Luke E.; Beschta, Robert L.; Ripple, William J.</t>
  </si>
  <si>
    <t>Bison alter the northern Yellowstone ecosystem by breaking aspen saplings</t>
  </si>
  <si>
    <t>aspen; bison; conservation conflicts; ecological engineer; trophic cascade; Yellowstone National Park</t>
  </si>
  <si>
    <t>POPULUS-TREMULOIDES; TROPHIC CASCADES; NATIONAL-PARK; PREHISTORIC BISON; TALLGRASS PRAIRIE; ELK; PLANT; FIRE; DISTURBANCE; COMMUNITY</t>
  </si>
  <si>
    <t>The American bison (Bison bison) is a species that strongly interacts with its environment, yet the effects of this large herbivore on quaking aspen (Populus tremuloides) have received little study. We documented bison breaking the stems of aspen saplings (young aspen &gt;2 m tall and =5 cm in diameter at breast height) and examined the extent of this effect in northern Yellowstone National Park (YNP). Low densities of Rocky Mountain elk (Cervus canadensis) after about 2004 created conditions conducive for new aspen recruitment in YNP's northern ungulate winter range (northern range). We sampled aspen saplings at local and landscape scales, using random sampling plots in 87 randomly selected aspen stands. Across the YNP northern range, we found that 18% of sapling stems had been broken. The causal attribution to bison was supported by multiple lines of evidence: (1) most broken saplings were in areas of high bison and low elk density; (2) saplings were broken in summer when elk were not foraging on them; (3) we directly observed bison breaking aspen saplings; and (4) mixed-effects modeling showed a positive association between scat density of bison and the proportion of saplings broken. In a stand heavily used by bison, most aspen saplings had been broken, and portions of the stand were cleared of saplings that were present in previous sampling in 2012. Bison numbers increased more than fourfold between 2004 and 2015, and their ecosystem effects have similarly increased, limiting and in some places reversing the nascent aspen recovery. This situation is further complicated by political constraints that prevent bison from dispersing to areas outside the park. Thus, one important conservation goal, the preservation of bison, is affecting another long-term conservation goal, the recovery of aspen and other deciduous woody species in northern Yellowstone.</t>
  </si>
  <si>
    <t>[Painter, Luke E.] Oregon State Univ, Dept Fisheries Wildlife &amp; Conservat Sci, Corvallis, OR USA; [Beschta, Robert L.; Ripple, William J.] Oregon State Univ, Dept Forest Ecosyst &amp; Soc, Corvallis, OR USA; [Painter, Luke E.] Oregon State Univ, Dept Fisheries Wildlife &amp; Conservat Sci, Corvallis, OR 97331 USA</t>
  </si>
  <si>
    <t>Oregon State University; Oregon State University; Oregon State University</t>
  </si>
  <si>
    <t>Painter, LE (corresponding author), Oregon State Univ, Dept Fisheries Wildlife &amp; Conservat Sci, Corvallis, OR 97331 USA.</t>
  </si>
  <si>
    <t>luke.painter@oregonstate.edu</t>
  </si>
  <si>
    <t>We thank Sukhyun Joo for assistance with statistical analysis. Two anonymous reviewers provided helpful critiques and suggestions. This work was supported in part by the Ecosystem Restoration Research Fund FS045C-F328 of the Oregon State University Foundat [1754221]; Ecosystem Restoration Research Fund; Oregon State University Foundation; US National Science Foundation; [FS045C-F328]</t>
  </si>
  <si>
    <t>We thank Sukhyun Joo for assistance with statistical analysis. Two anonymous reviewers provided helpful critiques and suggestions. This work was supported in part by the Ecosystem Restoration Research Fund FS045C-F328 of the Oregon State University Foundat; Ecosystem Restoration Research Fund; Oregon State University Foundation; US National Science Foundation(National Science Foundation (NSF));</t>
  </si>
  <si>
    <t>We thank Sukhyun Joo for assistance with statistical analysis. Two anonymous reviewers provided helpful critiques and suggestions. This work was supported in part by the Ecosystem Restoration Research Fund FS045C-F328 of the Oregon State University Foundation and the US National Science Foundation grant 1754221.</t>
  </si>
  <si>
    <t>e10369</t>
  </si>
  <si>
    <t>10.1002/ece3.10369</t>
  </si>
  <si>
    <t>Q4KS9</t>
  </si>
  <si>
    <t>WOS:001057230400001</t>
  </si>
  <si>
    <t>Palmu, R; Partonen, T</t>
  </si>
  <si>
    <t>Palmu, Raimo; Partonen, Timo</t>
  </si>
  <si>
    <t>Cynical hostility increases whereas sense of coherence decreases the odds for current suicidal thoughts: A cross-sectional study of the general adult population sample</t>
  </si>
  <si>
    <t>national; suicidal ideation; suicide attempt; survey</t>
  </si>
  <si>
    <t>CORONARY-HEART-DISEASE; ANTONOVSKYS SENSE; HEALTH; IDEATION; BEHAVIORS; VALIDITY; SCALE; ANGER; LIFE</t>
  </si>
  <si>
    <t>Background and AimsEarlier, somatic diseases and mental disorders have been associated with cynical hostility as well as sense of coherence, but there is a gap of knowledge, whether they contribute to suicidality at population level. MethodsA random sample of adults, representative of the general population living in Finland, participated in a nationwide health examination study. For 4387 participants aged 18-97 years, we analyzed, after controlling for confounding factors, whether cynical hostility, as assessed with the 8-item Cook-Medley Hostility Scale, or sense of coherence, as assessed with the 13-item Sense of Coherence Scale, contributed to current suicidal thoughts during the past 7 days as scored on the 25-item Hopkins Symptom Checklist. ResultsSuicidal thoughts (current thoughts of ending one's life) were associated significantly with cynical hostility (p &lt; 0.001) as well as with sense of coherence (p &lt; 0.001). Of the specific items of cynical hostility, the item I am sure that most people do not have problems with lying for their own good was associated most strongly with current suicidal thoughts (p &lt; 0.001). ConclusionCynical hostility predicted current suicidal thoughts in a population-based sample of adults aged 18-97 years. Sense of coherence protected from current suicidal thoughts.</t>
  </si>
  <si>
    <t>[Palmu, Raimo] Univ Helsinki, Helsinki Univ Hosp, Dept Psychiat, Helsinki, Finland; [Palmu, Raimo; Partonen, Timo] Finnish Inst Hlth &amp; Welf, Dept Publ Hlth &amp; Welf, Helsinki, Finland; [Partonen, Timo] Finnish Inst Hlth &amp; Welf THL, Dept Publ Hlth &amp; Welf, POB 30,Mannerheimintie166, FI-00271 Helsinki, Finland</t>
  </si>
  <si>
    <t>University of Helsinki; Helsinki University Central Hospital</t>
  </si>
  <si>
    <t>Partonen, T (corresponding author), Finnish Inst Hlth &amp; Welf THL, Dept Publ Hlth &amp; Welf, POB 30,Mannerheimintie166, FI-00271 Helsinki, Finland.</t>
  </si>
  <si>
    <t>timo.partonen@thl.fi</t>
  </si>
  <si>
    <t>Partonen, Timo/G-1105-2012</t>
  </si>
  <si>
    <t>Partonen, Timo/0000-0003-1951-2455</t>
  </si>
  <si>
    <t>e1464</t>
  </si>
  <si>
    <t>10.1002/hsr2.1464</t>
  </si>
  <si>
    <t>N3WH3</t>
  </si>
  <si>
    <t>WOS:001036349500001</t>
  </si>
  <si>
    <t>Prieto-Ramirez, AM</t>
  </si>
  <si>
    <t>Prieto-Ramirez, Ana Maria</t>
  </si>
  <si>
    <t>Effects of landscape structure and patch characteristics on the density of central populations of the eastern green lizard Lacerta viridis</t>
  </si>
  <si>
    <t>habitat loss; landscape structure; lizards; population density; scale of effect</t>
  </si>
  <si>
    <t>THERMAL BIOLOGY; TROPICAL FOREST; HABITAT; REPTILES; ABUNDANCE; FRAGMENTATION; OCCUPANCY; AMPHIBIANS; RESPONSES; CLIMATE</t>
  </si>
  <si>
    <t>A better understanding of the impact of habitat loss on population density can be achieved by evaluating effects of both parameters within remnant habitat patches and parameters of the landscape surrounding those patches. The integration of predictors at the patch and landscape level is scarce in animal ecological studies, especially for reptiles. In this study, a patch-landscape approach was applied to evaluate the combined effects of within-patch habitat quality, patch geometry and landscape configuration and composition on the density of remnant populations of the eastern green lizard, Lacerta viridis, in a highly modified landscape in Bulgaria. Landscape composition variables (proportion of different land covers) were measured at different spatial scales surrounding patches. Single-scale models were built to evaluate combined effects of all predictors on density, when including all landscape composition variables at a specific spatial scale. Multi-scale models were applied to analyze combined effects when including landscape composition variables at the scale of their strongest effect (scale of effect, SoE). Results showed that the SoE of proportion of cropland and urban areas was small (50 m), while for proportion of habitat was large (1.5 km). The overall effect of habitat loss was better explained by the multi-scale model. Population density increased with patch area and decreased with patch shape irregularity and with the proportion of three land cover types surrounding patches-cropland, urban areas, and habitat. Combining patch and landscape parameters is important to identify ecological processes that occur simultaneously at different spatial levels and landscape scales, which would imply the application of multi-scale approaches for the protection of wild animal populations. Results are contrasted with what is known about occupancy patterns of the species in the same region and approaches to integrate both occupancy and density, in the field design of animal ecological studies are suggested.</t>
  </si>
  <si>
    <t>[Prieto-Ramirez, Ana Maria] Univ Hildesheim, Inst Geog, Hildesheim, Germany; [Prieto-Ramirez, Ana Maria] Univ Hildesheim, Inst Geog, Univ Pl 1, D-31141 Hildesheim, Germany</t>
  </si>
  <si>
    <t>University of Hildesheim; University of Hildesheim</t>
  </si>
  <si>
    <t>Prieto-Ramirez, AM (corresponding author), Univ Hildesheim, Inst Geog, Univ Pl 1, D-31141 Hildesheim, Germany.</t>
  </si>
  <si>
    <t>prietoramirez@uni-hildesheim.de</t>
  </si>
  <si>
    <t>Prieto Ramirez, Ana Maria/0000-0001-7633-3192</t>
  </si>
  <si>
    <t>Heinrich Boell Stiftung [P113742]</t>
  </si>
  <si>
    <t>Heinrich Boell Stiftung</t>
  </si>
  <si>
    <t>&amp; nbsp;Heinrich Boell Stiftung, Grant/Award Number: P113742</t>
  </si>
  <si>
    <t>e10419</t>
  </si>
  <si>
    <t>10.1002/ece3.10419</t>
  </si>
  <si>
    <t>P3RN0</t>
  </si>
  <si>
    <t>WOS:001049849400001</t>
  </si>
  <si>
    <t>Ramage, BS; Johnson, DJ; Chan, DM</t>
  </si>
  <si>
    <t>Ramage, Benjamin S.; Johnson, Daniel J.; Chan, David M.</t>
  </si>
  <si>
    <t>Effects of drought, disturbance, and biotic neighborhood on experimental tree seedling performance</t>
  </si>
  <si>
    <t>conspecific inhibition; conspecific negative density dependence; forest biodiversity; interannual variation; tree species coexistence</t>
  </si>
  <si>
    <t>NEGATIVE DENSITY-DEPENDENCE; PLANT-SOIL FEEDBACKS; LATITUDINAL GRADIENT; RELATIVE ABUNDANCE; TROPICAL FOREST; RAIN-FOREST; CANOPY GAPS; MORTALITY; COEXISTENCE; TEMPERATE</t>
  </si>
  <si>
    <t>Forest biodiversity is likely maintained by a complex suite of interacting drivers that vary in importance across both space and time. Contributing factors include disturbance, interannual variation in abiotic variables, and biotic neighborhood effects. To probe ongoing uncertainties and potential interactions, we investigated tree seedling performance in a temperate mid-Atlantic forest ecosystem. We planted seedlings of five native tree species in mapped study plots, half of which were subjected to disturbance, and then monitored seedling survival, height growth, and foliar condition. The final year of data collection encompassed a drought, enabling comparison between intervals varying in water availability. Seedling performance was analyzed as a function of canopy cover and biotic neighborhood (conspecific and heterospecific abundance), including interactions, with separate generalized linear mixed models fit for each interval. All species exhibited: (a) pronounced declines in height growth during the drought year, (b) detrimental effects of adult conspecifics, and (c) beneficial effects of canopy openness. However, despite these consistencies, there was considerable variation across species in terms of the relevant predictors for each response variable in each interval. Our results suggest that drought may strengthen or reveal conspecific inhibition in some instances while weakening it or obscuring it in others, and that some forms of conspecific inhibition may manifest only under particular canopy conditions (although given the inconsistency of our findings, we are not convinced that conspecific inhibition is critical for diversity maintenance in our study system). Overall, our work reveals a complex forest ecosystem that appears simultaneously and interactively governed by biotic neighborhood structure (e.g., conspecific and/or heterospecific abundance), local habitat conditions (e.g., canopy cover), and interannual variability (e.g., drought).</t>
  </si>
  <si>
    <t>[Ramage, Benjamin S.] Randolph Macon Coll, Biol Dept, Ashland, VA USA; [Johnson, Daniel J.] Univ Florida, Sch Forest Fisheries &amp; Geomat Sci, Gainesville, FL USA; [Chan, David M.] Virginia Commonwealth Univ, Dept Math &amp; Appl Math, Richmond, VA USA</t>
  </si>
  <si>
    <t>State University System of Florida; University of Florida; Virginia Commonwealth University</t>
  </si>
  <si>
    <t>Ramage, BS (corresponding author), Randolph Macon Coll, Biol Dept, 204 Henry St, Ashland, VA 23005 USA.</t>
  </si>
  <si>
    <t>benjaminramage@rmc.edu</t>
  </si>
  <si>
    <t>Johnson, Daniel/0000-0002-8585-2143; Ramage, Benjamin/0000-0003-0734-9064</t>
  </si>
  <si>
    <t>Chenery Research Program; Rashkind Family Endowment; Thomas F. and Kate Miller Jeffress Memorial Trust</t>
  </si>
  <si>
    <t>e10413</t>
  </si>
  <si>
    <t>10.1002/ece3.10413</t>
  </si>
  <si>
    <t>P2LL3</t>
  </si>
  <si>
    <t>WOS:001049004900001</t>
  </si>
  <si>
    <t>Reynolds, AR; Lowi-Merri, TM; Brannick, AL; Seymour, KL; Churcher, CS; Evans, DC</t>
  </si>
  <si>
    <t>Reynolds, Ashley R.; Lowi-Merri, Talia M.; Brannick, Alexandria L.; Seymour, Kevin L.; Churcher, C. S.; Evans, David C.</t>
  </si>
  <si>
    <t>Dire wolf (Canis dirus) from the late Pleistocene of southern Canada (Medicine Hat, Alberta)</t>
  </si>
  <si>
    <t>allometry; Canada; Canis dirus; dire wolf; geometric morphometrics; Pleistocene</t>
  </si>
  <si>
    <t>FOSSIL; EXTINCTIONS; DYNAMICS; RECORDS</t>
  </si>
  <si>
    <t>The dire wolf (Canis dirus) had a broad geographic range in Pleistocene North and South America. Its northernmost occurrence has been reported from late Pleistocene deposits in Medicine Hat, Alberta, representing the only record of the taxon in Canada. However, the dentary upon which these reports were based has never been described or illustrated. The Medicine Hat specimen is badly crushed and appears to be from an old individual, which precludes the observation of adult diagnostic morphological characters. Geometric morphometrics were used to test the previous identification of the Medicine Hat dentary. A landmark-based principal component analysis and a canonical variates analysis suggests that the specimen more strongly resembles dire wolf specimens than grey wolf (Canis lupus). Identification of the Medicine Hat specimen as C. dirus supports it as the northernmost occurrence of this species in North America. However, we note the potential for allometric relationships that may confound differentiation between grey and dire wolves based on the morphology of the dentary. This study concludes by identifying future work needed in the areas of canid allometry and the biogeography of late Pleistocene North America and Beringia.</t>
  </si>
  <si>
    <t>[Reynolds, Ashley R.; Lowi-Merri, Talia M.; Seymour, Kevin L.; Churcher, C. S.; Evans, David C.] Dept Nat Hist Palaeobiol, Royal Ontario Museum, Toronto, ON, Canada; [Reynolds, Ashley R.; Lowi-Merri, Talia M.; Churcher, C. S.; Evans, David C.] Univ Toronto, Dept Ecol &amp; Evolutionary Biol, Toronto, ON, Canada; [Brannick, Alexandria L.] Univ Washington, Dept Biol, Seattle, WA USA</t>
  </si>
  <si>
    <t>Royal Ontario Museum; University of Toronto; University of Washington; University of Washington Seattle</t>
  </si>
  <si>
    <t>Reynolds, AR (corresponding author), Dept Nat Hist Palaeobiol, Royal Ontario Museum, Toronto, ON, Canada.;Reynolds, AR (corresponding author), Univ Toronto, Dept Ecol &amp; Evolutionary Biol, Toronto, ON, Canada.</t>
  </si>
  <si>
    <t>hello@ashleyreynolds.ca</t>
  </si>
  <si>
    <t>Lowi-Merri, Talia/0000-0003-3926-5017</t>
  </si>
  <si>
    <t>Medicine Hat Buried Valley; NSERC Discovery Grant [RGPIN-2018-06788]; NSERC [PGS-D, PGSD3-547147-2020]; Ontario Graduate Scholarship</t>
  </si>
  <si>
    <t>Medicine Hat Buried Valley; NSERC Discovery Grant(Natural Sciences and Engineering Research Council of Canada (NSERC)); NSERC(Natural Sciences and Engineering Research Council of Canada (NSERC)); Ontario Graduate Scholarship(Ontario Graduate Scholarship)</t>
  </si>
  <si>
    <t>Acknowledgements The authors would like to express their sincere thanks to J. Meachen for access to geometric morphometric data for wolf specimens. A. MacS. Stalker was an instrumental collaborator in the description of the Medicine Hat Buried Valley and we are grateful for his work laying the foundation for this study. H. Johnson of the Medicine Hat Museum assisted with fieldwork in 1969 and found the specimen. S. Sugimoto of the ROM prepared the specimen, allowing for clarity in identifying landmarks. R. B. J. Benson provided valuable discussion of morphometric and statistical methods. We thank D. Dufault for photographing the Medicine Hat specimen. C. Jass and an anonymous reviewer gave comments that helped improve the manuscript. This research was supported by an NSERC Discovery Grant to D.C.E. (RGPIN-2018-06788), an NSERC PGS-D to T.M.L-M. (PGSD3-547147-2020), and an Ontario Graduate Scholarship to A.R.R.</t>
  </si>
  <si>
    <t>10.1002/jqs.3516</t>
  </si>
  <si>
    <t>N8NX0</t>
  </si>
  <si>
    <t>WOS:001039527400009</t>
  </si>
  <si>
    <t>Scholte, P; Kamgang, SA; Sabuhoro, E</t>
  </si>
  <si>
    <t>Scholte, P.; Kamgang, S. A.; Sabuhoro, E.</t>
  </si>
  <si>
    <t>Beyond the Big Five and Birds: Divergent ecotourism perspectives in rapidly changing Africa</t>
  </si>
  <si>
    <t>ANIMAL CONSERVATION</t>
  </si>
  <si>
    <t>[Scholte, P.] Deutsch Gesell Internatl Zusammenarbeit GIZ, Addis Ababa, Ethiopia; [Scholte, P.; Kamgang, S. A.] ERAIFT UNESCO, Kinshasa, DEM REP CONGO; [Kamgang, S. A.] Biodivers Environm &amp; Dev Durable, Garoua, Cameroon; [Sabuhoro, E.] Penn State Univ, Dept Recreat, Pk &amp; Tourism Management &amp; African Studies Program, State Coll, PA USA; [Scholte, P.] Nieuwe Teertuinen 12 C, NL-1013 LV Amsterdam, Netherlands</t>
  </si>
  <si>
    <t>Pennsylvania Commonwealth System of Higher Education (PCSHE); Pennsylvania State University</t>
  </si>
  <si>
    <t>Scholte, P (corresponding author), Nieuwe Teertuinen 12 C, NL-1013 LV Amsterdam, Netherlands.</t>
  </si>
  <si>
    <t>pault.scholte@gmail.com</t>
  </si>
  <si>
    <t>1367-9430</t>
  </si>
  <si>
    <t>1469-1795</t>
  </si>
  <si>
    <t>ANIM CONSERV</t>
  </si>
  <si>
    <t>Anim. Conserv.</t>
  </si>
  <si>
    <t>10.1111/acv.12891</t>
  </si>
  <si>
    <t>P7SR9</t>
  </si>
  <si>
    <t>WOS:001052640000003</t>
  </si>
  <si>
    <t>Seo, SK</t>
  </si>
  <si>
    <t>Seo, Shirley K.</t>
  </si>
  <si>
    <t>External Control Arms: We're Not on Cruise Control Yet</t>
  </si>
  <si>
    <t>CLINICAL PHARMACOLOGY &amp; THERAPEUTICS</t>
  </si>
  <si>
    <t>[Seo, Shirley K.] US FDA, Ctr Drug Evaluat &amp; Res, Div Cardiometab &amp; Endocrine Pharmacol, Off Clin Pharmacol,Off Translat Sci, Silver Spring, MD 20993 USA</t>
  </si>
  <si>
    <t>US Food &amp; Drug Administration (FDA)</t>
  </si>
  <si>
    <t>Seo, SK (corresponding author), US FDA, Ctr Drug Evaluat &amp; Res, Div Cardiometab &amp; Endocrine Pharmacol, Off Clin Pharmacol,Off Translat Sci, Silver Spring, MD 20993 USA.</t>
  </si>
  <si>
    <t>shirley.seo@fda.hhs.gov</t>
  </si>
  <si>
    <t>0009-9236</t>
  </si>
  <si>
    <t>1532-6535</t>
  </si>
  <si>
    <t>CLIN PHARMACOL THER</t>
  </si>
  <si>
    <t>Clin. Pharmacol. Ther.</t>
  </si>
  <si>
    <t>10.1002/cpt.2963</t>
  </si>
  <si>
    <t>Q0KJ4</t>
  </si>
  <si>
    <t>WOS:001054483300001</t>
  </si>
  <si>
    <t>Solomon, CU; Yang, W; Ye, S</t>
  </si>
  <si>
    <t>Solomon, Charles U.; Yang, Wei; Ye, Shu</t>
  </si>
  <si>
    <t>Effector Genes at the Coronary Artery Disease Risk Locus Harboring PDGFD and LncRNA AP002989.1</t>
  </si>
  <si>
    <t>atherosclerosis; coronary artery disease; genetics; long noncoding RNA; platelet-derived growth factor D; vascular smooth muscle cells</t>
  </si>
  <si>
    <t>[Ye, Shu] Natl Univ Singapore, 14 Med Dr, Singapore 117599, Singapore; [Solomon, Charles U.; Ye, Shu] Univ Leicester, Dept Cardiovasc Sci, Leicester, England; [Yang, Wei; Ye, Shu] Shantou Univ, Med Coll, Shantou, Peoples R China; [Ye, Shu] Natl Univ Singapore, Cardiovasc Metab Dis Translat Res Programme, Singapore, Singapore</t>
  </si>
  <si>
    <t>National University of Singapore; University of Leicester; Shantou University; National University of Singapore</t>
  </si>
  <si>
    <t>Ye, S (corresponding author), Natl Univ Singapore, 14 Med Dr, Singapore 117599, Singapore.</t>
  </si>
  <si>
    <t>shuye68@nus.edu.sg</t>
  </si>
  <si>
    <t>; Ye, Shu/R-6384-2017</t>
  </si>
  <si>
    <t>Solomon, Charles/0000-0002-6462-3384; Ye, Shu/0000-0002-4126-4278</t>
  </si>
  <si>
    <t>British Heart Foundation [RG/16/13/32609, RG/19/9/34655]; Singapore's National Medical Research Council [CIRG22jul-0002]; National University of Singapore and National University Health System [NUHSRO/2022/004/Startup/01]</t>
  </si>
  <si>
    <t>British Heart Foundation(British Heart Foundation); Singapore's National Medical Research Council(National Medical Research Council, Singapore); National University of Singapore and National University Health System</t>
  </si>
  <si>
    <t>This work was supported by the British Heart Foundation (RG/16/13/32609, RG/19/9/34655), Singapore's National Medical Research Council (CIRG22jul-0002), and National University of Singapore and National University Health System (NUHSRO/2022/004/Startup/01).</t>
  </si>
  <si>
    <t>e031012</t>
  </si>
  <si>
    <t>10.1161/JAHA.123.031012</t>
  </si>
  <si>
    <t>WOS:001041061200003</t>
  </si>
  <si>
    <t>Starrs, M; Acker, P</t>
  </si>
  <si>
    <t>Starrs, Mary; Acker, Peter</t>
  </si>
  <si>
    <t>Spontaneous coronary artery dissection: An uncommon cause of cardiac arrest in the young</t>
  </si>
  <si>
    <t>Spontaneous coronary artery dissection (SCAD) is a cause of acute coronary syndrome that frequently goes undiagnosed due to its rarity and variable presentation. Additionally, patients with SCAD are frequently young and relatively healthy; factors that may inadvertently lower clinical suspicion of serious pathology, thereby causing delayed or missed diagnosis and inadequate management. Our case report describes a young female who presents after cardiac arrest with inconclusive initial labs and diagnostic tests who was ultimately diagnosed with SCAD. Additionally, we briefly review the pathogenesis and risk factors, as well as the diagnostic and management recommendations for SCAD.</t>
  </si>
  <si>
    <t>[Starrs, Mary; Acker, Peter] Stanford Univ, Dept Emergency Med, Med Ctr, 900 Welch Rd,Suite 350, Palo Alto, CA 94304 USA</t>
  </si>
  <si>
    <t>Stanford University</t>
  </si>
  <si>
    <t>Starrs, M (corresponding author), Stanford Univ, Dept Emergency Med, Med Ctr, 900 Welch Rd,Suite 350, Palo Alto, CA 94304 USA.</t>
  </si>
  <si>
    <t>mstarrs@stanford.edu</t>
  </si>
  <si>
    <t>Acker, Peter/0000-0002-8783-9428</t>
  </si>
  <si>
    <t>e13000</t>
  </si>
  <si>
    <t>10.1002/emp2.13000</t>
  </si>
  <si>
    <t>K8MG9</t>
  </si>
  <si>
    <t>WOS:001018918000001</t>
  </si>
  <si>
    <t>Stefánsson, E; Kaarniranta, K</t>
  </si>
  <si>
    <t>Stefansson, Einar; Kaarniranta, Kai</t>
  </si>
  <si>
    <t>This issue of ACTA</t>
  </si>
  <si>
    <t>10.1111/aos.15723</t>
  </si>
  <si>
    <t>L9BC4</t>
  </si>
  <si>
    <t>WOS:001026134500001</t>
  </si>
  <si>
    <t>Sun, XX; Sun, YR; Cao, SM; Liu, XL</t>
  </si>
  <si>
    <t>Sun, Xinxin; Sun, Yaru; Cao, Sumin; Liu, Xueli</t>
  </si>
  <si>
    <t>Effects of N-acetyl-L-cysteine polysulfides on periodontitis in a mouse model</t>
  </si>
  <si>
    <t>inflammation; NAC-S2; NF-kappa B; periodontitis; TLR4</t>
  </si>
  <si>
    <t>TOLL</t>
  </si>
  <si>
    <t>Background: Polysulfides are reported to be involved in various important biological processes. N-acetyl-L-cysteine polysulfide with 2 sulfane sulfur atoms (NAC-S2) regulates diverse toll-like receptor (TLR) signaling pathways. Here, we aimed to determine the role of NAC-S2 in periodontitis and explore the potential mechanism. Methods: A periodontitis mouse model was established by ligating the subgingival between the first and second molars in wild-type, TLR4(-/-), and Myd88(-/-) mice. Results: NAC-S2 did not affect the proportion of macrophages (CD11b(+)F4/80(+)) or neutrophils (CD11b(+)GR-1(+)) in the bone marrow. Mechanically, lipopolysaccharides (LPS), Zymosan A, or poly I: C induced tumor necrosis factor (TNF), interleukin (IL)-6, and IL-1 beta expression in bone marrow-derived macrophages (BMDMs) could be inhibited by NAC-S2. On the other hand, NAC-S2 suppressed the phosphorylation levels of I kappa B-alpha, p65, and I kappa B kinase (IKK)-beta induced by LPS in BMDMs, while LPS induced phosphorylation of ERK1/2, p38, and transforming growth factor beta-activated kinase 1 (TAK1) could not be affected by NAC-S2. In wild-type periodontitis mice, NAC-S2 administration decreased the cementoenamel-junction-alveolar bone crest (CEJ-ABC) distance and the relative mRNA expression of TNF, IL-6, and IL-1 beta, while such phenomena could not be observed in TLR4 deficiency or Myd88 deficiency mice. Conclusions: All of these results indicate that NAC-S2 ameliorates TLR4/NF.B pathway mediated inflammation in mouse periodontitis model.</t>
  </si>
  <si>
    <t>[Sun, Xinxin] Hejian Hosp Tradit Chinese Med, Cangzhou Cent Hosp Med Grp, Dent Dept, Cangzhou, Hebei, Peoples R China; [Sun, Yaru; Cao, Sumin; Liu, Xueli] Cangzhou Cent Hosp, Dent Clin, Cangzhou, Hebei, Peoples R China; [Sun, Xinxin] Hejian Hosp Tradit Chinese Med, Cangzhou Cent Hosp Med Grp, Dent Dept, Cangzhou 062450, Hebei, Peoples R China</t>
  </si>
  <si>
    <t>Sun, XX (corresponding author), Hejian Hosp Tradit Chinese Med, Cangzhou Cent Hosp Med Grp, Dent Dept, Cangzhou 062450, Hebei, Peoples R China.</t>
  </si>
  <si>
    <t>sunxinxin1988@163.com</t>
  </si>
  <si>
    <t>e959</t>
  </si>
  <si>
    <t>10.1002/iid3.959</t>
  </si>
  <si>
    <t>O5QS3</t>
  </si>
  <si>
    <t>WOS:001044359900001</t>
  </si>
  <si>
    <t>Sung, JY; Cheong, JH</t>
  </si>
  <si>
    <t>Sung, Ji-Yong; Cheong, Jae-Ho</t>
  </si>
  <si>
    <t>Gene signature related to cancer stem cells and fibroblasts of stem-like gastric cancer predicts immunotherapy response</t>
  </si>
  <si>
    <t>[Sung, Ji-Yong] Inst for Basic Sci Korea, Ctr Genome Engn, 55 Expo Ro, Daejeon 34126, South Korea; [Cheong, Jae-Ho] Yonsei Univ, Dept Surg, Coll Med, Seoul 03722, South Korea</t>
  </si>
  <si>
    <t>Institute for Basic Science - Korea (IBS); Yonsei University; Yonsei University Health System</t>
  </si>
  <si>
    <t>Sung, JY (corresponding author), Inst for Basic Sci Korea, Ctr Genome Engn, 55 Expo Ro, Daejeon 34126, South Korea.;Cheong, JH (corresponding author), Yonsei Univ, Dept Surg, Coll Med, Seoul 03722, South Korea.</t>
  </si>
  <si>
    <t>5rangepineapple@gmail.com; jhcheong@yuhs.ac</t>
  </si>
  <si>
    <t>Sung, Ji-Yong/0000-0002-8397-1691</t>
  </si>
  <si>
    <t>National Ramp;D Program for Cancer Control, Ministry of Health and Welfare, Republic of Korea [HA22C0050]</t>
  </si>
  <si>
    <t>ACKNOWLEDGEMENTS This work was supported by a grant from the National R &amp; D Program for Cancer Control, Ministry of Health and Welfare, Republic of Korea (HA22C0050).</t>
  </si>
  <si>
    <t>10.1002/ctm2.1347</t>
  </si>
  <si>
    <t>N5RA7</t>
  </si>
  <si>
    <t>WOS:001037570300001</t>
  </si>
  <si>
    <t>Toriumi, T; Ohmori, H; Nagasaki, Y</t>
  </si>
  <si>
    <t>Toriumi, Takuto; Ohmori, Hajime; Nagasaki, Yukio</t>
  </si>
  <si>
    <t>Design of Antioxidant Nanoparticle, which Selectively Locates and Scavenges Reactive Oxygen Species in the Gastrointestinal Tract, Increasing The Running Time of Mice</t>
  </si>
  <si>
    <t>exercise-induced gastrointestinal syndrome; high-intensity running; leaky gut; polymeric nanoparticle antioxidants; reactive oxygen species</t>
  </si>
  <si>
    <t>INDUCED OXIDATIVE STRESS; INDUCED MUSCLE DAMAGE; REDOX NANOPARTICLES; GUT-MICROBIOTA; EXERCISE; SUPPLEMENTATION; LIPOPOLYSACCHARIDE; MECHANISMS; COLITIS; MUCOSA</t>
  </si>
  <si>
    <t>Excess reactive oxygen species (ROS) produced during strong or unfamiliar exercise cause exercise-induced gastrointestinal syndrome (EIGS), leading to poor health and decreased exercise performance. The application of conventional antioxidants can neither ameliorate EIGS nor improve exercise performance because of their rapid elimination and severe side effects on the mitochondria. Hence, a self-assembling nanoparticle-type antioxidant (RNPO) that is selectively located in the gastrointestinal (GI) tract for an extended time after oral administration is developed. Interestingly, orally administered RNPO significantly enhances the running time until exhaustion in mice with increasing dosage, whereas conventional antioxidants (TEMPOL) tends to reduce the running time with increasing dosage. The running (control) and TEMPOL groups show severe damage in the GI tract and increased plasma lipopolysaccharide (LPS) levels after 80 min of running, resulting in fewer red blood cells (RBCs) and severe damage to the skeletal muscles and liver. However, the RNPO group is protected against GI tract damage and elevation of plasma LPS levels, similar to the nonrunning (sedentary) group, which prevents damage to the whole body, unlike in the control and TEMPOL groups. Based on these results, it is concluded that continuous scavenging of excessive intestinal ROS protects against gut damage and further improves exercise performance.</t>
  </si>
  <si>
    <t>[Toriumi, Takuto; Nagasaki, Yukio] Univ Tsukuba, Fac Pure &amp; Appl Sci, Dept Mat Sci, 1-1-1 Tennoudai, Tsukuba, Ibaraki 3058573, Japan; [Ohmori, Hajime] Univ Tsukuba, 1-1-1 Tennoudai, Tsukuba, Ibaraki 3058573, Japan; [Ohmori, Hajime] Jobu Univ, Fac Business Informat Sci, Toyazukamachi 634-1, Isesaki, Gunma 3728588, Japan; [Nagasaki, Yukio] Univ Tsukuba, Masters Sch Med Sci, Grad Sch Comprehens Human Sci, Tennoudai 1-1-1, Tsukuba, Ibaraki 3058573, Japan; [Nagasaki, Yukio] Univ Tsukuba, Ctr Res Radiat Isotope &amp; Earth Syst Sci CRiES, Tennoudai 1-1-1, Tsukuba, Ibaraki 3058573, Japan; [Nagasaki, Yukio] Univ Tokyo, Grad Sch Sci, Dept Chem, Hongo 7-3-1,Bunkyo Ku, Tokyo 1138654, Japan</t>
  </si>
  <si>
    <t>University of Tsukuba; University of Tsukuba; University of Tsukuba; University of Tsukuba; University of Tokyo</t>
  </si>
  <si>
    <t>Nagasaki, Y (corresponding author), Univ Tsukuba, Fac Pure &amp; Appl Sci, Dept Mat Sci, 1-1-1 Tennoudai, Tsukuba, Ibaraki 3058573, Japan.;Nagasaki, Y (corresponding author), Univ Tsukuba, Masters Sch Med Sci, Grad Sch Comprehens Human Sci, Tennoudai 1-1-1, Tsukuba, Ibaraki 3058573, Japan.;Nagasaki, Y (corresponding author), Univ Tsukuba, Ctr Res Radiat Isotope &amp; Earth Syst Sci CRiES, Tennoudai 1-1-1, Tsukuba, Ibaraki 3058573, Japan.;Nagasaki, Y (corresponding author), Univ Tokyo, Grad Sch Sci, Dept Chem, Hongo 7-3-1,Bunkyo Ku, Tokyo 1138654, Japan.</t>
  </si>
  <si>
    <t>happyhusband@nagalabo.jp</t>
  </si>
  <si>
    <t>Ohmori, Hajime/0000-0002-1598-7480; Toriumi, Takuto/0000-0003-3458-852X</t>
  </si>
  <si>
    <t>Ministry of Education, Culture, Sports, Science and Technology (MEXT) [19H05458, 22J11887]</t>
  </si>
  <si>
    <t>Ministry of Education, Culture, Sports, Science and Technology (MEXT)(Ministry of Education, Culture, Sports, Science and Technology, Japan (MEXT))</t>
  </si>
  <si>
    <t>Acknowledgements This work was partly supported by a Grant-in-Aid for Specially Promoted Research (19H05458, 22J11887) from the Ministry of Education, Culture, Sports, Science and Technology (MEXT). The authors thank Mr. N. Saigo and Ms. K. Hirano for their continuous experimental support.</t>
  </si>
  <si>
    <t>10.1002/advs.202301159</t>
  </si>
  <si>
    <t>N6WD6</t>
  </si>
  <si>
    <t>WOS:001038382300001</t>
  </si>
  <si>
    <t>Wagner, Y; Volkov, M; Nadal-Sala, D; Ruehr, NK; Hochberg, U; Klein, T</t>
  </si>
  <si>
    <t>Wagner, Yael; Volkov, Mila; Nadal-Sala, Daniel; Ruehr, Nadine Katrin; Hochberg, Uri; Klein, Tamir</t>
  </si>
  <si>
    <t>Relationships between xylem embolism and tree functioning during drought, recovery, and recurring drought in Aleppo pine</t>
  </si>
  <si>
    <t>GAS-EXCHANGE RECOVERY; HYDRAULIC CONDUCTANCE; MORTALITY; WATER; FOREST; PRESSURE; FAILURE; STRESS</t>
  </si>
  <si>
    <t>Recent findings suggest that trees can survive high levels of drought-induced xylem embolism. In many cases, the embolism is irreversible and, therefore, can potentially affect post-drought recovery and tree function under recurring droughts. We examined the development of embolism in potted Aleppo pines, a common species in hot, dry Mediterranean habitats. We asked (1) how post-drought recovery is affected by different levels of embolism and (2) what consequences this drought-induced damage has under a recurring drought scenario. Young trees were dehydrated to target water potential (Psi(x) ) values of -3.5, -5.2 and -9.5 MPa (which corresponded to similar to 6%, similar to 41% and similar to 76% embolism), and recovery of the surviving trees was measured over an 8-months period (i.e., embolism, leaf gas-exchange, Psi(x) ). An additional group of trees was exposed to Psi(x) of -6.0 MPa, either with or without preceding drought (Psi(x) of -5.2 MPa) to test the effect of hydraulic damage during repeated drought. Trees that reached -9.5 MPa died, but none from the other groups. Embolism levels in dying trees were on average 76% of conductive xylem and no tree was dying below 62% embolism. Stomatal recovery was negatively proportional to the level of hydraulic damage sustained during drought, for at least a month after drought relief. Trees that experienced drought for the second time took longer to reach fatal Psi(x) levels than first-time dehydrating trees. Decreased stomatal conductance following drought can be seen as drought legacy, impeding recovery of tree functioning, but also as a safety mechanism during a consecutive drought.</t>
  </si>
  <si>
    <t>[Wagner, Yael; Volkov, Mila; Klein, Tamir] Weizmann Inst Sci, Dept Plant &amp; Environm Sci, Rehovot, Israel; [Nadal-Sala, Daniel; Ruehr, Nadine Katrin] Karlsruhe Inst Technol KIT, Inst Meteorol &amp; Climate Res IMK IFU, KIT Campus Alpin, Garmisch Partenkirchen, Germany; [Nadal-Sala, Daniel] Ctr Recerca Ecol &amp; Aplicac Forestals CREAF, Campus Bellaterra UAB,Edifici C, Cerdanyola Del Valles, Spain; [Hochberg, Uri] Agr Res Org, Volcani Ctr, Inst Soil Water &amp; Environm Sci, Rishon Leziyyon, Israel; [Klein, Tamir] Weizmann Inst Sci, Dept Plant &amp; Environm Sci, 234 Herzl St, IL-76100 Rehovot, Israel</t>
  </si>
  <si>
    <t>Weizmann Institute of Science; Helmholtz Association; Karlsruhe Institute of Technology; Centro de Investigacion Ecologica y Aplicaciones Forestales (CREAF-CERCA); VOLCANI INSTITUTE OF AGRICULTURAL RESEARCH; Weizmann Institute of Science</t>
  </si>
  <si>
    <t>Klein, T (corresponding author), Weizmann Inst Sci, Dept Plant &amp; Environm Sci, 234 Herzl St, IL-76100 Rehovot, Israel.</t>
  </si>
  <si>
    <t>tamir.klein@weizmann.ac.il</t>
  </si>
  <si>
    <t>Nadal-Sala, Daniel/AAC-2904-2020</t>
  </si>
  <si>
    <t>Nadal-Sala, Daniel/0000-0002-0935-6201</t>
  </si>
  <si>
    <t>The authors wish to thank the German Israeli Foundation (grant #1539) and to the Weizmann Institute greenhouse team. Yael Wagner wishes to thank the Weizmann Sustainability and Energy Initiative (SAERI). Uri Hochberg and Tamir Klein wish to thank the Israe [ISF1535/19]; German Israeli Foundation; Weizmann Sustainability and Energy Initiative (SAERI) [W2/W3-156]; Israel Science Foundation; Helmholtz Initiative and Networking fund; [1539]</t>
  </si>
  <si>
    <t>The authors wish to thank the German Israeli Foundation (grant #1539) and to the Weizmann Institute greenhouse team. Yael Wagner wishes to thank the Weizmann Sustainability and Energy Initiative (SAERI). Uri Hochberg and Tamir Klein wish to thank the Israe; German Israeli Foundation(German-Israeli Foundation for Scientific Research and Development); Weizmann Sustainability and Energy Initiative (SAERI); Israel Science Foundation(Israel Science Foundation); Helmholtz Initiative and Networking fund(Helmholtz Association);</t>
  </si>
  <si>
    <t>The authors wish to thank the German Israeli Foundation (grant #1539) and to the Weizmann Institute greenhouse team. Yael Wagner wishes to thank the Weizmann Sustainability and Energy Initiative (SAERI). Uri Hochberg and Tamir Klein wish to thank the Israel Science Foundation (grant #ISF1535/19). Nadine Katrin Ruehr acknowledges funding through the Helmholtz Initiative and Networking fund (W2/W3-156).</t>
  </si>
  <si>
    <t>e13995</t>
  </si>
  <si>
    <t>10.1111/ppl.13995</t>
  </si>
  <si>
    <t>Q6SZ8</t>
  </si>
  <si>
    <t>WOS:001058816700001</t>
  </si>
  <si>
    <t>Walters, B; Jacob, MV; Amirsoleimani, A; Azghadi, MR</t>
  </si>
  <si>
    <t>Walters, Ben; Jacob, Mohan V.; Amirsoleimani, Amirali; Azghadi, Mostafa Rahimi</t>
  </si>
  <si>
    <t>A Review of Graphene-Based Memristive Neuromorphic Devices and Circuits</t>
  </si>
  <si>
    <t>graphene; memristors; neuromorphic; neurons; spiking neural networks; synapses</t>
  </si>
  <si>
    <t>SPIKING NEURAL-NETWORK; MAGNETIC TUNNEL-JUNCTION; PHASE-CHANGE MEMORY; ARTIFICIAL NEURON; SYNAPTIC PLASTICITY; CARBON NANOTUBES; SILICON-CARBIDE; CATALYST-FREE; HIGH-QUALITY; OXIDE</t>
  </si>
  <si>
    <t>As data processing volume increases, the limitations of traditional computers and the need for more efficient computing methods become evident. Neuromorphic computing mimics the brain's low-power and high-speed computations, making it crucial in the era of big data and artificial intelligence. One significant development in this field is the memristor, a device that exhibits neuromorphic tendencies. The performance of memristive devices and circuits relies on the materials used, with graphene being a promising candidate due to its unique properties. Researchers are investigating graphene-based memristors for large-scale, sustainable fabrication. Herein, progress in the development of graphene-based memristive neuromorphic devices and circuits is highlighted. Graphene and its common fabrication methods are discussed. The fabrication and production of graphene-based memristive devices are reviewed and comparisons are provided among graphene- and nongraphene-based memristive devices. Next, a detailed synthesis of the devices utilizing graphene-based memristors is provided to implement the basic building blocks of neuromorphic architectures, that is, synapses, and neurons. This is followed by reviewing studies building graphene memristive spiking neural networks (SNNs). Finally, insights on the prospects of graphene-based neuromorphic memristive systems including their device- and network-level challenges and opportunities are given.</t>
  </si>
  <si>
    <t>[Walters, Ben; Jacob, Mohan V.; Azghadi, Mostafa Rahimi] James Cook Univ, Coll Sci &amp; Engn, Townsville, Qld 4814, Australia; [Amirsoleimani, Amirali] York Univ, Dept Elect Engn &amp; Comp Sci, Toronto, ON M3J 1P3, Canada</t>
  </si>
  <si>
    <t>James Cook University; York University - Canada</t>
  </si>
  <si>
    <t>Azghadi, MR (corresponding author), James Cook Univ, Coll Sci &amp; Engn, Townsville, Qld 4814, Australia.</t>
  </si>
  <si>
    <t>mostafa.rahimiazghadi@jcu.edu.au</t>
  </si>
  <si>
    <t>Australian Government Domestic Research Training Program Scholarship (DRTPS)</t>
  </si>
  <si>
    <t>Australian Government Domestic Research Training Program Scholarship (DRTPS)(Australian Government)</t>
  </si>
  <si>
    <t>Ben Walters acknowledges the Australian Government Domestic Research Training Program Scholarship (DRTPS). Open access publishing facilitated by James Cook University, as part of the Wiley - James Cook University agreement via the Council of Australian University Librarians.</t>
  </si>
  <si>
    <t>10.1002/aisy.202300136</t>
  </si>
  <si>
    <t>O0FU7</t>
  </si>
  <si>
    <t>WOS:001040673300001</t>
  </si>
  <si>
    <t>Wang, MY; Gong, K; Zhu, XR; Chen, SS; Zhou, J; Zhang, H; Han, JH; Ma, LK; Duan, YJ</t>
  </si>
  <si>
    <t>Wang, Mengyao; Gong, Ke; Zhu, Xinran; Chen, Shasha; Zhou, Jie; Zhang, Hui; Han, Jihong; Ma, Likun; Duan, Yajun</t>
  </si>
  <si>
    <t>Identification of circulating T-cell immunoglobulin and mucin domain 4 as a potential biomarker for coronary heart disease</t>
  </si>
  <si>
    <t>ADAM17; coronary heart disease; inflammation; p38; TIMD4</t>
  </si>
  <si>
    <t>DOWN-REGULATION; RECEPTOR; NKG2D; ATHEROSCLEROSIS; EXPRESSION; PROTEINS; CLEAVAGE; METALLOPROTEASES; EFFEROCYTOSIS; DISINTEGRIN</t>
  </si>
  <si>
    <t>Efferocytosis, the process of engulfing and removing apoptotic cells, is attenuated in vulnerable plaques of advanced atherosclerosis. T-cell immunoglobulin and mucin domain 4 (TIMD4) is a recognition receptor protein for efferocytosis that has been implicated in atherosclerosis mouse models. However, the role of serum-soluble TIMD4 (sTIMD4) in coronary heart disease (CHD) remains unknown. In this study, we analyzed serum samples collected from two groups: Group 1 (36 healthy controls and 70 CHD patients) and Group 2 (44 chronic coronary syndrome [CCS]) and 81 acute coronary syndrome [ACS] patients). We found that sTIMD4 levels in patients with CHD were significantly higher than those in healthy controls and were also higher in ACS than in CCS patients. The area under the receiver operating characteristic curve was 0.787. Furthermore, our in vitro results showed that low-density lipoprotein/lipopolysaccharide activated p38 mitogen-activated protein kinase, which in turn enhanced a disintegrin and metalloproteinase 17, resulting in increased secretion of sTIMD4. This impairment of macrophage efferocytosis promoted inflammation. Thus, this study is not only the first identification of a potential novel biomarker of CHD, sTIMD4, but also demonstrated its pathogenesis mechanism, providing a new direction for the diagnosis and treatment of CHD.</t>
  </si>
  <si>
    <t>[Wang, Mengyao; Gong, Ke; Zhu, Xinran; Chen, Shasha; Zhou, Jie; Han, Jihong] Hefei Univ Technol, Anhui Higher Educ Inst, Coll Food &amp; Biol Engn, Key Lab Metab &amp; Regulat Major Dis, Hefei, Peoples R China; [Zhang, Hui; Ma, Likun; Duan, Yajun] Univ Sci &amp; Technol China, Affiliated Hosp USTC 1, Dept Cardiol, Div Life Sci &amp; Med, Hefei, Peoples R China; [Han, Jihong] Nankai Univ, Coll Life Sci, Key Lab Bioact Mat Minist Educ, State Key Lab Med Chem Biol, Tianjin, Peoples R China; [Ma, Likun] Univ Sci &amp; Technol China, Affiliated Hosp USTC 1, Dept Cardiol, Div Life Sci &amp; Med, Hefei 230001, Auhui, Peoples R China; [Duan, Yajun] Univ Sci &amp; Technol China, Affiliated Hosp USTC 1, Dept Cardiol, Div Life Sci &amp; Med, Hefei 230001, Auhui, Peoples R China</t>
  </si>
  <si>
    <t>Hefei University of Technology; Chinese Academy of Sciences; University of Science &amp; Technology of China, CAS; Nankai University; Chinese Academy of Sciences; University of Science &amp; Technology of China, CAS; Chinese Academy of Sciences; University of Science &amp; Technology of China, CAS</t>
  </si>
  <si>
    <t>Ma, LK (corresponding author), Univ Sci &amp; Technol China, Affiliated Hosp USTC 1, Dept Cardiol, Div Life Sci &amp; Med, Hefei 230001, Auhui, Peoples R China.;Duan, YJ (corresponding author), Univ Sci &amp; Technol China, Affiliated Hosp USTC 1, Dept Cardiol, Div Life Sci &amp; Med, Hefei 230001, Auhui, Peoples R China.</t>
  </si>
  <si>
    <t>lkma@ustc.edu.cn; yajunduan@ustc.edu.cn</t>
  </si>
  <si>
    <t>Sakura, yoyo/IYJ-3608-2023</t>
  </si>
  <si>
    <t>Sakura, yoyo/0000-0002-0420-8496</t>
  </si>
  <si>
    <t>National Natural Science Foundation of China [82173807, 81973316, 81870192]; Tianjin Municipal Science and Technology Commission of China [20JCZDJC00710]; Fundamental Research Funds for the Central Universities (Nankai University) [63211045]; Joint Funds of the National Natural Science Foundation of China [U22A20272]</t>
  </si>
  <si>
    <t>National Natural Science Foundation of China(National Natural Science Foundation of China (NSFC)); Tianjin Municipal Science and Technology Commission of China; Fundamental Research Funds for the Central Universities (Nankai University); Joint Funds of the National Natural Science Foundation of China(National Natural Science Foundation of China (NSFC))</t>
  </si>
  <si>
    <t>The National Natural Science Foundation of China, Grant/Award Numbers: 82173807, 81973316, 81870192; Tianjin Municipal Science and Technology Commission of China, Grant/Award Number: 20JCZDJC00710; Fundamental Research Funds for the Central Universities (Nankai University), Grant/Award Number: 63211045; The Joint Funds of the National Natural Science Foundation of China, Grant/Award Number: U22A20272</t>
  </si>
  <si>
    <t>e320</t>
  </si>
  <si>
    <t>10.1002/mco2.320</t>
  </si>
  <si>
    <t>M5EP2</t>
  </si>
  <si>
    <t>WOS:001030450200001</t>
  </si>
  <si>
    <t>Wang, XM; Ma, SL; Zhao, B; Deng, GX; She, HY; Xu, KL; Hao, LP; Deng, YM; Li, Q; Yu, ZR; Zhu, XP</t>
  </si>
  <si>
    <t>Wang, Xiaomin; Ma, Shaolin; Zhao, Bing; Deng, Ganxiu; She, Huiyuan; Xu, Kailiang; Hao, Lipeng; Deng, Yiming; Li, Qiang; Yu, Zuoren; Zhu, Xiaoping</t>
  </si>
  <si>
    <t>Correlations between the viral loads and symptoms in the SARS-CoV-2-infected patients</t>
  </si>
  <si>
    <t>[Wang, Xiaomin; Ma, Shaolin; Deng, Ganxiu; Deng, Yiming; Li, Qiang; Yu, Zuoren; Zhu, Xiaoping] Tongji Univ, Shanghai East Hosp, Sch Med, Dept Respirat, Shanghai, Peoples R China; [Zhao, Bing; Hao, Lipeng] Shanghai Pudong Ctr Dis Control &amp; Prevent, Microbiol testing Lab, Shanghai, Peoples R China; [She, Huiyuan] Shanghai Pudong Gongli Hosp, Dept Infect Dis, Shanghai, Peoples R China; [Xu, Kailiang] Shanghai Seventh Peoples Hosp, Dept Respirat, Shanghai, Peoples R China; [Li, Qiang; Yu, Zuoren; Zhu, Xiaoping] Tongji Univ, Shanghai East Hosp, Sch Med, Shanghai, Peoples R China</t>
  </si>
  <si>
    <t>Tongji University; Shanghai Center for Disease Control &amp; Prevention; Tongji University</t>
  </si>
  <si>
    <t>Li, Q; Yu, ZR; Zhu, XP (corresponding author), Tongji Univ, Shanghai East Hosp, Sch Med, Shanghai, Peoples R China.</t>
  </si>
  <si>
    <t>liqressh@hotmail.com; zuoren.yu@tongji.edu.cn; z_xping@hotmail.com</t>
  </si>
  <si>
    <t>LU, Li/JFJ-9011-2023; liu, lin/JFK-3401-2023; Wang, Yi/JFA-8618-2023</t>
  </si>
  <si>
    <t>Wang, Yi/0000-0003-2882-8777</t>
  </si>
  <si>
    <t>e324</t>
  </si>
  <si>
    <t>10.1002/mco2.324</t>
  </si>
  <si>
    <t>L4FT4</t>
  </si>
  <si>
    <t>WOS:001022839700001</t>
  </si>
  <si>
    <t>Wu, F; Wang, SL; Cao, W; Long, T; Liang, YW; Fernandez, C</t>
  </si>
  <si>
    <t>Wu, Fan; Wang, Shunli; Cao, Wen; Long, Tao; Liang, Yawen; Fernandez, Carlos</t>
  </si>
  <si>
    <t>An improved long short-term memory based on global optimization square root extended Kalman smoothing algorithm for collaborative state of charge and state of energy estimation of lithium-ion batteries</t>
  </si>
  <si>
    <t>collaborative estimation; long short-term memory; square root extended Kalman smoothing; state of charge; state of energy</t>
  </si>
  <si>
    <t>FILTER-BASED STATE</t>
  </si>
  <si>
    <t>State of charge and state of energy are essential performance indicators of the battery management system and the key to reflecting the remaining capacity of batteries. Aiming at the problems of low precision, long time, and strongly nonlinear system estimation of state of charge and state of energy of lithium-ion batteries based on traditional algorithm under complex working conditions, this paper proposes a hybrid method consisting of the long short-term memory neural network and square root extended Kalman smoothing. The long short-term memory neural network can enhance the memory ability of the previous time data. The sliding window technology is introduced into the network to improve the correlation between the last time and the subsequent time estimation. Based on the traditional Kalman filtering algorithm, the square root and reverse smoothing algorithms are introduced to solve the risk of the negative covariance matrix and the problems of slow convergence and significant estimation deviation caused by a strongly nonlinear system. According to experiments, under the hybrid pulse power characterization working condition at 25 &amp; DEG;C, the maximum absolute errors of state of charge and state of energy are 1.779% and 1.487%, and the mean absolute errors are 0.352% and 0.894%, respectively. Under the Beijing bus dynamic stress test working condition at 25 &amp; DEG;C, the maximum absolute errors of state of charge and state of energy are 2.703% and 2.369%, and the mean absolute errors are 0.462% and 0.621%, respectively. The experimental results show that this algorithm can obtain reliable state of charge and state of energy under different complex working conditions with high accuracy, convergence, and robustness.</t>
  </si>
  <si>
    <t>[Wu, Fan; Wang, Shunli; Cao, Wen; Long, Tao; Liang, Yawen] Southwest Univ Sci &amp; Technol, Sch Informat Engn, Mianyang 621010, Peoples R China; [Wu, Fan; Wang, Shunli; Long, Tao; Liang, Yawen] Sichuan Univ, Coll Elect Engn, Chengdu 610065, Peoples R China; [Fernandez, Carlos] Robert Gordon Univ, Sch Pharm &amp; Life Sci, Aberdeen AB10 7GJ, Scotland</t>
  </si>
  <si>
    <t>Southwest University of Science &amp; Technology - China; Sichuan University; Robert Gordon University</t>
  </si>
  <si>
    <t>Wang, SL (corresponding author), Southwest Univ Sci &amp; Technol, Sch Informat Engn, Mianyang 621010, Peoples R China.</t>
  </si>
  <si>
    <t>wangshunli@swust.edu.cn</t>
  </si>
  <si>
    <t>Liang, Yawen/GMX-1547-2022; Wang, Shunli/AAR-6882-2020</t>
  </si>
  <si>
    <t>Fernandez, Carlos/0000-0001-6588-9590; Wang, Shunli/0000-0003-0485-8082</t>
  </si>
  <si>
    <t>National Natural Science Foundation of China [62173281, 61801407]</t>
  </si>
  <si>
    <t>ACKNOWLEDGMENTS The work was supported by National Natural Science Foundation of China (No. 62173281, 61801407).</t>
  </si>
  <si>
    <t>10.1002/cta.3624</t>
  </si>
  <si>
    <t>O3LQ7</t>
  </si>
  <si>
    <t>WOS:001042870500020</t>
  </si>
  <si>
    <t>Xing, T; Nanni, G; Burkholder, CR; Browning, KN; Travagli, RA</t>
  </si>
  <si>
    <t>Xing, T.; Nanni, G.; Burkholder, C. R.; Browning, K. N.; Travagli, R. A.</t>
  </si>
  <si>
    <t>Uncovering impaired nigro-vagal modulation of the proximal colon in a rat model of environmental Parkinson's disease</t>
  </si>
  <si>
    <t>[Xing, T.; Nanni, G.; Burkholder, C. R.; Browning, K. N.] Penn State Coll Med, Dept Neural &amp; Behav Sci, Hershey, PA USA; [Travagli, R. A.] Neurobiol Res, Newport, NC USA</t>
  </si>
  <si>
    <t>Pennsylvania Commonwealth System of Higher Education (PCSHE); Pennsylvania State University; Penn State Health</t>
  </si>
  <si>
    <t>WOS:001058869800015</t>
  </si>
  <si>
    <t>Yoshida, M; Inaba, T; Shibuya, Y; Igarashi, M; Kigoshi, H</t>
  </si>
  <si>
    <t>Yoshida, Masahito; Inaba, Tetsuya; Shibuya, Yuko; Igarashi, Masayuki; Kigoshi, Hideo</t>
  </si>
  <si>
    <t>Concise Total Synthesis and Biological Evaluation of Pargamicin A and its Diastereomer, Piperazic Acid-containing Cyclopeptides</t>
  </si>
  <si>
    <t>CHEMPLUSCHEM</t>
  </si>
  <si>
    <t>Total Synthesis; Natural product; Cyclopeptide; Antibiotics</t>
  </si>
  <si>
    <t>PEPTIDE; ASSIGNMENT; CHLOPTOSIN; DISCOVERY; CHLORIDES; NW-G01</t>
  </si>
  <si>
    <t>We have accomplished the total synthesis, structure determination, and biological evaluation of pargamicin A and one of its diastereomers. Two key tripeptide segments were synthesized using a linear peptide elongation process that includes the direct coupling of a poorly nucleophilic piperazic acid derivative. The resulting tripeptides were coupled using triphosgene/collidine at ambient temperature leading to a precursor for the final cyclization step. T3P-promoted macrolactamization under high-dilution conditions, followed by the removal of the benzyl protecting group was used to furnish two putative structures of pargamicin A. Comparison of the H-1 and C-13 NMR spectra and the antibacterial activity of the natural and synthetic products successfully revealed that the absolute configuration of the N-hydroxy-Ile residue of pargamicin A is 2S,3S. A biological evaluation of synthetically obtained pargamicin A and its diastereomer suggested that the stereostructure of the cyclic peptide scaffold of the natural product plays a crucial role in determining the strength of its antibacterial activity.</t>
  </si>
  <si>
    <t>[Yoshida, Masahito; Inaba, Tetsuya; Kigoshi, Hideo] Univ Tsukuba, Grad Sch Sci &amp; Technol, Degree Programs Pure &amp; Appl Sci, 1-1-1 Tennodai, Tsukuba, Ibaraki 3058571, Japan; [Yoshida, Masahito; Kigoshi, Hideo] Univ Tsukuba, Fac Pure &amp; Appl Sci, Dept Chem, 1-1-1 Tennodai, Tsukuba, Ibaraki 3058571, Japan; [Kigoshi, Hideo] Univ Tsukuba, Alliance Res Mediterranean &amp; North Afr ARENA, 1-1-1 Tennodai, Tsukuba, Ibaraki 3058571, Japan; [Shibuya, Yuko; Igarashi, Masayuki] Inst Microbial Chem BIKAKEN, 3-14-23 Kamiosaki,Shinagawa Ku, Tokyo 1410021, Japan</t>
  </si>
  <si>
    <t>University of Tsukuba; University of Tsukuba; University of Tsukuba</t>
  </si>
  <si>
    <t>Yoshida, M (corresponding author), Univ Tsukuba, Grad Sch Sci &amp; Technol, Degree Programs Pure &amp; Appl Sci, 1-1-1 Tennodai, Tsukuba, Ibaraki 3058571, Japan.</t>
  </si>
  <si>
    <t>masahito@chem.tsukuba.ac.jp</t>
  </si>
  <si>
    <t>Yoshida, Masahito/K-6636-2019</t>
  </si>
  <si>
    <t>Yoshida, Masahito/0000-0002-0252-7637</t>
  </si>
  <si>
    <t>JSPS KAKENHI [20H02865, 21KK0099, 22H02207]; Tokyo Biochemical Research Foundation; Naito Foundation; University of Tsukuba</t>
  </si>
  <si>
    <t>JSPS KAKENHI(Ministry of Education, Culture, Sports, Science and Technology, Japan (MEXT)Japan Society for the Promotion of ScienceGrants-in-Aid for Scientific Research (KAKENHI)); Tokyo Biochemical Research Foundation; Naito Foundation(Naito Memorial Foundation); University of Tsukuba</t>
  </si>
  <si>
    <t>This study was supported by the JSPS KAKENHI grants 20H02865 (to H.?K.), 21KK0099, and 22H02207 (both to M.?Y.), as well as the Tokyo Biochemical Research Foundation. This study was also partially supported by the Naito Foundation and the Seeding Program from University of Tsukuba.</t>
  </si>
  <si>
    <t>2192-6506</t>
  </si>
  <si>
    <t>ChemPlusChem</t>
  </si>
  <si>
    <t>e202300339</t>
  </si>
  <si>
    <t>10.1002/cplu.202300339</t>
  </si>
  <si>
    <t>O5JG6</t>
  </si>
  <si>
    <t>WOS:001044165500001</t>
  </si>
  <si>
    <t>Yu, DH; Fan, HL; Zhou, ZL; Zhang, Y; Sun, J; Wang, L; Jia, YY; Tian, JY; Campbell, A; Mi, WY; Sun, HB</t>
  </si>
  <si>
    <t>Yu, Dehao; Fan, Heli; Zhou, Zhili; Zhang, Ying; Sun, Jing; Wang, Luo; Jia, Yuanyuan; Tian, Junyu; Campbell, Anahit; Mi, Wenyi; Sun, Huabing</t>
  </si>
  <si>
    <t>Hydrogen Peroxide-Inducible PROTACs for Targeted Protein Degradation in Cancer Cells</t>
  </si>
  <si>
    <t>antitumor; BRD4; H2O2-inducible; PROTAC; protein degradation</t>
  </si>
  <si>
    <t>BRD4; INHIBITORS</t>
  </si>
  <si>
    <t>Proteolysis-targeting chimeras (PROTACs) provide a powerful technique to degrade targeted proteins utilizing the cellular ubiquitin-proteasome system. The major concern is the host toxicity resulting from their poor selectivity. Inducible PROTACs responding to exogenous stimulus, such as light, improve their specificity, but it is difficult for photo-activation in deep tissues. Herein, we develop H2O2-inducible PROTAC precursors 2/5, which can be activated by endogenous H2O2 in cancer cells to release the active PROTACs 1/4 to effectively degrade targeted proteins. This results in the intended cytotoxicity towards cancer cells while targeted protein in normal cells remains almost unaffected. The higher Bromodomain-containing protein 4 (BRD4) degradation activity and cytotoxicity of 2 towards cancer cells is mainly due to the higher endogenous concentration of H2O2 in cancer cells (A549 and H1299), characterized by H2O2-responsive fluorescence probe 3. Western blot assays and cytotoxicity experiments demonstrate that 2 degrades BRD4 more effectively and is more cytotoxic in H2O2-rich cancer cells than in H2O2-deficient normal cells. This method is also extended to estrogen receptor (ER)-PROTAC precursor 5, showing H2O2-dependent ER degradation ability. Thus, we establish a novel strategy to induce targeted protein degradation in a H2O2-dependent way, which has the potential to improve the selectivity of PROTACs.</t>
  </si>
  <si>
    <t>[Yu, Dehao; Fan, Heli; Sun, Jing; Wang, Luo; Jia, Yuanyuan; Tian, Junyu; Sun, Huabing] Tianjin Med Univ, Tianjin Key Lab Technol Enabling Dev Clin Therapeu, Prov &amp; Minist Cosponsored Collaborat Innovat Ctr, Sch Pharm, Tianjin 300070, Peoples R China; [Zhou, Zhili; Zhang, Ying; Mi, Wenyi] Tianjin Med Univ, Sch Basic Med Sci, Key Lab Immune Microenvironm &amp; Dis, Dept Immunol,Minist Educ, Tianjin 300070, Peoples R China; [Campbell, Anahit] Univ Wisconsin, Dept Chem &amp; Biochem, Milwaukee, WI 53211 USA</t>
  </si>
  <si>
    <t>Tianjin Medical University; Tianjin Medical University; University of Wisconsin System; University of Wisconsin Milwaukee</t>
  </si>
  <si>
    <t>Fan, HL; Sun, HB (corresponding author), Tianjin Med Univ, Tianjin Key Lab Technol Enabling Dev Clin Therapeu, Prov &amp; Minist Cosponsored Collaborat Innovat Ctr, Sch Pharm, Tianjin 300070, Peoples R China.</t>
  </si>
  <si>
    <t>helifan@tmu.edu.cn; sunhuabing@tmu.edu.cn</t>
  </si>
  <si>
    <t>Sun, Huabing/0000-0002-5924-9738</t>
  </si>
  <si>
    <t>Science amp; Technology Development Fund of Tianjin Education Commission for Higher Education [2020ZD15]</t>
  </si>
  <si>
    <t>Science amp; Technology Development Fund of Tianjin Education Commission for Higher Education</t>
  </si>
  <si>
    <t>Acknowledgments H. Sun and H. Fan acknowledge the financial support from The Science &amp; Technology Development Fund of Tianjin Education Commission for Higher Education (2020ZD15).</t>
  </si>
  <si>
    <t>SEP 1</t>
  </si>
  <si>
    <t>10.1002/cbic.202300422</t>
  </si>
  <si>
    <t>R4DM6</t>
  </si>
  <si>
    <t>WOS:001038359500001</t>
  </si>
  <si>
    <t>Zhang, WC; Qi, L; Liu, ZY; He, SS; Wang, CZ; Wu, Y; Han, LB; Liu, ZX; Fu, Z; Tu, C; Li, ZH</t>
  </si>
  <si>
    <t>Zhang, Wenchao; Qi, Lin; Liu, Zhongyue; He, Shasha; Wang, Cheng-zhi; Wu, Ying; Han, Lianbin; Liu, Zhenxin; Fu, Zheng; Tu, Chao; Li, Zhihong</t>
  </si>
  <si>
    <t>Integrated multiomic analysis and high-throughput screening reveal potential gene targets and synergetic drug combinations for osteosarcoma therapy</t>
  </si>
  <si>
    <t>drug combination; high-throughput screen; multiomic analysis; osteosarcoma; therapeutic target</t>
  </si>
  <si>
    <t>DNA-REPAIR; CANCER; CELLS; QUANTIFICATION; INHIBITION; DISCOVERY; BREAST</t>
  </si>
  <si>
    <t>Although great advances have been made over the past decades, therapeutics for osteosarcoma are quite limited. We performed long-read RNA sequencing and tandem mass tag (TMT)-based quantitative proteome on osteosarcoma and the adjacent normal tissues, next-generation sequencing (NGS) on paired osteosarcoma samples before and after neoadjuvant chemotherapy (NACT), and high-throughput drug combination screen on osteosarcoma cell lines. Single-cell RNA sequencing data were analyzed to reveal the heterogeneity of potential therapeutic target genes. Additionally, we clarified the synergistic mechanisms of doxorubicin (DOX) and HDACs inhibitors for osteosarcoma treatment. Consequently, we identified 2535 osteosarcoma-specific genes and several alternative splicing (AS) events with osteosarcoma specificity and/or patient heterogeneity. Hundreds of potential therapeutic targets were identified among them, which showed the core regulatory roles in osteosarcoma. We also identified 215 inhibitory drugs and 236 synergistic drug combinations for osteosarcoma treatment. More interestingly, the multiomic analysis pointed out the pivotal role of HDAC1 and TOP2A in osteosarcoma. HDAC inhibitors synergized with DOX to suppress osteosarcoma both in vitro and in vivo. Mechanistically, HDAC inhibitors synergized with DOX by downregulating SP1 to transcriptionally modulate TOP2A expression. This study provided a comprehensive view of molecular features, therapeutic targets, and synergistic drug combinations for osteosarcoma.</t>
  </si>
  <si>
    <t>[Zhang, Wenchao; Qi, Lin; Liu, Zhongyue; Tu, Chao; Li, Zhihong] Cent South Univ, Xiangya Hosp 2, Dept Orthoped, Changsha, Peoples R China; [Zhang, Wenchao; Qi, Lin; Liu, Zhongyue; Tu, Chao; Li, Zhihong] Second Xiangya Hosp, Hunan Key Lab Tumor Models &amp; Individualized Med, Changsha, Peoples R China; [He, Shasha] Cent South Univ, Xiangya Hosp 2, Dept Oncol, Changsha, Peoples R China; [Wang, Cheng-zhi; Wu, Ying; Han, Lianbin; Liu, Zhenxin; Fu, Zheng] MegaRobo Technol Co Ltd, Suzhou, Peoples R China; [Fu, Zheng] MegaRobo Technol Co Ltd, 277 Dongping Rd, Suzhou, Peoples R China; [Tu, Chao; Li, Zhihong] Cent South Univ, Xiangya Hosp 2, Dept Orthoped, Hunan Key Lab Tumor Models &amp; Individualized Med, 139 RenMin Rd, Changsha, Peoples R China</t>
  </si>
  <si>
    <t>Central South University; Central South University; Central South University</t>
  </si>
  <si>
    <t>Fu, Z (corresponding author), MegaRobo Technol Co Ltd, 277 Dongping Rd, Suzhou, Peoples R China.;Tu, C; Li, ZH (corresponding author), Cent South Univ, Xiangya Hosp 2, Dept Orthoped, Hunan Key Lab Tumor Models &amp; Individualized Med, 139 RenMin Rd, Changsha, Peoples R China.</t>
  </si>
  <si>
    <t>qi.lin@csu.edu.cn; fuzheng@megarobo.tech; tuchao@csu.edu.cn; lizhihong@csu.edu.cn</t>
  </si>
  <si>
    <t>Qi, Lin/AAB-9074-2022; Liu, Zhenxin/F-4631-2012</t>
  </si>
  <si>
    <t>Qi, Lin/0000-0002-4587-8226; Liu, Zhenxin/0000-0002-6348-8686</t>
  </si>
  <si>
    <t>National Natural Science Foundation of China [82272664, 81902745, 82172500]; Hunan Provincial Natural Science Foundation of China [2022JJ30843]; Science and Technology Development Fund Guided by Central Government [2021Szvup169]; Hunan Provincial Administration of Traditional Chinese Medicine Project [D2022117]; Major Project of Technology Innovation of Hunan Province [2021SK1060]; Scientific Research Program of Hunan Provincial Health Commission [B202304077077]</t>
  </si>
  <si>
    <t>National Natural Science Foundation of China(National Natural Science Foundation of China (NSFC)); Hunan Provincial Natural Science Foundation of China(Natural Science Foundation of Hunan Province); Science and Technology Development Fund Guided by Central Government; Hunan Provincial Administration of Traditional Chinese Medicine Project; Major Project of Technology Innovation of Hunan Province; Scientific Research Program of Hunan Provincial Health Commission</t>
  </si>
  <si>
    <t>National Natural Science Foundation of China, Grant/Award Numbers: 82272664, 81902745, 82172500; Hunan Provincial Natural Science Foundation of China, Grant/Award Number: 2022JJ30843; Science and Technology Development Fund Guided by Central Government, Grant/Award Number: 2021Szvup169; Hunan Provincial Administration of Traditional Chinese Medicine Project, Grant/Award Number: D2022117; Major Project of Technology Innovation of Hunan Province, Grant/Award Number:2021SK1060; the Scientific Research Program of Hunan Provincial Health Commission, Grant/Award Number:B202304077077</t>
  </si>
  <si>
    <t>e317</t>
  </si>
  <si>
    <t>10.1002/mco2.317</t>
  </si>
  <si>
    <t>M6VV3</t>
  </si>
  <si>
    <t>WOS:001031582900001</t>
  </si>
  <si>
    <t>Zhao, LJ; Wang, YB; Cui, RF; Cui, YP; Lu, XK; Chen, XG; Wang, JJ; Wang, DL; Yin, ZJ; Wang, S; Peng, FJ; Guo, LX; Chen, C; Ye, WW</t>
  </si>
  <si>
    <t>Zhao, Lanjie; Wang, Yongbo; Cui, Ruifeng; Cui, Yupeng; Lu, Xuke; Chen, Xiugui; Wang, Junjuan; Wang, Delong; Yin, Zujun; Wang, Shuai; Peng, Fanjia; Guo, Lixue; Chen, Chao; Ye, Wuwei</t>
  </si>
  <si>
    <t>Analysis of the histidine kinase gene family and the role of GhHK8 in response to drought tolerance in cotton</t>
  </si>
  <si>
    <t>2-COMPONENT SIGNALING ELEMENTS; GENOME-WIDE IDENTIFICATION; OSMOTIC-STRESS; ABSCISIC-ACID; SALT STRESS; ARABIDOPSIS; EXPRESSION; SYSTEM; RESISTANCE; REGULATORS</t>
  </si>
  <si>
    <t>As an important member of the two-component system (TCS), histidine kinases (HKs) play important roles in various plant developmental processes and signal transduction in response to a wide range of biotic and abiotic stresses. So far, the HK gene family has not been investigated in Gossypium. In this study, a total of 177 HK gene family members were identified in cotton. They were further divided into seven groups, and the protein characteristics, genetic relationship, gene structure, chromosome location, collinearity, and cis-elements identification were comprehensively analyzed. Whole genome duplication (WGD) / segmental duplication may be the reason why the number of HK genes doubled in tetraploid Gossypium species. Expression analysis revealed that most cotton HK genes were mainly expressed in the reproductive organs and the fiber at initial stage. Gene expression analysis revealed that HK family genes are involved in cotton abiotic stress, especially drought stress and salt stress. In addition, gene interaction networks showed that HKs were involved in the regulation of cotton abiotic stress, especially drought stress. VIGS experiments have shown that GhHK8 is a negative regulatory factor in response to drought stress. Our systematic analysis provided insights into the characteristics of the HK genes in cotton and laid a foundation for further exploring their potential in drought stress resistance in cotton.</t>
  </si>
  <si>
    <t>[Zhao, Lanjie; Cui, Ruifeng; Cui, Yupeng; Lu, Xuke; Chen, Xiugui; Wang, Junjuan; Wang, Delong; Yin, Zujun; Wang, Shuai; Guo, Lixue; Chen, Chao; Ye, Wuwei] Chinese Acad Agr Sci, Anyang Inst Technol, Natl Engn Res Ctr Cotton Biol Breeding &amp; Ind Techn, Inst Cotton Res,Natl Key Lab Cotton Biobreeding &amp;, Anyang, Henan, Peoples R China; [Wang, Yongbo; Peng, Fanjia] Hunan Inst Cotton Sci, Changde, Peoples R China; [Ye, Wuwei] Chinese Acad Agr Sci, Anyang Inst Technol, Natl Engn Res Ctr Cotton Biol Breeding &amp; Ind Techn, Inst Cotton Res,Natl Key Lab Cotton Biobreeding &amp;, Anyang 455000, Henan, Peoples R China</t>
  </si>
  <si>
    <t>Chinese Academy of Agricultural Sciences; Institute of Cotton Research, CAAS; Anyang Institute of Technology; Chinese Academy of Agricultural Sciences; Institute of Cotton Research, CAAS; Anyang Institute of Technology</t>
  </si>
  <si>
    <t>Ye, WW (corresponding author), Chinese Acad Agr Sci, Anyang Inst Technol, Natl Engn Res Ctr Cotton Biol Breeding &amp; Ind Techn, Inst Cotton Res,Natl Key Lab Cotton Biobreeding &amp;, Anyang 455000, Henan, Peoples R China.</t>
  </si>
  <si>
    <t>yew158@163.com</t>
  </si>
  <si>
    <t>Thank you very much to the editor and reviewers for their review of the manuscript and their constructive comments.</t>
  </si>
  <si>
    <t>e14022</t>
  </si>
  <si>
    <t>10.1111/ppl.14022</t>
  </si>
  <si>
    <t>S1NU9</t>
  </si>
  <si>
    <t>WOS:001068917100001</t>
  </si>
  <si>
    <t>Zhao, YH; Wen, YF; Zhang, WQ; Wang, CC; Yan, YD; Hao, SW; Zhang, DL</t>
  </si>
  <si>
    <t>Zhao, Yanghui; Wen, Yafeng; Zhang, Wenqian; Wang, Chuncheng; Yan, Yadan; Hao, Siwen; Zhang, Donglin</t>
  </si>
  <si>
    <t>Distribution pattern and change prediction of Phellodendron habitat in China under climate change</t>
  </si>
  <si>
    <t>climate change; geographical distribution; MaxEnt model; parameter optimization; Phellodendron</t>
  </si>
  <si>
    <t>SPECIES DISTRIBUTIONS; GENETIC DIVERSITY; AMURENSE RUPR.; MAXENT; BIODIVERSITY; COMPLEXITY; VARIABLES; MODELS; FUTURE</t>
  </si>
  <si>
    <t>Phellodendron has always been of great significance in promoting human health and ecological restoration. However, human activities and climate change have severely affected habitat, population dynamics and sustainable use of Phellodendron. Little is known about the geographical distribution pattern and their responses to climate change of Phellodendron. In order to reveal the impact of climate change on Phellodendron, we conducted a study based on natural distribution data of two species (297 occurrence points), 20 environmental factors, and an optimized MaxEnt model. Our results identified the main environmental factors influencing Phellodendron, predicted their potential geographical distribution, and assessed migration trends under climate change in China. Our analysis showed that Ph. amurense and Ph. chinense have potential suitable habitats of 62.89 x 104 and 70.71 x 104 km2, respectively. Temperature and precipitation were found to play an essential role in shaping the present geographical distribution of Phellodendron populations. Based on two future climate scenarios, we forecasted that the potential suitable habitat of Ph. amurense would decrease by 12.52% (SSP245) and increase by 25.28% (SSP585), while Ph. chinense would decline by 19.61% (SSP245) and 15.78% (SSP585) in the late-21st century. The potential suitable habitats of Ph. amurense and Ph. chinense would shift to northward and westward, respectively. Hydrothermal change was found to be the primary driver of the suitable habitat of Phellodendron populations in the future. We recommend establishing nature reserves for existing Phellodendron populations, especially Ph. chinense. Our study provided a practical framework for the impact of climate change on the suitable habitat of Phellodendron species and guided regional cultivation, long-term conservation, and sustainable use.</t>
  </si>
  <si>
    <t>[Zhao, Yanghui; Wen, Yafeng; Zhang, Wenqian; Wang, Chuncheng; Yan, Yadan; Hao, Siwen; Zhang, Donglin] Cent South Univ Forestry &amp; Technol, Coll Landscape Architecture, Changsha, Peoples R China; [Zhao, Yanghui; Wen, Yafeng; Zhang, Wenqian; Wang, Chuncheng; Yan, Yadan; Hao, Siwen; Zhang, Donglin] Hunan Big Data Engn Technol Res Ctr Nat Protected, Changsha, Peoples R China; [Zhao, Yanghui; Wen, Yafeng; Zhang, Wenqian; Wang, Chuncheng; Yan, Yadan; Hao, Siwen] Yuelushan Lab Carbon Sinks Forests Variety Innovat, Changsha, Peoples R China; [Zhang, Donglin] Univ Georgia, Dept Hort, Athens, GA USA; [Zhang, Donglin] Univ Georgia, Dept Hort, Athens, GA 30602 USA; [Wen, Yafeng] Cent South Univ Forestry &amp; Technol, Coll Landscape Architecture, Changsha 41004, Peoples R China</t>
  </si>
  <si>
    <t>Central South University of Forestry &amp; Technology; University System of Georgia; University of Georgia; University System of Georgia; University of Georgia; Central South University of Forestry &amp; Technology</t>
  </si>
  <si>
    <t>Zhang, DL (corresponding author), Univ Georgia, Dept Hort, Athens, GA 30602 USA.;Wen, YF (corresponding author), Cent South Univ Forestry &amp; Technol, Coll Landscape Architecture, Changsha 41004, Peoples R China.</t>
  </si>
  <si>
    <t>wenyafeng7107@163.com; donglin@uga.edu</t>
  </si>
  <si>
    <t>We are grateful for comments and suggestions on the manuscript from Yongkuan Chi and Ying Zhang and appreciate Zhiheng Zheng for his assistance in the field investigation.</t>
  </si>
  <si>
    <t>e10374</t>
  </si>
  <si>
    <t>10.1002/ece3.10374</t>
  </si>
  <si>
    <t>Q0WH5</t>
  </si>
  <si>
    <t>WOS:001054800500001</t>
  </si>
  <si>
    <t>Zhou, XS; Liao, PC</t>
  </si>
  <si>
    <t>Zhou, Xiaoshan; Liao, Pin-Chao</t>
  </si>
  <si>
    <t>Brain-regulated learning for classifying on-site hazards with small datasets</t>
  </si>
  <si>
    <t>COMPUTER-AIDED CIVIL AND INFRASTRUCTURE ENGINEERING</t>
  </si>
  <si>
    <t>RECOGNITION; OBJECT; CLASSIFICATION; INFORMATION; PERFORMANCE; ACTIVATION; DYNAMICS</t>
  </si>
  <si>
    <t>Machine vision technologies have the potential to revolutionize hazard inspection, but training machine learning models requires large labeled datasets and is susceptible to biases. The lack of robust perception capabilities in machine vision systems for construction hazard inspection poses significant safety concerns. To address this, we propose a novel method that leverages human knowledge extracted from electroencephalogram (EEG) recordings to enhance machine vision through transfer learning. By pretraining convolutional neural networks with EEG data recorded during construction hazard evaluations, we investigated three common on-site hazard classifications using small datasets. Our results demonstrated that the proposed method resulted in improved accuracy (with an 11% increase) and enhanced rationality of machine learning predictions (as revealed by network visualization analysis). This research opens avenues for further exploration and industry applications, aiming to achieve more intelligent and human-like artificial visual perception, ultimately enhancing safety and efficiency in automated hazard inspection.</t>
  </si>
  <si>
    <t>[Zhou, Xiaoshan; Liao, Pin-Chao] Tsinghua Univ, Dept Construct Management, Beijing, Peoples R China; [Liao, Pin-Chao] 30 Shuangqing Rd, Beijing 10084, Peoples R China</t>
  </si>
  <si>
    <t>Liao, PC (corresponding author), 30 Shuangqing Rd, Beijing 10084, Peoples R China.</t>
  </si>
  <si>
    <t>pinchao@tsinghua.edu.cn</t>
  </si>
  <si>
    <t>National Natural Science Foundation of China [51878382]</t>
  </si>
  <si>
    <t>ACKNOWLEDGMENTS This study was supported by the National Natural Science Foundation of China (No. 51878382).</t>
  </si>
  <si>
    <t>1093-9687</t>
  </si>
  <si>
    <t>1467-8667</t>
  </si>
  <si>
    <t>COMPUT-AIDED CIV INF</t>
  </si>
  <si>
    <t>Comput.-Aided Civil Infrastruct. Eng.</t>
  </si>
  <si>
    <t>10.1111/mice.13078</t>
  </si>
  <si>
    <t>Computer Science, Interdisciplinary Applications; Construction &amp; Building Technology; Engineering, Civil; Transportation Science &amp; Technology</t>
  </si>
  <si>
    <t>Computer Science; Construction &amp; Building Technology; Engineering; Transportation</t>
  </si>
  <si>
    <t>N7FE8</t>
  </si>
  <si>
    <t>Bronze, Green Submitted</t>
  </si>
  <si>
    <t>WOS:001038618400001</t>
  </si>
  <si>
    <t>ARE RESEARCH CODES EQUITABLE?</t>
  </si>
  <si>
    <t>ANTHROPOLOGY TODAY</t>
  </si>
  <si>
    <t>News Item</t>
  </si>
  <si>
    <t>0268-540X</t>
  </si>
  <si>
    <t>1467-8322</t>
  </si>
  <si>
    <t>ANTHROPOL TODAY</t>
  </si>
  <si>
    <t>Anthropol. Today</t>
  </si>
  <si>
    <t>Q4IR5</t>
  </si>
  <si>
    <t>WOS:001057175800004</t>
  </si>
  <si>
    <t>Chen, KJ; Han, Y; Wang, ZY; Cui, Y</t>
  </si>
  <si>
    <t>Chen, Ke-Jun; Han, Yang; Wang, Zi-Yi; Cui, Yong</t>
  </si>
  <si>
    <t>Submicron resolution techniques: Multiphoton microscopy in skin disease</t>
  </si>
  <si>
    <t>autofluorescence; multiphoton microscopy; second harmonic generation; skin disease</t>
  </si>
  <si>
    <t>FLUORESCENCE EXCITATION SPECTROSCOPY; LASER-SCANNING MICROSCOPY; IN-VIVO; 2ND-HARMONIC GENERATION; TOMOGRAPHY; COLLAGEN</t>
  </si>
  <si>
    <t>Non-invasive optical examination plays a crucial role in various aspects of dermatology, such as diagnosis, management and research. Multiphoton microscopy uses a unique submicron technology to stimulate autofluorescence (AF), allowing for the observation of cellular structure, assessment of redox status and quantification of collagen fibres. This advanced imaging technique offers dermatologists novel insights into the skin's structure, positioning it as a promising 'stethoscope' for future development in the field. This review provides an overview of multiphoton microscopy's principles, technology and application in studying normal skin, tumour and inflammatory diseases, as well as collagen-related and pigmentary diseases.</t>
  </si>
  <si>
    <t>[Chen, Ke-Jun; Han, Yang; Wang, Zi-Yi] Chinese Acad Med Sci &amp; Peking Union Med Coll, China Japan Friendship Hosp, Dept Dermatol, Beijing, Peoples R China; [Cui, Yong] China Japan Friendship Hosp, Dept Dermatol, Beijing, Peoples R China</t>
  </si>
  <si>
    <t>China-Japan Friendship Hospital; Chinese Academy of Medical Sciences - Peking Union Medical College; Peking Union Medical College; China-Japan Friendship Hospital</t>
  </si>
  <si>
    <t>Cui, Y (corresponding author), China Japan Friendship Hosp, Dept Dermatol, Beijing, Peoples R China.</t>
  </si>
  <si>
    <t>wuhucuiyong@vip.163.com</t>
  </si>
  <si>
    <t>2023 JUL 31</t>
  </si>
  <si>
    <t>10.1111/exd.14899</t>
  </si>
  <si>
    <t>JUL 2023</t>
  </si>
  <si>
    <t>N5QB4</t>
  </si>
  <si>
    <t>WOS:001037544800001</t>
  </si>
  <si>
    <t>Chen, Y; Pretorius, PH; Lindsay, C; Yang, YY; King, MA</t>
  </si>
  <si>
    <t>Chen, Yuan; Pretorius, P. Hendrik; Lindsay, Clifford; Yang, Yongyi; King, Michael A.</t>
  </si>
  <si>
    <t>Respiratory signal estimation for cardiac perfusion SPECT using deep learning</t>
  </si>
  <si>
    <t>cardiac SPECT; deep learning; respiratory signal</t>
  </si>
  <si>
    <t>RIGID-BODY MOTION; CENTER-OF-MASS; COMPENSATION; HEART; RECONSTRUCTION; TRACKING; PET; DEFORMATION</t>
  </si>
  <si>
    <t>BackgroundRespiratory motion induces artifacts in reconstructed cardiac perfusion SPECT images. Correction for respiratory motion often relies on a respiratory signal describing the heart displacements during breathing. However, using external tracking devices to estimate respiratory signals can add cost and operational complications in a clinical setting. PurposeWe aim to develop a deep learning (DL) approach that uses only SPECT projection data for respiratory signal estimation. MethodsA modified U-Net was implemented that takes temporally finely sampled SPECT sub-projection data (100 ms) as input. These sub-projections are obtained by reframing the 20-s list-mode data, resulting in 200 sub-projections, at each projection angle for each SPECT camera head. The network outputs a 200-time-point motion signal for each projection angle, which was later aggregated over all angles to give a full respiratory signal. The target signal for DL model training was from an external stereo-camera visual tracking system (VTS). In addition to comparing DL and VTS, we also included a data-driven approach based on the center-of-mass (CoM) strategy. This CoM method estimates respiratory signals by monitoring the axial changes of CoM for counts in the heart region of the sub-projections. We utilized 900 subjects with stress cardiac perfusion SPECT studies, with 302 subjects for testing and the remaining 598 subjects for training and validation. ResultsThe Pearson's correlation coefficient between the DL respiratory signal and the reference VTS signal was 0.90, compared to 0.70 between the CoM signal and the reference. For respiratory motion correction on SPECT images, all VTS, DL, and CoM approaches partially de-blured the heart wall, resulting in a thinner wall thickness and increased recovered maximal image intensity within the wall, with VTS reducing blurring the most followed by the DL approach. Uptake quantification for the combined anterior and inferior segments of polar maps showed a mean absolute difference from the reference VTS of 1.7% for the DL method for patients with motion &gt;12 mm, compared to 2.6% for the CoM method and 8.5% for no correction. ConclusionWe demonstrate the capability of a DL approach to estimate respiratory signal from SPECT projection data for cardiac perfusion imaging. Our results show that the DL based respiratory motion correction reduces artefacts and achieves similar regional quantification to that obtained using the stereo-camera VTS signals. This may enable fully automatic data-driven respiratory motion correction without relying on external motion tracking devices.</t>
  </si>
  <si>
    <t>[Chen, Yuan; Pretorius, P. Hendrik; Lindsay, Clifford; King, Michael A.] Univ Massachusetts, Dept Radiol, Med Sch, Worcester, MA USA; [Yang, Yongyi] IIT, Dept Elect &amp; Comp Engn, Chicago, IL USA; [Chen, Yuan] UMass Chan Med Sch, Dept Radiol, 55 Lake Ave North, Worcester, MA 01545 USA</t>
  </si>
  <si>
    <t>University of Massachusetts System; University of Massachusetts Worcester; Illinois Institute of Technology; University of Massachusetts System; UMass Chan Medical School</t>
  </si>
  <si>
    <t>Chen, Y (corresponding author), UMass Chan Med Sch, Dept Radiol, 55 Lake Ave North, Worcester, MA 01545 USA.</t>
  </si>
  <si>
    <t>yuan.chen5@umassmed.edu</t>
  </si>
  <si>
    <t>National Heart, Lung, and Blood Institute of the National Institutes of Health [R01HL154687]</t>
  </si>
  <si>
    <t>National Heart, Lung, and Blood Institute of the National Institutes of Health(United States Department of Health &amp; Human ServicesNational Institutes of Health (NIH) - USANIH National Heart Lung &amp; Blood Institute (NHLBI))</t>
  </si>
  <si>
    <t>ACKNOWLEDGMENTS Research reported in this publication was supported by the National Heart, Lung, and Blood Institute of the National Institutes of Health under Award Number R01HL154687. The content is solely the responsibility of the authors and does not necessarily represent the official views of the National Institutes of Health. This work was presented in part at the 2022 IEEE Nuclear Science Symposium and Medical Imaging Conference (IEEE NSS/MIC), November 8-12, 2022, in Milan, Italy. We also would like to thank the reviewers for their valuable comments and suggestions that greatly improved the manuscript.</t>
  </si>
  <si>
    <t>10.1002/mp.16653</t>
  </si>
  <si>
    <t>N5UL4</t>
  </si>
  <si>
    <t>WOS:001037659400001</t>
  </si>
  <si>
    <t>Drymiotou, S; Dokmeci, M; Chandrasekaran, D; Jeyarajah, A; Brockbank, E</t>
  </si>
  <si>
    <t>Drymiotou, Stefania; Dokmeci, Melin; Chandrasekaran, Dhivya; Jeyarajah, Arjun; Brockbank, Elly</t>
  </si>
  <si>
    <t>Impact of minimally invasive surgery on surgical outcomes for obese women with endometrial cancer following robotic surgery introduction; a single centre study</t>
  </si>
  <si>
    <t>clinical; endometrial cancer; gynaecology; hysterectomy; obesity; oncology; robotic surgery</t>
  </si>
  <si>
    <t>BODY-MASS INDEX; COST-ANALYSIS; HYSTERECTOMY; RISK; LAPAROTOMY; OVARIAN; UPDATE; SAFETY; COHORT</t>
  </si>
  <si>
    <t>BackgroundThe aim was to assess the surgical outcomes in obese women with endometrial cancer following robotic surgery introduction in a London tertiary gynaecological cancer unit. MethodsData was prospectively collected for 281 women undergoing endometrial cancer surgery in 2016, 2018 and 2019 (robotic surgery was introduced in November 2017). ResultsThe proportion of obese and morbidly obese patients undergoing minimally invasive surgery (MIS) significantly increased following robotic surgery introduction from 43.8% to 69.6% (p &lt; 0.001). Overall robotic surgery operating time was not affected by higher body mass index (r = 0.177, 95% CI -0.068-0.402). There was no difference in the length of stay or in the frequency and severity of complication rates between obese, morbidly obese and non-obese populations undergoing MIS. ConclusionRobotic surgery led to a significant rise in MIS and improved surgical outcomes for obese and morbidly obese women with endometrial cancer within 12 months of its introduction.</t>
  </si>
  <si>
    <t>[Drymiotou, Stefania; Dokmeci, Melin; Jeyarajah, Arjun; Brockbank, Elly] Barts Hlth NHS Trust, Gynaecol Oncol Dept, London, England; [Chandrasekaran, Dhivya] Univ Coll London Hosp NHS Fdn Trust, Gynaecol Oncol Dept, London, England</t>
  </si>
  <si>
    <t>Barts Health NHS Trust; University College London Hospitals NHS Foundation Trust; University of London; University College London</t>
  </si>
  <si>
    <t>Brockbank, E (corresponding author), Barts Hlth NHS Trust, Gynaecol Oncol Dept, London, England.</t>
  </si>
  <si>
    <t>elly.brockbank@nhs.net</t>
  </si>
  <si>
    <t>10.1002/rcs.2559</t>
  </si>
  <si>
    <t>N5KP9</t>
  </si>
  <si>
    <t>WOS:001037402500001</t>
  </si>
  <si>
    <t>Eapen, D; Mbango, C; Daniels, G; Joseph, NM; Mary, A; Mathews, N; Carr, KK; Wells, C; Suriaga, A; Saint Fleur, A</t>
  </si>
  <si>
    <t>Eapen, Doncy; Mbango, Catherine; Daniels, Glenda; Mathew Joseph, Nitha; Mary, Annapoorna; Mathews, Nisha; Carr, Kathryn Kravetz; Wells, Cheryl; Suriaga, Armiel; Saint Fleur, Angeline</t>
  </si>
  <si>
    <t>Recommendations to improve maternal health equity among Black women in The South: A position paper from the SNRS minority health research interest &amp; implementation group</t>
  </si>
  <si>
    <t>RESEARCH IN NURSING &amp; HEALTH</t>
  </si>
  <si>
    <t>RACISM</t>
  </si>
  <si>
    <t>Black women in the United States experience a higher maternal mortality rate compared to other racial groups. The maternal mortality rate among non-Hispanic Black women is 3.5 times that of non-Hispanic White women and is higher in the South compared to other regions. The majority of pregnancy-related deaths in Black women are deemed to be preventable. Healthy People 2030 directs healthcare providers to advance health equity through societal efforts to address avoidable inequalities, historical and contemporary injustices, and the elimination of health and healthcare disparities. The Southern Nursing Research Society has put forward this position paper to provide recommendations to improve maternal health equity among Black women. Recommendations for nurses, multidisciplinary healthcare providers, policymakers, and researchers are discussed.</t>
  </si>
  <si>
    <t>[Eapen, Doncy; Mathew Joseph, Nitha] Univ Texas Hlth Sci Ctr Houston, Cizik Sch Nursing, Houston, TX USA; [Mbango, Catherine] Texas Womans Univ, Nelda C Stark Coll Nursing, Houston, TX USA; [Daniels, Glenda] Texas Christian Univ, Harris Coll Nursing &amp; Hlth Sci, Ft Worth, TX USA; [Mary, Annapoorna] Univ Memphis, Loewenberg Coll Nursing, Memphis, TN USA; [Mathews, Nisha] Univ Houston Clear Lake Pearland, Coll Human Sci &amp; Humanities, Pearland, TX USA; [Carr, Kathryn Kravetz] Emory Univ, Nell Hodgson Woodruff Sch Nursing, Atlanta, GA USA; [Wells, Cheryl] Univ Arkansas Med Sci, Coll Nursing, Little Rock, AR USA; [Suriaga, Armiel] Florida Atlantic Univ, Christine E Lynn Coll Nursing, Boca Raton, FL USA; [Eapen, Doncy] Univ S Florida, Coll Nursing, Tampa, FL USA; [Eapen, Doncy] Univ Texas Hlth Sci Ctr Houston, Cizik Sch Nursing, Houston, TX 77030 USA</t>
  </si>
  <si>
    <t>University of Texas System; University of Texas Health Science Center Houston; Texas Womans University; Texas Christian University; University of Memphis; Emory University; University of Arkansas System; University of Arkansas Medical Sciences; State University System of Florida; Florida Atlantic University; State University System of Florida; University of South Florida; University of Texas System; University of Texas Health Science Center Houston</t>
  </si>
  <si>
    <t>Eapen, D (corresponding author), Univ Texas Hlth Sci Ctr Houston, Cizik Sch Nursing, Houston, TX 77030 USA.</t>
  </si>
  <si>
    <t>Doncy.J.Eapen@uth.tmc.edu</t>
  </si>
  <si>
    <t>Mathews, PhD, MSN, RN, Nisha/0000-0002-7115-5291; Mbango, Catherine M/0000-0002-4205-4168; Saint Fleur, Angeline/0000-0001-5645-611X</t>
  </si>
  <si>
    <t>0160-6891</t>
  </si>
  <si>
    <t>1098-240X</t>
  </si>
  <si>
    <t>RES NURS HEALTH</t>
  </si>
  <si>
    <t>Res. Nurs. Health</t>
  </si>
  <si>
    <t>10.1002/nur.22332</t>
  </si>
  <si>
    <t>N9IY6</t>
  </si>
  <si>
    <t>WOS:001040077100001</t>
  </si>
  <si>
    <t>Feng, D; Liu, TJ; Li, X; Peng, JR; Huang, L; He, L</t>
  </si>
  <si>
    <t>Feng, Dan; Liu, Tianjiao; Li, Xin; Peng, Jieru; Huang, Lu; He, Li</t>
  </si>
  <si>
    <t>Repeated transvaginal natural orifice transluminal endoscopic surgery: An initial Chinese experience</t>
  </si>
  <si>
    <t>JOURNAL OF OBSTETRICS AND GYNAECOLOGY RESEARCH</t>
  </si>
  <si>
    <t>culdotomy; female sexual function index; incision complications; perioperative complications</t>
  </si>
  <si>
    <t>FEMALE SEXUAL FUNCTION; INDEX FSFI</t>
  </si>
  <si>
    <t>Aims: To investigate the perioperative outcomes and sexual function of patients undergoing repeated transvaginal natural orifice transluminal endoscopic surgery (vNOTES). Methods: We retrieved the records of patients who underwent vNOTES twice at our institute between April 2019 and December 2022 and analyzed their baseline information and perioperative complications, and compared the pre- and postoperative sexual function of both vNOTES. Results: Patients' mean age and body mass index were 29.00 +/- 3.59 and 30.4 +/- 4.00 years and 21.89 +/- 3.69 and 22.76 +/- 3.88 kg/m(2), respectively, when receiving the first and second vNOTES. Ectopic pregnancy was the most frequent indication for vNOTES, with 7 cases in the first vNOTES and 11 cases in repeated vNOTES. The interval between the two vNOTESs ranged from 9 days to 38 months. The operation duration (63.33 +/- 13.71 vs. 67.33 +/- 22.51 min, p = 0.723), intraoperative estimated blood loss (32.00 +/- 20.42 vs. 30.00 +/- 9.26 mL, p = 0.429), and duration of postoperative hospital stay (2.20 +/- 0.56 vs. 2.40 +/- 0.51 days, p = 0.082) of both vNOTESs were comparable. No significant differences were found in any of the domains in the comparison of pre-first and post-first vNOTES, pre-second and post-second vNOTES, and pre-first and post-second vNOTES female sexual function index. None of the patients delivered after the second vNOTES. Conclusion: Repeated vNOTES is safe and feasible. No significant change in the patients' sexual function was found in our cohort after the first and second vNOTES.</t>
  </si>
  <si>
    <t>[Feng, Dan; Liu, Tianjiao; Li, Xin; Huang, Lu; He, Li] Univ Elect Sci &amp; Technol China, Chengdu Womens &amp; Childrens Cent Hosp, Sch Med, Dept Gynecol, 1617 Riyue Ave, Chengdu 610091, Peoples R China; [Peng, Jieru] Univ Elect Sci &amp; Technol China, Chengdu Womens &amp; Childrens Cent Hosp, Sch Med, Med Adm Dept, Chengdu, Peoples R China</t>
  </si>
  <si>
    <t>University of Electronic Science &amp; Technology of China; University of Electronic Science &amp; Technology of China</t>
  </si>
  <si>
    <t>He, L (corresponding author), Univ Elect Sci &amp; Technol China, Chengdu Womens &amp; Childrens Cent Hosp, Sch Med, Dept Gynecol, 1617 Riyue Ave, Chengdu 610091, Peoples R China.</t>
  </si>
  <si>
    <t>helisichuan@163.com</t>
  </si>
  <si>
    <t>Li, Xin/0000-0002-6734-9034; Liu, Tianjiao/0000-0001-8279-5924</t>
  </si>
  <si>
    <t>Chengdu High-level Key Clinical Specialty Construction Project; Chengdu Municipal Health Commission Project [2021215]; Fifth Round of Chengdu Municipal Science and Technology Research Program [2021-YF05-00627-SN]; Japan China Sasakawa Medical Fellowship Program; Chengdu Municipal Medical Research Project</t>
  </si>
  <si>
    <t>Chengdu High-level Key Clinical Specialty Construction Project; Chengdu Municipal Health Commission Project; Fifth Round of Chengdu Municipal Science and Technology Research Program; Japan China Sasakawa Medical Fellowship Program; Chengdu Municipal Medical Research Project</t>
  </si>
  <si>
    <t>Chengdu High-level Key Clinical Specialty Construction Project; Chengdu Municipal Health Commission Project, Grant/AwardNumber: 2021215; Fifth Round of Chengdu Municipal Science and Technology Research Program, Grant/Award Number:2021-YF05-00627-SN; Japan China Sasakawa Medical Fellowship Program; Chengdu Municipal Medical Research Project in 2023</t>
  </si>
  <si>
    <t>1341-8076</t>
  </si>
  <si>
    <t>1447-0756</t>
  </si>
  <si>
    <t>J OBSTET GYNAECOL RE</t>
  </si>
  <si>
    <t>J. Obstet. Gynaecol. Res.</t>
  </si>
  <si>
    <t>10.1111/jog.15757</t>
  </si>
  <si>
    <t>N9UU2</t>
  </si>
  <si>
    <t>WOS:001040384800001</t>
  </si>
  <si>
    <t>Guo, JQ; Tan, WY; He, HJ; Xu, B</t>
  </si>
  <si>
    <t>Guo, Jiaqi; Tan, Weiyi; He, Hongjian; Xu, Bing</t>
  </si>
  <si>
    <t>Autohydrolysis of Diglycine-Activated Succinic Esters Boosts Cellular Uptake</t>
  </si>
  <si>
    <t>Autohydrolysis; Cellular Uptake; Peptide; Prodrug; Self-Assembly</t>
  </si>
  <si>
    <t>MOLECULES; PEPTIDES</t>
  </si>
  <si>
    <t>Rapid cellular uptake of synthetic molecules remains a challenge, and the motif frequently employed to generate prodrugs, succinic ester, unfortunately lowers the efficacy of the desired drugs due to their slow ester hydrolysis and low cell entry. Here we show that succinic ester-containing diglycine drastically boosts the cellular uptake of supramolecular assemblies or prodrugs. Specifically, autohydrolysis of the diglycine-activated succinic esters turns the nanofibers of the conjugates of succinic ester and self-assembling motif into nanoparticles for fast cellular uptake. The autohydrolysis of diglycine-activated succinic esters and drug conjugates also restores the efficacy of the drugs. 2D nuclear magnetic resonance (NMR) suggests that a U-turn of diglycine favors intramolecular hydrolysis of diglycine-activated succinic esters to promote autohydrolysis. As an example of rapid autohydrolysis of diglycine-activated succinic esters for instant cellular uptake, this work illustrates a nonenzymatic bond cleavage approach to develop effective therapeutics for intracellular targeting.</t>
  </si>
  <si>
    <t>[Guo, Jiaqi; Tan, Weiyi; He, Hongjian; Xu, Bing] Brandeis Univ, Dept Chem, Waltham, MA 02454 USA</t>
  </si>
  <si>
    <t>Brandeis University</t>
  </si>
  <si>
    <t>Xu, B (corresponding author), Brandeis Univ, Dept Chem, Waltham, MA 02454 USA.</t>
  </si>
  <si>
    <t>bxu@brandeis.edu</t>
  </si>
  <si>
    <t>Guo, Jiaqi/IUP-1308-2023</t>
  </si>
  <si>
    <t>Guo, Jiaqi/0000-0002-0254-0401</t>
  </si>
  <si>
    <t>NIH [CA142746]; NSF [DMR-2011846]</t>
  </si>
  <si>
    <t>NIH(United States Department of Health &amp; Human ServicesNational Institutes of Health (NIH) - USA); NSF(National Science Foundation (NSF))</t>
  </si>
  <si>
    <t>&amp; nbsp;We thank Mr. Zefeng Zhou for the help in nuclear magnetic resonance spectroscopy. This work is partially supported by NIH CA142746 and NSF DMR-2011846.</t>
  </si>
  <si>
    <t>SEP 4</t>
  </si>
  <si>
    <t>10.1002/anie.202308022</t>
  </si>
  <si>
    <t>R5MZ7</t>
  </si>
  <si>
    <t>WOS:001039659900001</t>
  </si>
  <si>
    <t>Jones, L</t>
  </si>
  <si>
    <t>Jones, Leah</t>
  </si>
  <si>
    <t>Financial support provided to male and female physicians by pharmaceutical companies in New Zealand: a cross-sectional study</t>
  </si>
  <si>
    <t>Gender identity</t>
  </si>
  <si>
    <t>[Jones, Leah] Te Whatu Ora Hlth New Zealand Te Toka Tumai, Auckland, New Zealand</t>
  </si>
  <si>
    <t>Jones, L (corresponding author), Te Whatu Ora Hlth New Zealand Te Toka Tumai, Auckland, New Zealand.</t>
  </si>
  <si>
    <t>leahjones@adhb.govt.nz</t>
  </si>
  <si>
    <t>Jones, Leah Kirsten/0000-0002-8944-4497</t>
  </si>
  <si>
    <t>10.5694/mja2.52057</t>
  </si>
  <si>
    <t>WOS:001040163700001</t>
  </si>
  <si>
    <t>Kawasaki, S; Zou, X; Wildschut, T; Sedikides, C</t>
  </si>
  <si>
    <t>Kawasaki, Shota; Zou, Xi; Wildschut, Tim; Sedikides, Constantine</t>
  </si>
  <si>
    <t>Organizational nostalgia as a novel pathway toward greater employee well-being</t>
  </si>
  <si>
    <t>JOURNAL OF APPLIED SOCIAL PSYCHOLOGY</t>
  </si>
  <si>
    <t>WORK-FAMILY CONFLICT; CORPORATE CULTURE; METHOD BIAS; PERFORMANCE; CONSEQUENCES; METAANALYSIS; IMPACT; ANTECEDENTS; RELIABILITY; COMMITMENT</t>
  </si>
  <si>
    <t>Employee well-being is a critical consideration for organizations. It may be particularly so in the post COVID-19 era, where many still suffer from the pandemic's after-effects. We propose a novel pathway to maintain and improve employee well-being: organizational nostalgia, one's sentimental longing or wistful affection for past organizational events. We advocate that organizational nostalgia is associated with job satisfaction and organizational commitment and that telecommuting frequency (i.e., the extent to which employees work remotely) moderates this association. Additionally, we examine employees' perceptions of organizational cultural strength as an antecedent of organizational nostalgia. Findings from two studies support our theoretical proposals and offer fresh insight into how organizations could sustain their employees' well-being by leveraging organizational nostalgia.</t>
  </si>
  <si>
    <t>[Kawasaki, Shota; Zou, Xi] Nanyang Technol Univ, Nanyang Business Sch, Div Leadership Management &amp; Org, Singapore, Singapore; [Wildschut, Tim; Sedikides, Constantine] Univ Southampton, Ctr Res Self &amp; Ident, Sch Psychol, Southampton, England; [Kawasaki, Shota] Nanyang Technol Univ, Div Leadership Management &amp; Org, 50 Nanyang Ave,S3-01B-73, Singapore 639798, Singapore</t>
  </si>
  <si>
    <t>Nanyang Technological University &amp; National Institute of Education (NIE) Singapore; Nanyang Technological University; University of Southampton; Nanyang Technological University &amp; National Institute of Education (NIE) Singapore; Nanyang Technological University</t>
  </si>
  <si>
    <t>Kawasaki, S (corresponding author), Nanyang Technol Univ, Div Leadership Management &amp; Org, 50 Nanyang Ave,S3-01B-73, Singapore 639798, Singapore.</t>
  </si>
  <si>
    <t>KAWA0002@e.ntu.edu.sg</t>
  </si>
  <si>
    <t>Kawasaki, Shota/0000-0002-8153-4519</t>
  </si>
  <si>
    <t>Ministry of Education of Singapore [RG54/20]</t>
  </si>
  <si>
    <t>Ministry of Education of Singapore(Ministry of Education, Singapore)</t>
  </si>
  <si>
    <t>ACKNOWLEDGMENTS This work was supported by a grant from Ministry of Education of Singapore to Xi Zou (RG54/20, titled Organizational Cultural Mixing).</t>
  </si>
  <si>
    <t>0021-9029</t>
  </si>
  <si>
    <t>1559-1816</t>
  </si>
  <si>
    <t>J APPL SOC PSYCHOL</t>
  </si>
  <si>
    <t>J. Appl. Soc. Psychol.</t>
  </si>
  <si>
    <t>10.1111/jasp.13004</t>
  </si>
  <si>
    <t>N5MV4</t>
  </si>
  <si>
    <t>WOS:001037460400001</t>
  </si>
  <si>
    <t>Koyama, J; Yamashita, S; Kakimoto, K; Uemura, M; Kishida, T; Kawai, K; Nakamura, T; Goto, T; Osawa, T; Nishimura, K; Nonomura, N; Nishiyama, H; Shiraishi, T; Ukimura, O; Ogawa, O; Shinohara, N; Suzukamo, Y; Ito, A; Arai, Y</t>
  </si>
  <si>
    <t>Koyama, Juntaro; Yamashita, Shinichi; Kakimoto, Kenichi; Uemura, Motohide; Kishida, Takeshi; Kawai, Koji; Nakamura, Terukazu; Goto, Takayuki; Osawa, Takahiro; Nishimura, Kazuo; Nonomura, Norio; Nishiyama, Hiroyuki; Shiraishi, Takumi; Ukimura, Osamu; Ogawa, Osamu; Shinohara, Nobuo; Suzukamo, Yoshimi; Ito, Akihiro; Arai, Yoichi</t>
  </si>
  <si>
    <t>Sexual function using the EORTC QLQ-TC26 in testicular cancer survivors: A multi-institutional, cross-sectional study</t>
  </si>
  <si>
    <t>INTERNATIONAL JOURNAL OF UROLOGY</t>
  </si>
  <si>
    <t>EORTC QLQ-TC26; quality of life; retroperitoneal lymph node dissection; sexual function; testicular cancer</t>
  </si>
  <si>
    <t>LYMPH-NODE DISSECTION; LONG-TERM SURVIVORS; DYSFUNCTION; SCALE</t>
  </si>
  <si>
    <t>ObjectiveTo evaluate sexual function after treatment using the European Organization for Research and Treatment of Cancer Quality of Life Questionnaire-Testicular Cancer 26 (EORTC QLQ-TC26) questionnaire in Japanese testicular cancer (TC) survivors in a multi-institutional, cross-sectional study.MethodsThis study enrolled TC survivors who visited any of eight high-volume institutions in Japan from 2018 to 2019. After obtaining informed consent, participants completed the EORTC QLQ-TC26 questionnaires. We evaluated sexual function after treatment for TC using the EORTC QLQ-TC26 and analyzed the impact of treatment on sexual function in TC survivors.ResultsA total of 567 TC survivors responded to the EORTC QLQ-TC26. Median age at the time of response was 43 years (interquartile range [IQR] 35-51 years), and median follow-up period after treatment was 5.2 years (IQR 2.2-10.0 years). Sexual function, particularly ejaculatory function, was significantly lower after post-chemotherapy retroperitoneal lymph node dissection (PC-RPLND) than after Surveillance or Chemotherapy groups (p &lt; 0.05). In the PC-RPLND group, nerve-sparing procedure preserved postoperative ejaculatory function after RPLND compared with the non-nerve-sparing and offered improved ejaculatory function with time. On multivariate analysis, RPLND was a significant predictor of post-treatment ejaculatory dysfunction, particularly without nerve-sparing (odds ratio 3.0, 95% CI 1.2-7.7, p &lt; 0.05). In addition, TC survivors with nerve-sparing RPLND had higher sexual activity than those without.ConclusionThis survey of the EORTC QLQ-TC26 showed that sexual function and activity in TC survivors after RPLND was reduced in the absence of nerve-sparing techniques.</t>
  </si>
  <si>
    <t>[Koyama, Juntaro; Yamashita, Shinichi; Ito, Akihiro; Arai, Yoichi] Tohoku Univ, Grad Sch Med, Dept Urol, 1-1 Seiryo Machi Aoba Ku, Sendai, Miyagi 9808574, Japan; [Kakimoto, Kenichi; Nishimura, Kazuo] Osaka Int Canc Inst, Dept Urol, Osaka, Osaka, Japan; [Uemura, Motohide; Nonomura, Norio] Osaka Univ, Grad Sch Med, Dept Urol, Suita, Osaka, Japan; [Kishida, Takeshi] Kanagawa Canc Ctr, Dept Urol, Yokohama, Kanagawa, Japan; [Kawai, Koji; Nishiyama, Hiroyuki] Univ Tsukuba, Dept Urol, Tsukuba, Ibaraki, Japan; [Nakamura, Terukazu; Shiraishi, Takumi; Ukimura, Osamu] Kyoto Prefectural Univ Med, Dept Urol, Kyoto, Kyoto, Japan; [Nakamura, Terukazu] Saiseikai Imperial Gift Fdn Inc, Saiseikai Suita Hosp, Dept Urol, Suita, Osaka, Japan; [Goto, Takayuki; Ogawa, Osamu] Kyoto Univ, Grad Sch Med, Dept Urol, Kyoto, Kyoto, Japan; [Goto, Takayuki; Ogawa, Osamu] Kyoto Univ, Fac Med, Kyoto, Kyoto, Japan; [Osawa, Takahiro; Shinohara, Nobuo] Hokkaido Univ, Grad Sch Med, Dept Urol, Sapporo, Hokkaido, Japan; [Suzukamo, Yoshimi] Tohoku Univ, Grad Sch Med, Dept Phys Med &amp; Rehabil, Sendai, Miyagi, Japan; [Arai, Yoichi] Miyagi Canc Ctr, Dept Urol, Natori, Miyagi, Japan</t>
  </si>
  <si>
    <t>Tohoku University; Osaka University; Kanagawa Prefectural Cancer Center; University of Tsukuba; Kyoto Prefectural University of Medicine; Saiseikai Imperial Gift Foundation, Inc.; Kyoto University; Kyoto University; Hokkaido University; Tohoku University; Miyagi Cancer Center</t>
  </si>
  <si>
    <t>Yamashita, S (corresponding author), Tohoku Univ, Grad Sch Med, Dept Urol, 1-1 Seiryo Machi Aoba Ku, Sendai, Miyagi 9808574, Japan.</t>
  </si>
  <si>
    <t>yamashita@uro.med.tohoku.ac.jp</t>
  </si>
  <si>
    <t>Kishida, Takeshi/0000-0002-6016-108X; Goto, Takayuki/0000-0001-6537-3068; Osawa, Takahiro/0000-0003-4444-7958</t>
  </si>
  <si>
    <t>Japan Society for the Promotion of Science [18K09185]</t>
  </si>
  <si>
    <t>Japan Society for the Promotion of Science(Ministry of Education, Culture, Sports, Science and Technology, Japan (MEXT)Japan Society for the Promotion of Science)</t>
  </si>
  <si>
    <t>ACKNOWLEDGMENTS This work was supported in part by Grants-in-Aid for Scientific Research from the Japan Society for the Promotion of Science (18K09185). The authors thank Shigeyuki Yamada, Shinji Fujii, Takuma Sato, Shuichi Shimada, Yoshihide Kawasaki, Naoki Kawamorita, and Koji Mitsuzuka (Tohoku University Graduate School of Medicine) for their assistance in data collection.</t>
  </si>
  <si>
    <t>0919-8172</t>
  </si>
  <si>
    <t>1442-2042</t>
  </si>
  <si>
    <t>INT J UROL</t>
  </si>
  <si>
    <t>Int. J. Urol.</t>
  </si>
  <si>
    <t>10.1111/iju.15262</t>
  </si>
  <si>
    <t>N6UR8</t>
  </si>
  <si>
    <t>WOS:001038344100001</t>
  </si>
  <si>
    <t>Lee, E; Ilseven, E; Puranam, P</t>
  </si>
  <si>
    <t>Lee, Eucman; Ilseven, Ekin; Puranam, Phanish</t>
  </si>
  <si>
    <t>Scaling nonhierarchically: A theory of conflict-free organizational growth with limited hierarchical growth</t>
  </si>
  <si>
    <t>STRATEGIC MANAGEMENT JOURNAL</t>
  </si>
  <si>
    <t>formal modeling; microstructures; organizational design; scaling</t>
  </si>
  <si>
    <t>PRODUCT MARKET COMPETITION; FLATTENING FIRM; MANAGEMENT; INNOVATION; KNOWLEDGE; TEAMS; MODEL; INTERDEPENDENCE; MODULARITY; SOFTWARE</t>
  </si>
  <si>
    <t>Research SummaryWe propose a theory that explains variations in the relationship between an organization's size and the extent of its authority hierarchy (as captured in managerial intensity). Conceptualizing authority hierarchy as a means to manage conflicts among subordinates, we formulate a model in which the number of managers required depends on the magnitude of conflicts generated between and within groups of workers. Our analysis shows that scaling non-hierarchically can be accomplished either by creating low conflict self-managing teams or reducing conflicts between many self-contained teams, but which path is more effective varies by situation. Small initial differences in terms of their emphasis on within vs. between team conflict mitigation can lead to large differences as firms scale over time in the extent of their authority hierarchies.Managerial SummaryManaging without an extensive hierarchy can be attractive for a variety of reasons, but under what conditions is it possible in large scale organizations? We build on the premise that the managerial hierarchy of authority serves to resolve conflicts that employees cannot resolve peer-to-peer (i.e., there are limits to scaling groups that manage themselves consensually). We develop a formal theory that predicts that there are three levers that can slow down the growth of managerial hierarchy even as the organization scales: investing in the technology and culture needed to (a) expand managerial capacity particularly toward the apex of the hierarchy (b) create self-managed teams that produce few conflicts in need of managerial resolution and (c) create self-contained teams that generate few conflicts between them that need escalation up the hierarchy for resolution. The third is likely to be the most effective lever as organizations grow.</t>
  </si>
  <si>
    <t>[Lee, Eucman] Nanyang Technol Univ, Singapore, Singapore; [Ilseven, Ekin] Univ Catol Portuguesa, Catol Lisbon Sch Business &amp; Econ, Lisbon, Portugal; [Puranam, Phanish] INSEAD, Singapore, Singapore; [Puranam, Phanish] INSEAD, 1 Ayer Rajah Ave, Singapore 138676, Singapore</t>
  </si>
  <si>
    <t>Nanyang Technological University &amp; National Institute of Education (NIE) Singapore; Nanyang Technological University; Universidade Catolica Portuguesa; INSEAD Business School; INSEAD Business School</t>
  </si>
  <si>
    <t>Puranam, P (corresponding author), INSEAD, 1 Ayer Rajah Ave, Singapore 138676, Singapore.</t>
  </si>
  <si>
    <t>phanish.puranam@insead.edu</t>
  </si>
  <si>
    <t>Ilseven, Ekin/0000-0001-8216-3150</t>
  </si>
  <si>
    <t>Desmairis Fund</t>
  </si>
  <si>
    <t>The Desmairis Fund at INSEAD for the Organizations and Algorithms project</t>
  </si>
  <si>
    <t>0143-2095</t>
  </si>
  <si>
    <t>1097-0266</t>
  </si>
  <si>
    <t>STRATEGIC MANAGE J</t>
  </si>
  <si>
    <t>Strateg. Manage. J.</t>
  </si>
  <si>
    <t>10.1002/smj.3541</t>
  </si>
  <si>
    <t>Business; Management</t>
  </si>
  <si>
    <t>N9ML5</t>
  </si>
  <si>
    <t>WOS:001040168000001</t>
  </si>
  <si>
    <t>Li, Y; Zhang, YH; Xiao, KL; Si, J; Zhang, HY; Sun, LJ; Miao, ZP; Zhao, T; Sun, JH; Sun, XP; Liu, Z; Gao, J; Zhao, J; Chu, X; Li, J</t>
  </si>
  <si>
    <t>Li, Yan; Zhang, Yinghua; Xiao, Keling; Si, Jin; Zhang, Haoyu; Sun, Lijie; Miao, Zupei; Zhao, Ting; Sun, Jinghao; Sun, Xipeng; Liu, Zhi; Gao, Jing; Zhao, Jing; Chu, Xi; Li, Jing</t>
  </si>
  <si>
    <t>The incidence of subclinical atherosclerosis in subjects with low and moderate cardiovascular risk</t>
  </si>
  <si>
    <t>CLINICAL CARDIOLOGY</t>
  </si>
  <si>
    <t>brachial flow-mediated dilation; brachial-ankle pulse wave velocity; China-par risk model; Framingham risk model; subclinical atherosclerosis</t>
  </si>
  <si>
    <t>PULSE-WAVE VELOCITY; ENDOTHELIAL VASOMOTOR FUNCTION; HEART-DISEASE; FRAMINGHAM; EVENTS; MORTALITY; MEN; PREDICTION; PROFILE; MODELS</t>
  </si>
  <si>
    <t>BackgroundThe cardiovascular risk models and subclinical atherosclerotic indicators are both recommended for cardiovascular risk stratification. The accordance between the incidence of subclinical atherosclerosis and subjects with low and moderate cardiovascular risk is unclear. HypothesisSubjects with low and moderate cardiovascular risk have a lower incidence of subclinical atherosclerosis compared with subjects with high risk. MethodsBrachial-ankle pulse wave velocity (BaPWV) and brachial flow-mediated dilation (BFMD) were measured in 421 subjects without a history of atherosclerotic cardiovascular disease (ASCVD) from October 2016 to January 2020. All subjects were classified into low, moderate, and high risk based on Framingham and China-par risk models respectively. ResultsMean age was 57.05 &amp; PLUSMN; 9.35 years and 248 (58.9%) were male. In subjects with low, moderate, and high risk assessed by Framingham and China-par risk models, the percentage of abnormal BaPWV ( &gt; 1400 cm/s) was 42.9%, 70.1%, 85.7%, and 40.4%, 71.4%, 89.7%, respectively. Meanwhile, the percentage of abnormal BFMD ( &amp; LE; 7%) was 43.8%, 68.5%, 77.3%, and 44.9%,72.1%, and 76.6%. According to Framingham-based high-risk categories, positive predictive value (PPV), negative predictive value (NPV), sensitivity and specificity for BaPWV abnormality were 85.7%, 39.4%, 36.1%, and 87.5%, respectively. For BFMD abnormality, the values were 77.3%, 40.1%, 34.1%, and 81.8%, respectively. According to China-par high-risk categories, the values for BaPWV abnormality were 89.7%, 43.8%, 45.6%, and 89.0%, respectively. For BFMD abnormality, the values were 76.6%, 41.3%, 40.7%, and 77%, respectively. In multivariate analysis, age and blood pressure were the independent predictors for subclinical atherosclerosis in subjects with low-moderate risk. ConclusionsMore than one-half of subjects with low and moderate risk already have detectable subclinical atherosclerosis, indicating higher cardiovascular risk beyond the traditional stratification.</t>
  </si>
  <si>
    <t>[Li, Yan; Xiao, Keling; Si, Jin; Zhang, Haoyu; Sun, Lijie; Miao, Zupei; Zhao, Ting; Sun, Jinghao; Li, Jing] Capital Med Univ, Xuanwu Hosp, Natl Clin Res Ctr Geriatr Dis, Dept Geriatr, Beijing 100053, Peoples R China; [Zhang, Yinghua] Tsinghua Univ, Chui Yang Liu Hosp, Dept Cardiol, Beijing, Peoples R China; [Sun, Xipeng; Liu, Zhi; Gao, Jing] Capital Med Univ, Xuanwu Hosp, Dept Cardiol, Beijing, Peoples R China; [Zhao, Jing; Chu, Xi] Capital Med Univ, Xuanwu Hosp, Hlth Management Ctr, Beijing 100053, Peoples R China</t>
  </si>
  <si>
    <t>Capital Medical University; Tsinghua University; Capital Medical University; Capital Medical University</t>
  </si>
  <si>
    <t>Li, J (corresponding author), Capital Med Univ, Xuanwu Hosp, Natl Clin Res Ctr Geriatr Dis, Dept Geriatr, Beijing 100053, Peoples R China.;Chu, X (corresponding author), Capital Med Univ, Xuanwu Hosp, Hlth Management Ctr, Beijing 100053, Peoples R China.</t>
  </si>
  <si>
    <t>cissy9007@163.com; shpxbb@sina.com</t>
  </si>
  <si>
    <t>Program of National Natural Science Foundation of China [82170347]</t>
  </si>
  <si>
    <t>Program of National Natural Science Foundation of China(National Natural Science Foundation of China (NSFC))</t>
  </si>
  <si>
    <t>ACKNOWLEDGMENTS This study was supported by the Program of National Natural Science Foundation of China (Serial Number: 82170347).</t>
  </si>
  <si>
    <t>0160-9289</t>
  </si>
  <si>
    <t>1932-8737</t>
  </si>
  <si>
    <t>CLIN CARDIOL</t>
  </si>
  <si>
    <t>Clin. Cardiol.</t>
  </si>
  <si>
    <t>10.1002/clc.24087</t>
  </si>
  <si>
    <t>N5PJ8</t>
  </si>
  <si>
    <t>WOS:001037527100001</t>
  </si>
  <si>
    <t>Liu, Q; Vandewal, K</t>
  </si>
  <si>
    <t>Liu, Quan; Vandewal, Koen</t>
  </si>
  <si>
    <t>Understanding and Suppressing Non-Radiative Recombination Losses in Non-Fullerene Organic Solar Cells</t>
  </si>
  <si>
    <t>charge-transfer state; electroluminescence quantum efficiency; non-radiative recombination; open-circuit voltage loss; organic photovoltaic</t>
  </si>
  <si>
    <t>OPEN-CIRCUIT VOLTAGE; CHARGE-TRANSFER STATES; ENERGY-GAP LAW; MOLECULAR-ORIENTATION; EFFICIENCY; IMPACT; LIMIT; GENERATION; ACCEPTORS; EXCITONS</t>
  </si>
  <si>
    <t>Organic solar cells benefit from non-fullerene acceptors (NFA) due to their high absorption coefficients, tunable frontier energy levels, and optical gaps, as well as their relatively high luminescence quantum efficiencies as compared to fullerenes. Those merits result in high yields of charge generation at a low or negligible energetic offset at the donor/NFA heterojunction, with efficiencies over 19% achieved for single-junction devices. Pushing this value significantly over 20% requires an increase in open-circuit voltage, which is currently still well below the thermodynamic limit. This can only be achieved by reducing non-radiative recombination, and hereby increasing the electroluminescence quantum efficiency of the photo-active layer. Here, current understanding of the origin of non-radiative decay, as well as an accurate quantification of the associated voltage losses are summarized. Promising strategies for suppressing these losses are highlighted, with focus on new material design, optimization of donor-acceptor combination, and blend morphology. This review aims at guiding researchers in their quest to find future solar harvesting donor-acceptor blends, which combine a high yield of exciton dissociation with a high yield of radiative free carrier recombination and low voltage losses, hereby closing the efficiency gap with inorganic and perovskite photovoltaics.</t>
  </si>
  <si>
    <t>[Liu, Quan; Vandewal, Koen] Hasselt Univ, IMOMEC, Wetenschapspk 1, B-3590 Diepenbeek, Belgium; [Liu, Quan] Chinese Acad Sci, Ningbo Inst Mat Technol &amp; Engn, Zhejiang Prov Engn Res Ctr Energy Optoelect Mat &amp;, Ningbo 315201, Peoples R China</t>
  </si>
  <si>
    <t>Hasselt University; Chinese Academy of Sciences; Ningbo Institute of Materials Technology and Engineering, CAS</t>
  </si>
  <si>
    <t>Liu, Q; Vandewal, K (corresponding author), Hasselt Univ, IMOMEC, Wetenschapspk 1, B-3590 Diepenbeek, Belgium.;Liu, Q (corresponding author), Chinese Acad Sci, Ningbo Inst Mat Technol &amp; Engn, Zhejiang Prov Engn Res Ctr Energy Optoelect Mat &amp;, Ningbo 315201, Peoples R China.</t>
  </si>
  <si>
    <t>liuquan@nimte.ac.cn; koen.vandewal@uhasselt.be</t>
  </si>
  <si>
    <t>Vandewal, Koen/0000-0001-5471-383X</t>
  </si>
  <si>
    <t>European Research Council (ERC) [864625]; European Union [882794]; European Research Council (ERC) [864625] Funding Source: European Research Council (ERC); Marie Curie Actions (MSCA) [882794] Funding Source: Marie Curie Actions (MSCA)</t>
  </si>
  <si>
    <t>European Research Council (ERC)(European Research Council (ERC)Spanish Government); European Union(European Union (EU)); European Research Council (ERC)(European Research Council (ERC)Spanish Government); Marie Curie Actions (MSCA)(Marie Curie Actions)</t>
  </si>
  <si>
    <t>The authors acknowledge financial support from the European Research Council (ERC, grant agreement 864625) and the European Union's Horizon 2020 research and innovation program under the Marie-Curie grant agreement no. 882794.</t>
  </si>
  <si>
    <t>10.1002/adma.202302452</t>
  </si>
  <si>
    <t>Q8DZ3</t>
  </si>
  <si>
    <t>WOS:001040100500001</t>
  </si>
  <si>
    <t>Lotfata, A; Cortesao, J; Zinsmeister, H; Steeneveld, GJ; van Zeben, J; Taylor, Z; Tan, WY; Elkhateeb, S</t>
  </si>
  <si>
    <t>Lotfata, Aynaz; Cortesao, Joao; Zinsmeister, Hestia; Steeneveld, Gert-Jan; van Zeben, Josephine; Taylor, Zac; Tan, Wendy; Elkhateeb, Samah</t>
  </si>
  <si>
    <t>Climate adaptation in informal areas in hot arid climates</t>
  </si>
  <si>
    <t>climate adaptation; climate-adaptive design; heat stress; heat-vulnerable groups; hot arid climates; informal urban areas</t>
  </si>
  <si>
    <t>THERMAL COMFORT; GREATER CAIRO; URBAN</t>
  </si>
  <si>
    <t>This conceptual and exploratory research study investigates, systematically and holistically, climate-adaptive spatial design interventions for high-density informal urban areas in hot arid climates, which remain understudied despite their vulnerability to heat stress and the heat-vulnerable groups populating them. Five streetscape design prototypes are proposed that include climate-adaptive spatial interventions appraised qualitatively with consideration to relevant feasibility matters: land use planning, equity, affordability, mobility, and sense of place. The study shows that there is potential for climate-adaptive interventions in informal urban areas in hot arid climates, but that these interventions also present challenges. Common climate-adaptive design strategies can be used to address heat stress in these areas but, for example, increasing vegetation might be challenging due to water stress. As a conceptual study, the findings presented and the discussion raised on feasibility are targeted at opening avenues for future research, and at informing decision-makers and spatial designers.</t>
  </si>
  <si>
    <t>[Lotfata, Aynaz] Chicago State Univ, Geog Dept, Chicago, IL USA; [Cortesao, Joao; Zinsmeister, Hestia] Wageningen Univ, Landscape Architecture Grp, Wageningen, Netherlands; [Steeneveld, Gert-Jan] Wageningen Univ, Meteorol &amp; Air Qual Sect, Wageningen, Netherlands; [van Zeben, Josephine] Wageningen Univ, Law Grp, Wageningen, Netherlands; [Taylor, Zac] Delft Univ Technol, Fac Architecture &amp; Built Environm, Delft, Netherlands; [Tan, Wendy] Wageningen Univ, Spatial Planning Grp, Wageningen, Netherlands; [Elkhateeb, Samah] Ain Shams Univ, Dept Urban Design &amp; planning, Cairo, Egypt; [Cortesao, Joao] Wageningen Univ, Landscape Architecture Grp, Droevendaalsesteeg 3, NL-6708PB Wageningen, Netherlands</t>
  </si>
  <si>
    <t>Chicago State University; Wageningen University &amp; Research; Wageningen University &amp; Research; Wageningen University &amp; Research; Delft University of Technology; Wageningen University &amp; Research; Egyptian Knowledge Bank (EKB); Ain Shams University; Wageningen University &amp; Research</t>
  </si>
  <si>
    <t>Cortesao, J (corresponding author), Wageningen Univ, Landscape Architecture Grp, Droevendaalsesteeg 3, NL-6708PB Wageningen, Netherlands.</t>
  </si>
  <si>
    <t>joao.cortesao@wur.nl</t>
  </si>
  <si>
    <t>Tan, Wendy/0000-0002-3864-8713</t>
  </si>
  <si>
    <t>4TU DeSIRE Resilience Fellowships Programme</t>
  </si>
  <si>
    <t>10.1002/sd.2708</t>
  </si>
  <si>
    <t>O0LO2</t>
  </si>
  <si>
    <t>WOS:001040824300001</t>
  </si>
  <si>
    <t>Lucas-Torres, C; Caradeuc, C; Prieur, L; Djemai, H; Youssef, L; Noirez, P; Coumoul, X; Audouze, K; Giraud, N; Bertho, G</t>
  </si>
  <si>
    <t>Lucas-Torres, Covadonga; Caradeuc, Cedric; Prieur, Laura; Djemai, Haidar; Youssef, Layale; Noirez, Philippe; Coumoul, Xavier; Audouze, Karine; Giraud, Nicolas; Bertho, Gildas</t>
  </si>
  <si>
    <t>NMR metabolomics study of chronic low-dose exposure to a cocktail of persistent organic pollutants</t>
  </si>
  <si>
    <t>chronic exposure; EDCs; low-dose exposure; multitissue study; NMR; POPs; untargeted metabolomics</t>
  </si>
  <si>
    <t>ADIPOSE-TISSUE; LIVER; SPECTROSCOPY; H-1-NMR; RATS; IDENTIFICATION; MIXTURE; FRENCH; BRAIN; SERUM</t>
  </si>
  <si>
    <t>Nowadays, exposure to endocrine-disrupting chemicals (EDCs), including persistent organic pollutants (POPs), is one of the most critical threats to public health. EDCs are chemicals that mimic, block, or interfere with hormones in the body's endocrine system and have been associated with a wide range of health issues. This innovative, untargeted metabolomics study investigates chronic low-dose internal exposure to a cocktail of POPs on multiple tissues that are known to accumulate these lipophilic compounds. Interestingly, the metabolic response differs among selected tissues/organs in mice. In the liver, we observed a dynamic effect according to the exposure time and the doses of POPs. In the brain tissue, the situation is the opposite, leading to the conclusion that the presence of POPs immediately gives a saturated effect that is independent of the dose and the duration of exposure studied. By contrast, for the adipose tissues, nearly no effect is observed. This metabolic profiling leads to a holistic and dynamic overview of the main metabolic pathways impacted in lipophilic tissues by a cocktail of POPs.</t>
  </si>
  <si>
    <t>[Lucas-Torres, Covadonga; Caradeuc, Cedric; Prieur, Laura; Giraud, Nicolas; Bertho, Gildas] Univ Paris Cite, CNRS UMR 8601, Lab Chim &amp; Biochim Pharmacol &amp; Toxicol, Paris, France; [Djemai, Haidar; Youssef, Layale; Noirez, Philippe; Coumoul, Xavier; Audouze, Karine] Univ Paris C, INSERM UMR S 1124, Environm Tox Therapeut Targets Cellular Signaling, Paris, France; [Noirez, Philippe] Univ Reims, UFR STAPS, Performance Sante Metrol Soc PSMS, Campus Moulin Housse, Reims, France; [Noirez, Philippe] Univ Quebec Montreal UQAM, Dept Sci Act Phys, Montreal, PQ, Canada; [Bertho, Gildas] Univ Paris Cite, LCBPT, UMR CNRS 8601, 45 Rue St Peres, F-75006 Paris, France</t>
  </si>
  <si>
    <t>UDICE-French Research Universities; Universite Paris Cite; Centre National de la Recherche Scientifique (CNRS); CNRS - Institute of Chemistry (INC); UDICE-French Research Universities; Universite Paris Cite; Institut National de la Sante et de la Recherche Medicale (Inserm); Universite de Reims Champagne-Ardenne; University of Quebec; University of Quebec Montreal; UDICE-French Research Universities; Universite Paris Cite; Centre National de la Recherche Scientifique (CNRS); CNRS - Institute of Chemistry (INC)</t>
  </si>
  <si>
    <t>Bertho, G (corresponding author), Univ Paris Cite, LCBPT, UMR CNRS 8601, 45 Rue St Peres, F-75006 Paris, France.</t>
  </si>
  <si>
    <t>gildas.bertho@u-paris.fr</t>
  </si>
  <si>
    <t>Noirez, Philippe/0000-0003-4538-803X</t>
  </si>
  <si>
    <t>Agence Nationale de la Recherche [18-CE-34-0001]; ITMO Cancer d'AVIESAN</t>
  </si>
  <si>
    <t>Agence Nationale de la Recherche(Agence Nationale de la Recherche (ANR)); ITMO Cancer d'AVIESAN</t>
  </si>
  <si>
    <t>Agence Nationale de la Recherche, Grant/Award Number: 18-CE-34-0001; ITMO Cancer d'AVIESAN</t>
  </si>
  <si>
    <t>10.1002/nbm.5006</t>
  </si>
  <si>
    <t>N9DU1</t>
  </si>
  <si>
    <t>WOS:001039940600001</t>
  </si>
  <si>
    <t>Mayer, C; Nehring, S; Kucken, M; Repnik, U; Seifert, S; Sljukic, A; Delpierre, J; Morales-Navarrete, H; Hinz, S; Brosch, M; Chung, B; Karlsen, T; Huch, M; Kalaidzidis, Y; Brusch, L; Hampe, J; Schafmayer, C; Zerial, M</t>
  </si>
  <si>
    <t>Mayer, Carlotta; Nehring, Sophie; Kuecken, Michael; Repnik, Urska; Seifert, Sarah; Sljukic, Aleksandra; Delpierre, Julien; Morales-Navarrete, Hernan; Hinz, Sebastian; Brosch, Mario; Chung, Brian; Karlsen, Tom; Huch, Meritxell; Kalaidzidis, Yannis; Brusch, Lutz; Hampe, Jochen; Schafmayer, Clemens; Zerial, Marino</t>
  </si>
  <si>
    <t>Apical bulkheads accumulate as adaptive response to impaired bile flow in liver disease</t>
  </si>
  <si>
    <t>Apical bulkheads; Bile canaliculi; Hepatocyte rosettes; Hepatocytes; Primary sclerosing cholangitis</t>
  </si>
  <si>
    <t>PRIMARY SCLEROSING CHOLANGITIS; DUCTULAR REACTIONS; BILIARY TREE; ACIDS; HEPATOCYTES; CANALICULI; MOUSE; SERUM; CHOLESTASIS; DISRUPTION</t>
  </si>
  <si>
    <t>Hepatocytes form bile canaliculi that dynamically respond to the signalling activity of bile acids and bile flow. Little is known about their responses to intraluminal pressure. During embryonic development, hepatocytes assemble apical bulkheads that increase the canalicular resistance to intraluminal pressure. Here, we investigate whether they also protect bile canaliculi against elevated pressure upon impaired bile flow in adult liver. Apical bulkheads accumulate upon bile flow obstruction in mouse models and patients with primary sclerosing cholangitis (PSC). Their loss under these conditions leads to abnormally dilated canaliculi, resembling liver cell rosettes described in other hepatic diseases. 3D reconstruction reveals that these structures are sections of cysts and tubes formed by hepatocytes. Mathematical modelling establishes that they positively correlate with canalicular pressure and occur in early PSC stages. Using primary hepatocytes and 3D organoids, we demonstrate that excessive canalicular pressure causes the loss of apical bulkheads and formation of rosettes. Our results suggest that apical bulkheads are a protective mechanism of hepatocytes against impaired bile flow, highlighting the role of canalicular pressure in liver diseases.</t>
  </si>
  <si>
    <t>[Mayer, Carlotta; Seifert, Sarah; Sljukic, Aleksandra; Delpierre, Julien; Morales-Navarrete, Hernan; Huch, Meritxell; Kalaidzidis, Yannis; Zerial, Marino] Max Planck Inst Mol Cell Biol &amp; Genet, Dresden, Germany; [Nehring, Sophie; Brosch, Mario; Hampe, Jochen] Tech Univ Dresden TU Dresden, Univ Hosp Carl Gustav Carus, Dept Med1 Gastroenterol &amp; Hepatol, Dresden, Germany; [Kuecken, Michael; Brusch, Lutz] Tech Univ Dresden, Ctr Informat Serv &amp; High Performance Comp, Dresden, Germany; [Repnik, Urska] Christian Albrechts Universtat Kiel CAU, Dept Biol, Cent Microscopy, Kiel, Germany; [Hinz, Sebastian; Schafmayer, Clemens] Univ Hosp Rostock, Dept Gen Surg, Rostock, Germany; [Brosch, Mario; Hampe, Jochen] Tech Univ Dresden TU Dresden, Ctr Regenerat Therapies Dresden CRTD, Dresden, Germany; [Chung, Brian; Karlsen, Tom] Univ Oslo, Hosp Rikshospitalet,Norwegian PSC Res Ctr, Dept Transplantat Med, Clin Surg, Oslo, Norway; [Chung, Brian; Karlsen, Tom] Univ Oslo, Oslo Univ Hosp, Res Inst Internal Med, Clin Surg, Oslo, Norway</t>
  </si>
  <si>
    <t>Max Planck Society; Technische Universitat Dresden; Carl Gustav Carus University Hospital; Technische Universitat Dresden; University of Rostock; Technische Universitat Dresden; University of Oslo; National Hospital Norway; University of Oslo</t>
  </si>
  <si>
    <t>Zerial, M (corresponding author), Max Planck Inst Mol Cell Biol &amp; Genet, Dresden, Germany.</t>
  </si>
  <si>
    <t>zerial@mpi-cbg.de</t>
  </si>
  <si>
    <t>Karlsen, Tom/E-9686-2013</t>
  </si>
  <si>
    <t>Delpierre, Julien/0000-0002-3204-4396; Brusch, Lutz/0000-0003-0137-5106; Morales-Navarrete/0000-0002-9578-2556</t>
  </si>
  <si>
    <t>German Federal Ministry of Research and Education (BMBF) [031L0258C, 031L0038, 31L0082B]; European Research Council (ERC) under the European Union's Horizon 2020 research innovation programme [695646]; Deutsche Forschungsgemeinschaft [EXC-2068390729961]; Max Planck Society; Projekt DEAL</t>
  </si>
  <si>
    <t>German Federal Ministry of Research and Education (BMBF)(Federal Ministry of Education &amp; Research (BMBF)); European Research Council (ERC) under the European Union's Horizon 2020 research innovation programme(European Research Council (ERC)); Deutsche Forschungsgemeinschaft(German Research Foundation (DFG)); Max Planck Society(Max Planck SocietyFoundation CELLEX); Projekt DEAL</t>
  </si>
  <si>
    <t>We are grateful to Maarten Bebelman and Lenka Belicova for valuable discussion. We would like to acknowledge Jan Peychl from the Light Microscopy facility, and Katrin Reppe and Anke Muench-Wuttke from the Biomedical Services facility at MPI-CBG for their contributions. We appreciate the support of Rico Barsacchi and Martin Stoeter from the Technology Development Studio at MPI-CBG for their support with live imaging. We thank Julia Jarrells from the Cell Technologies facility at MPI-CBG for the support with qPCR. We would like to thank Alexandra Kalaidzidis for the introduction to Blender. We thank the Central Microscopy at the Department of Biology, University Kiel, where the electron microscopic analyses were performed. We thank the Centre for Information Services and High Performance Computing (ZIH) of the TU Dresden for the generous provision of computing power. This project has received funding from the German Federal Ministry of Research and Education (BMBF) (LiSyM-Krebs grant no. 031L0258C, LiSyM-EMI grant no. 031L0038; and DynaFlow grant no. 31L0082B), the European Research Council (ERC) under the European Union's Horizon 2020 research innovation programme (grant agreement no. 695646), the Deutsche Forschungsgemeinschaft under Germany's Excellence Strategy (EXC-2068-390729961 Cluster of Excellence Physics of Life of Technische Universitaet Dresden) and the Max Planck Society. Open access funding was provided by the Max Planck Society. Open Access funding enabled and organized by Projekt DEAL. Open Access funding enabled and organized by Projekt DEAL.</t>
  </si>
  <si>
    <t>10.15252/embr.202357181</t>
  </si>
  <si>
    <t>R4CP1</t>
  </si>
  <si>
    <t>hybrid, Green Accepted</t>
  </si>
  <si>
    <t>WOS:001039881900001</t>
  </si>
  <si>
    <t>Miromanova, A</t>
  </si>
  <si>
    <t>Miromanova, Anna</t>
  </si>
  <si>
    <t>Quantifying the trade-reducing effect of embargoes: Firm-level evidence from Russia</t>
  </si>
  <si>
    <t>CANADIAN JOURNAL OF ECONOMICS-REVUE CANADIENNE D ECONOMIQUE</t>
  </si>
  <si>
    <t>ECONOMIC SANCTIONS; IMPACT</t>
  </si>
  <si>
    <t>In 2014, Russia responded to sanctions imposed by a coalition of Western countries with a retaliatory import embargo. I draw on this unique case study and a customs data set on firm-level import transactions to investigate the ramifications of Russia's counter-sanctions on firm-level foreign trade. Using detailed data and a triple-difference estimation strategy, I examine micro-level dynamics and heterogeneities that aggregate data alone do not reveal. I identify the effects of the embargo on the extensive margin (the probability that a firm imports a particular product from a given country in a particular time period) and the intensive margin (the value of a firm's import transaction) of firm-level trade, as well as its effects on logged unit values. The main findings of this study show that the embargo had statistically significant negative impacts on extensive and intensive margins of firm-level trade. I also pinpoint evidence of multiple exemptions from the embargo and a large degree of heterogeneity of firm-level responses to the embargo based on firm attributes, such as firm size and government connection.</t>
  </si>
  <si>
    <t>[Miromanova, Anna] Lewis &amp; Clark Coll, Dept Econ, Portland, OR 97219 USA</t>
  </si>
  <si>
    <t>Miromanova, A (corresponding author), Lewis &amp; Clark Coll, Dept Econ, Portland, OR 97219 USA.</t>
  </si>
  <si>
    <t>miromanna@gmail.com</t>
  </si>
  <si>
    <t>Miromanova, Anna/0000-0002-1945-3849</t>
  </si>
  <si>
    <t>0008-4085</t>
  </si>
  <si>
    <t>1540-5982</t>
  </si>
  <si>
    <t>CAN J ECON</t>
  </si>
  <si>
    <t>Can. J. Econ.-Rev. Can. Econ.</t>
  </si>
  <si>
    <t>10.1111/caje.12667</t>
  </si>
  <si>
    <t>N8JJ2</t>
  </si>
  <si>
    <t>WOS:001039409300001</t>
  </si>
  <si>
    <t>Prenosil, A</t>
  </si>
  <si>
    <t>Prenosil, Adam</t>
  </si>
  <si>
    <t>Logics of upsets of De Morgan lattices</t>
  </si>
  <si>
    <t>MATHEMATICAL LOGIC QUARTERLY</t>
  </si>
  <si>
    <t>We study logics determined by matrices consisting of a De Morgan lattice with an upward closed set of designated values, such as the logic of non-falsity preservation in a given finite Boolean algebra and Shramko's logic of non-falsity preservation in the four-element subdirectly irreducible De Morgan lattice. The key tool in the study of these logics is the lattice-theoretic notion of an n-filter. We study the logics of all (complete, consistent, and classical) n-filters on De Morgan lattices, which are non-adjunctive generalizations of the four-valued logic of Belnap and Dunn (of the three-valued logics of Priest and Kleene, and of classical logic). We then show how to find a finite Hilbert-style axiomatization of any logic determined by a finite family of prime upsets of finite De Morgan lattices and a finite Gentzen-style axiomatization of any logic determined by a finite family of filters on finite De Morgan lattices. As an application, we axiomatize Shramko's logic of anything but falsehood.</t>
  </si>
  <si>
    <t>[Prenosil, Adam] Univ Barcelona, Dept Philosophy, Montalegre 6, Barcelona 08001, Spain</t>
  </si>
  <si>
    <t>University of Barcelona</t>
  </si>
  <si>
    <t>Prenosil, A (corresponding author), Univ Barcelona, Dept Philosophy, Montalegre 6, Barcelona 08001, Spain.</t>
  </si>
  <si>
    <t>adam.prenosil@unica.it</t>
  </si>
  <si>
    <t>Fondazione di Sardegna [F72F20000410007]</t>
  </si>
  <si>
    <t>Fondazione di Sardegna(Fondazione Banco di Sardegna)</t>
  </si>
  <si>
    <t>Fondazione di Sardegna, Grant/Award Number: F72F20000410007</t>
  </si>
  <si>
    <t>0942-5616</t>
  </si>
  <si>
    <t>1521-3870</t>
  </si>
  <si>
    <t>MATH LOGIC QUART</t>
  </si>
  <si>
    <t>Math. Log. Q.</t>
  </si>
  <si>
    <t>10.1002/malq.202100076</t>
  </si>
  <si>
    <t>Mathematics; Logic</t>
  </si>
  <si>
    <t>Mathematics; Science &amp; Technology - Other Topics</t>
  </si>
  <si>
    <t>N8OP5</t>
  </si>
  <si>
    <t>WOS:001039545900001</t>
  </si>
  <si>
    <t>Severance, LM; Pack, JD; Contijoch, FJ; McVeigh, ER</t>
  </si>
  <si>
    <t>Severance, Lauren M.; Pack, Jed D.; Contijoch, Francisco J.; McVeigh, Elliot R.</t>
  </si>
  <si>
    <t>Quantitative analysis of small coronary artery calcium detectability with an accurate simulation and validation on a clinical CT scanner</t>
  </si>
  <si>
    <t>CAC cardiac imaging; computed tomography; coronary artery calcium</t>
  </si>
  <si>
    <t>HEART-DISEASE; CALCIFICATION; ATHEROSCLEROSIS; RECONSTRUCTION; EVENTS; IMPACT</t>
  </si>
  <si>
    <t>BackgroundThe absence of coronary artery calcium (CAC) measured via CT is associated with very favorable prognosis, and current guidelines recommend low-density lipoprotein cholesterol (LDL-c) lowering therapy for individuals with any CAC. This motivates early detection of small granules of CAC; however, calcium scan sensitivity for detecting very low levels of calcium has not been quantified. PurposeIn this work, the size limit of detectability of small calcium hydroxyapatite (CaHA) granules with clinical CAC scanning was assessed using validated simulations. MethodsCT projections of digital 3D mathematical phantoms containing small CaHA granules were simulated analytically; images were reconstructed using a filter designed to reproduce the point spread function of a specific commercial scanner, and a relationship of HU number versus diameter was derived. These simulation results were validated with experimental measurements of HU versus diameter from phantoms containing small granules of CaHA on a GE Revolution CT scanner in the clinic; ground truth measurements of the CaHA granule diameters were obtained using a Zeiss Xradia 510 Versa high-resolution 3D micro-CT imaging system. Using experimental measurements on the clinical CT scanner, detectability was quantified with a detectability index (d') using a non-prewhitened matched filter. The effect of changes to reconstruction slice thickness and reconstruction kernel on granule detectability was evaluated. ResultsUnder typical clinical calcium scanning and reconstruction conditions, the minimum detectable diameter of a simulated spherical calcium granule with a clinically relevant CaHA density was 0.76 mm. The minimum detectable volume was 2.4 times smaller on images reconstructed at a slice thickness of 0.625 mm compared to 2.5 mm. The detectability index d' increased by a factor of 1.7 when images were reconstructed with 0.625 mm slices compared to 2.5 mm slices. d' did not change when images were reconstructed with the high-resolution BONE filter compared to the less sharp STANDARD resolution filter on the GE Revolution CT. ConclusionsWe have quantified detectability versus size of small calcium granules at the resolution limit of a widely available clinical CT scanner. Detectability increased significantly with reduced slice thickness and did not change with a sharper reconstruction kernel. The simulation can be used to calculate the trade-off between dose and CAC detectability. Keywords: computed tomography, coronary artery calcium, CAC, cardiac imaging</t>
  </si>
  <si>
    <t>[Severance, Lauren M.; Contijoch, Francisco J.; McVeigh, Elliot R.] UC San Diego Sch Engn, Dept Bioengn, 9500 Gilman Dr,MC0412, La Jolla, CA 92093 USA; [Pack, Jed D.] GE Global Res, Radiat Syst Lab, Niskayuna, NY USA; [Contijoch, Francisco J.; McVeigh, Elliot R.] UC San Diego Sch Med, Dept Radiol, La Jolla, CA USA; [McVeigh, Elliot R.] UC San Diego Sch Med, Dept Med, Div Cardiol, La Jolla, CA USA</t>
  </si>
  <si>
    <t>General Electric</t>
  </si>
  <si>
    <t>McVeigh, ER (corresponding author), UC San Diego Sch Engn, Dept Bioengn, 9500 Gilman Dr,MC0412, La Jolla, CA 92093 USA.</t>
  </si>
  <si>
    <t>emcveigh@ucsd.edu</t>
  </si>
  <si>
    <t>National Institutes of Health, USA (NIH) [T32HL105373, F31HL151081, R01HL144678]</t>
  </si>
  <si>
    <t>National Institutes of Health, USA (NIH)(United States Department of Health &amp; Human ServicesNational Institutes of Health (NIH) - USA)</t>
  </si>
  <si>
    <t>ACKNOWLEDGEMENTS The authors would like to thank Dr. Brendan Colvert for providing input on CT simulation, Andriel Schluchter for help with the phantoms, and Tristan Shone (National Center for Microscopy and Imaging Research at UCSD) for providing the micro-CT imaging. This work was supported by grants from the National Institutes of Health, USA (NIH grants T32HL105373, F31HL151081, R01HL144678).</t>
  </si>
  <si>
    <t>10.1002/mp.16652</t>
  </si>
  <si>
    <t>N5UN3</t>
  </si>
  <si>
    <t>WOS:001037661300001</t>
  </si>
  <si>
    <t>Tian, Y; Wu, WB; Wang, P; Wang, LX; Wen, MJ; Jiang, GS; Mei, GX</t>
  </si>
  <si>
    <t>Tian, Yi; Wu, Wenbing; Wang, Peng; Wang, Lixing; Wen, Minjie; Jiang, Guosheng; Mei, Guoxiong</t>
  </si>
  <si>
    <t>Large-strain consolidation of PVD-improved soils considering depth-dependent initial void ratio and initial effective stress due to soil self-weight</t>
  </si>
  <si>
    <t>consolidation; large-strain; numerical solution; prefabricated vertical drain; soil</t>
  </si>
  <si>
    <t>PREFABRICATED VERTICAL DRAINS; NON-LINEAR CONSOLIDATION; RADIAL CONSOLIDATION; SATURATED CLAYS; VACUUM; COMPRESSIBILITY; SLURRY</t>
  </si>
  <si>
    <t>A governing equation for large-strain consolidation of PVD-improved soil is developed based on the equivalent elliptical cylindrical model, which accounts for depth-dependent initial void ratio and initial effective stress induced by soil self-weight, well resistance with variable discharge capacity, time-dependent load, and nonlinear variations of compressibility and permeability. Then, a numerical solution is obtained by means of COMSOL Multiphysics and is validated through comparisons with existing solutions and measured data. The parametric studies show that the difference between large-strain consolidation and small-strain consolidation reduces with the decreases of the compression index and applied load. Although the soil self-weight has little effect on the degree of consolidation in some cases, the soil settlement will be significantly overestimated if the self-weight is ignored. The development of consolidation slowed as the ratio of compressibility over horizontal permeability increased.</t>
  </si>
  <si>
    <t>[Tian, Yi; Wang, Peng] Kunming Univ Sci &amp; Technol, Fac Civil Engn &amp; Mech, Kunming, Yunnan, Peoples R China; [Tian, Yi; Wu, Wenbing; Wang, Lixing; Wen, Minjie; Jiang, Guosheng; Mei, Guoxiong] China Univ Geosci, Fac Engn, Wuhan, Hubei, Peoples R China; [Wen, Minjie] Zhejiang Sci Tech Univ, Sch Civil Engn &amp; Architecture, Hangzhou, Zhejiang, Peoples R China; [Mei, Guoxiong] Zhejiang Univ, Ocean Coll, Zhoushan, Zhejiang, Peoples R China</t>
  </si>
  <si>
    <t>Kunming University of Science &amp; Technology; China University of Geosciences; Zhejiang Sci-Tech University; Zhejiang University</t>
  </si>
  <si>
    <t>Wen, MJ (corresponding author), Zhejiang Sci Tech Univ, Sch Civil Engn &amp; Architecture, Hangzhou, Zhejiang, Peoples R China.</t>
  </si>
  <si>
    <t>0620577@zju.edu.cn</t>
  </si>
  <si>
    <t>zhang, yue/JAC-3705-2023; Ma, Xiaodong/JAN-7473-2023</t>
  </si>
  <si>
    <t>Wu, Wenbing/0000-0001-5473-1560</t>
  </si>
  <si>
    <t>National Natural Science Foundation of China [52178371, 52108347, 51308269, 52108322]; Outstanding Youth Project of Natural Science Foundation of Zhejiang Province [LR21E080005]; Research Project of Engineering Research Centre of Rock-Soil Drillingamp; Excavation and Protection, Ministry of Education [202307]</t>
  </si>
  <si>
    <t>National Natural Science Foundation of China(National Natural Science Foundation of China (NSFC)); Outstanding Youth Project of Natural Science Foundation of Zhejiang Province; Research Project of Engineering Research Centre of Rock-Soil Drillingamp; Excavation and Protection, Ministry of Education</t>
  </si>
  <si>
    <t>ACKNOWLEDGMENTS This research is supported by the National Natural Science Foundation of China (Grant Nos. 52178371, 52108347, 51308269, 52108322), the Outstanding Youth Project of Natural Science Foundation of Zhejiang Province (LR21E080005), the Research Project of Engineering Research Centre of Rock-Soil Drilling&amp; Excavation and Protection, Ministry of Education (No. 202307).</t>
  </si>
  <si>
    <t>10.1002/nag.3598</t>
  </si>
  <si>
    <t>R6AR1</t>
  </si>
  <si>
    <t>WOS:001037240500001</t>
  </si>
  <si>
    <t>Tuomela, K; Salim, K; Levings, MK</t>
  </si>
  <si>
    <t>Tuomela, Karoliina; Salim, Kevin; Levings, Megan K.</t>
  </si>
  <si>
    <t>Eras of designer Tregs: Harnessing synthetic biology for immune suppression</t>
  </si>
  <si>
    <t>CAR; cell therapy; engineering; gene therapy; regulatory T cells; TCR</t>
  </si>
  <si>
    <t>REGULATORY T-CELLS; VERSUS-HOST-DISEASE; PERIPHERAL HOMEOSTASIS; ALLOGRAFT-REJECTION; FOXP3 ISOFORMS; CUTTING EDGE; ACTIVATION; THERAPY; GENERATION; EXPRESSION</t>
  </si>
  <si>
    <t>Since their discovery, CD4(+)CD25(hi)FOXP3(hi) regulatory T cells (Tregs) have been firmly established as a critical cell type for regulating immune homeostasis through a plethora of mechanisms. Due to their immunoregulatory power, delivery of polyclonal Tregs has been explored as a therapy to dampen inflammation in the settings of transplantation and autoimmunity. Evidence shows that Treg therapy is safe and well-tolerated, but efficacy remains undefined and could be limited by poor persistence in vivo and lack of antigen specificity. With the advent of new genetic engineering tools, it is now possible to create bespoke designer Tregs that not only overcome possible limitations of polyclonal Tregs but also introduce new features. Here, we review the development of designer Tregs through the perspective of three 'eras': (1) the era of FOXP3 engineering, in which breakthroughs in the biological understanding of this transcription factor enabled the conversion of conventional T cells to Tregs; (2) the antigen-specificity era, in which transgenic T-cell receptors and chimeric antigen receptors were introduced to create more potent and directed Treg therapies; and (3) the current era, which is harnessing advanced genome-editing techniques to introduce and refine existing and new engineering approaches. The year 2022 marked the entry of designer Tregs into the clinic, with exciting potential for application and efficacy in a wide variety of immune-mediated diseases.</t>
  </si>
  <si>
    <t>[Tuomela, Karoliina; Salim, Kevin; Levings, Megan K.] BC Childrens Hosp, Res Inst, Vancouver, BC, Canada; [Tuomela, Karoliina; Salim, Kevin; Levings, Megan K.] Univ British Columbia, Dept Surg, Vancouver, BC, Canada; [Levings, Megan K.] Univ British Columbia, Sch Biomed Engn, Vancouver, BC, Canada; [Levings, Megan K.] BC Childrens Hosp, Res Inst, Room A4-102,950 West 28th Ave, Vancouver, BC V5Z 4H4, Canada</t>
  </si>
  <si>
    <t>BC Childrens Hospital; University of British Columbia; University of British Columbia; University of British Columbia; University of British Columbia; BC Childrens Hospital</t>
  </si>
  <si>
    <t>Levings, MK (corresponding author), BC Childrens Hosp, Res Inst, Room A4-102,950 West 28th Ave, Vancouver, BC V5Z 4H4, Canada.</t>
  </si>
  <si>
    <t>mlevings@bcchr.ca</t>
  </si>
  <si>
    <t>Levings, Megan/0000-0002-0305-5790; Salim, Kevin/0000-0003-3793-0415</t>
  </si>
  <si>
    <t>Canadian Institutes of Health Research [FDN-154304]; Juvenile Diabetes Research Foundation Canada [3-COE-2022- 1103- M- B]</t>
  </si>
  <si>
    <t>Canadian Institutes of Health Research(Canadian Institutes of Health Research (CIHR)); Juvenile Diabetes Research Foundation Canada</t>
  </si>
  <si>
    <t>Canadian Institutes of Health Research, Grant/Award Number: FDN-154304; Juvenile Diabetes Research Foundation Canada, Grant/Award Number: 3-COE-2022- 1103- M- B</t>
  </si>
  <si>
    <t>10.1111/imr.13254</t>
  </si>
  <si>
    <t>N9CK4</t>
  </si>
  <si>
    <t>WOS:001039904900001</t>
  </si>
  <si>
    <t>Ulanja, MB; Beutler, BD; Asafo-Agyei, KO; Governor, SB; Edusa, S; Antwi-Amoabeng, D; Ulanja, RN; Nteim, GB; Amankwah, M; Neelam, V; Rahman, GA; Djankpa, FT; Mabrouk, T; Alese, OB</t>
  </si>
  <si>
    <t>Ulanja, Mark B. B.; Beutler, Bryce D. D.; Asafo-Agyei, Kwabena Oppong; Governor, Samuel B. B.; Edusa, Samuel; Antwi-Amoabeng, Daniel; Ulanja, Reginald N. N.; Nteim, Grace B. B.; Amankwah, Millicent; Neelam, Vijay; Rahman, Ganiyu A. A.; Djankpa, Francis T. T.; Mabrouk, Tarig; Alese, Olatunji B. B.</t>
  </si>
  <si>
    <t>The impact of COVID-19 on mortality, length of stay, and cost of care among patients with gastrointestinal malignancies: A propensity score-matched analysis</t>
  </si>
  <si>
    <t>COVID-19; gastrointestinal cancer; healthcare cost disparity; impact of COVID-19 on gastrointestinal malignancies; mortality; propensity score-matched analysis; SARS-CoV-2</t>
  </si>
  <si>
    <t>CANCER; CORONAVIRUS; RISK</t>
  </si>
  <si>
    <t>Background: Severe acute respiratory syndrome coronavirus 2 (SARS-CoV-2) and the coronavirus 19 (COVID-19) pandemic have had a lasting impact on the care of cancer patients. The impact on patients with gastrointestinal (GI) malignancies remains incompletely understood. We aimed to assess the impact of COVID-19 on mortality, length of stay (LOS), and cost of care among patients with GI malignancies, and identify differences in outcomes based on primary tumor site. Methods: We analyzed discharge encounters collected from the National Inpatient Sample (NIS) between March 2020 and December 2020 using propensity score matching (PSM) and COVID-19 as the treatment effect. Results: Of the 87,684 patient discharges with GI malignancies, 1892 were positive for COVID-19 (C+) and eligible for matching in the PSM model. Following PSM analysis, C+ with GI tumors demonstrated increased incidence of mortality compared to their COVID-19-negative (C-) counterparts (21.3% vs. 11.9%, p &lt; 0.001). C+ patients with colorectal cancer (CRC) had significantly higher mortality compared to those who were C-( 40% vs. 24%; p = 0.035). In addition, C+ patients with GI tumors had a longer mean LOS (9.4 days vs. 6.9 days; p &lt; 0.001) and increased cost of care ($26,048.29 vs. $21,625.2; p = 0.001) compared to C-patients. C+ patients also had higher odds of mortality secondary to myocardial infarction relative to C-patients (OR = 3.54, p = 0.001). Conclusions: C+ patients with GI tumors face approximately double the odds of mortality, increased LOS, and increased cost of care compared to their C-coun-terparts. Outcome disparities were most pronounced among patients with CRC.</t>
  </si>
  <si>
    <t>[Ulanja, Mark B. B.; Antwi-Amoabeng, Daniel; Neelam, Vijay; Mabrouk, Tarig] CHRISTUS Ochsner St Patrick Hosp, Lake Charles, LA 70601 USA; [Beutler, Bryce D. D.] Univ Southern Calif, Keck Sch Med, Dept Radiol, Los Angeles, CA USA; [Asafo-Agyei, Kwabena Oppong] CHRISTUS Highland Med Ctr, Shreveport, LA USA; [Governor, Samuel B. B.] Washington Univ St Louis, Sch Med, Washington Univ St Louis, St. Louis, MO USA; [Edusa, Samuel] Samalla Clin Ltd, Vinings, Ghana; [Ulanja, Reginald N. N.; Nteim, Grace B. B.; Djankpa, Francis T. T.] Univ Cape Coast, Sch Med Sci, Dept Physiol, Cape Coast, Ghana; [Amankwah, Millicent] Louisiana State Univ Hlth Shreveport, Feist Weiller Canc Ctr, Dept Hematol Oncol, Shreveport, LA USA; [Rahman, Ganiyu A. A.] Univ Cape Coast, Sch Med Sci, Dept Surg, Cape Coast, Ghana; [Alese, Olatunji B. B.] Emory Univ, Winship Canc Inst, Dept Hematol &amp; Oncol, Atlanta, GA USA</t>
  </si>
  <si>
    <t>University of Southern California; Washington University (WUSTL); University of Cape Coast; Louisiana State University System; Louisiana State University Health Sciences Center at Shreveport; University of Cape Coast; Emory University</t>
  </si>
  <si>
    <t>Ulanja, MB (corresponding author), CHRISTUS Ochsner St Patrick Hosp, Lake Charles, LA 70601 USA.</t>
  </si>
  <si>
    <t>markulanja@gmail.com</t>
  </si>
  <si>
    <t>Beutler, Bryce/0000-0002-5071-1826</t>
  </si>
  <si>
    <t>10.1002/cam4.6355</t>
  </si>
  <si>
    <t>N9RU3</t>
  </si>
  <si>
    <t>WOS:001040306900001</t>
  </si>
  <si>
    <t>Wang, XK; Yao, HX; Zhang, CH; Li, C; Tong, KC; Gu, M; Cao, ZW; Huang, MH; Jiang, HQ</t>
  </si>
  <si>
    <t>Wang, Xingkun; Yao, Hanxu; Zhang, Canhui; Li, Cheng; Tong, Kecheng; Gu, Meng; Cao, Zhengwen; Huang, Minghua; Jiang, Heqing</t>
  </si>
  <si>
    <t>Double-Tuned RuCo Dual Metal Single Atoms and Nanoalloy with Synchronously Expedited Volmer/Tafel Kinetics for Effective and Ultrastable Ampere-Level Current Density Hydrogen Production</t>
  </si>
  <si>
    <t>ampere-level current density; dual metal single atoms; hydrogen evolution reaction; nanoalloys; power consumption</t>
  </si>
  <si>
    <t>ALKALINE; ALLOY</t>
  </si>
  <si>
    <t>Alkaline water electrolysis system is of general interest but is impeded by the unsatisfactory hydrogen evolution reaction (HER) performance under ampere-level current density. Herein, the synchronous modification of complicated Volmer/Tafel kinetics is effectuated for attaining ampere-level current density hydrogen production via engineering double-tuned RuCo nanoalloy and dual metal single atoms on hierarchical N-doped mesoporous carbon (RuCo@RuSACoSA-NMC). The electronic structure of Ru sites in dual metal single atoms can be synergistically tailored by adjacent Co atomic sites and nanoalloy, which makes it achieve faster Volmer kinetics with rapid water adsorption/dissociation and transfer rates toward adsorbed hydroxyl. While double-tuned Ru sites in nanoalloy by adjacent alloyed Co sites and dual metal single atoms undertake optimized Tafel kinetics with boosted transfer rates toward adsorbed hydrogen. Accordingly, RuCo@RuSACoSA-NMC exhibits ultralow HER overpotential of 255 mV at 1 A cm(-2) with robust stability over 24 days, ultrahigh mass activity of 37.2 A mg(Ru)(-1), and turnover frequency of 19.5 s(-1). More importantly, RuCo@RuSACoSA-NMC can make water electrolysis system possess low power consumption of 5.34 kWh per Nm(H2)(3) and estimated costs of 1.197 $ per kg(H2). The concept emphasized in this study provides guidance for rational design of cost-effective catalysts with ampere-level current density hydrogen production.</t>
  </si>
  <si>
    <t>[Wang, Xingkun; Yao, Hanxu; Cao, Zhengwen; Jiang, Heqing] Chinese Acad Sci, Qingdao Inst Bioenergy &amp; Bioproc Technol, Qingdao Key Lab Funct Membrane Mat &amp; Membrane Tech, Qingdao 266101, Peoples R China; [Wang, Xingkun; Yao, Hanxu; Zhang, Canhui; Tong, Kecheng; Huang, Minghua] Ocean Univ China, Sch Mat Sci &amp; Engn, Qingdao 266101, Peoples R China; [Li, Cheng; Gu, Meng] Southern Univ Sci &amp; Technol, Dept Mat Sci &amp; Engn, Shenzhen 518055, Peoples R China; [Li, Cheng] Univ Birmingham, Sch Phys &amp; Astron, Birmingham B15 2TT, England</t>
  </si>
  <si>
    <t>Chinese Academy of Sciences; Qingdao Institute of Bioenergy &amp; Bioprocess Technology, CAS; Ocean University of China; Southern University of Science &amp; Technology; University of Birmingham</t>
  </si>
  <si>
    <t>Cao, ZW (corresponding author), Chinese Acad Sci, Qingdao Inst Bioenergy &amp; Bioproc Technol, Qingdao Key Lab Funct Membrane Mat &amp; Membrane Tech, Qingdao 266101, Peoples R China.;Huang, MH (corresponding author), Ocean Univ China, Sch Mat Sci &amp; Engn, Qingdao 266101, Peoples R China.</t>
  </si>
  <si>
    <t>caozw@qibebt.ac.cn; huangminghua@ouc.edu.cn</t>
  </si>
  <si>
    <t>National Natural Science Foundation of China [22279124, 52261145700]; Natural Science Foundation of Shandong Province [ZR2022ZD30]; National Key Research and Development Project [2022YFA1503900]; Shenzhen fundamental research funding [JCYJ20210324115809026]; Qingdao Postdoctoral Applied Research Project [QDBSH20220202011]; Pico Center at SUSTech CRF; Presidential fund and Development and Reform Commission of Shenzhen Municipality</t>
  </si>
  <si>
    <t>National Natural Science Foundation of China(National Natural Science Foundation of China (NSFC)); Natural Science Foundation of Shandong Province(Natural Science Foundation of Shandong Province); National Key Research and Development Project; Shenzhen fundamental research funding; Qingdao Postdoctoral Applied Research Project; Pico Center at SUSTech CRF; Presidential fund and Development and Reform Commission of Shenzhen Municipality</t>
  </si>
  <si>
    <t>&amp; nbsp;X.K.W. and H.X.Y. contributed equally to this work. This work was financially supported by the National Natural Science Foundation of China (22279124, 52261145700), and the Natural Science Foundation of Shandong Province (ZR2022ZD30), the National Key Research and Development Project (2022YFA1503900), and Shenzhen fundamental research funding (JCYJ20210324115809026). X.K.W. acknowledges the funding from the Qingdao Postdoctoral Applied Research Project (QDBSH20220202011). This work was supported by the Pico Center at SUSTech CRF that receives support from Presidential fund and Development and Reform Commission of Shenzhen Municipality.</t>
  </si>
  <si>
    <t>10.1002/adfm.202301804</t>
  </si>
  <si>
    <t>N9JR1</t>
  </si>
  <si>
    <t>WOS:001040095600001</t>
  </si>
  <si>
    <t>Wang, Z; Qiao, F; Zhang, WB; Parisi, G; Du, ZY; Zhang, ML</t>
  </si>
  <si>
    <t>Wang, Zhe; Qiao, Fang; Zhang, Wen-Bing; Parisi, Giuliana; Du, Zhen-Yu; Zhang, Mei-Ling</t>
  </si>
  <si>
    <t>The flesh texture of teleost fish: Characteristics and interventional strategies</t>
  </si>
  <si>
    <t>aquaculture; feed restriction; flesh quality; swimming exercise; texture</t>
  </si>
  <si>
    <t>FARMED ATLANTIC SALMON; FATTY-ACID-COMPOSITION; NRF2-MEDIATED ANTIOXIDANT ENZYMES; INTRAMUSCULAR CONNECTIVE-TISSUE; BASS DICENTRARCHUS-LABRAX; CROSS-LINK CONCENTRATION; GROWTH-PERFORMANCE; SKELETAL-MUSCLE; SENSORY CHARACTERISTICS; FEED-UTILIZATION</t>
  </si>
  <si>
    <t>With the growing demand of consumers for high-quality aquatic products, controlling the harvest quality of farmed fish is becoming increasingly important in aquaculture industry. The texture is a sensory property that covers a group of attributes, such as firmness, tenderness, chewiness, adhesiveness, resilience, etc., which greatly determine consumers' perception and satisfaction for flesh products. Regarding texture quality, extensive research has been conducted in recent decades based on its related theories, influencing factors, and intervention strategies. However, the information available is largely scattered and disjointed. Essentially, flesh texture is mainly determined by the collective contribution of three major muscle components: muscle fibres, intramuscular connective tissue, and intramuscular fat. Therefore, changing these components in living animals through nutritional and management factors has the potential to modulate texture quality. Here, we briefly introduced the features and development of the three muscle components mentioned above, particularly their potential contributions to texture quality of fish flesh. Exciting promises to manipulate flesh texture through dietary intervention, feed restriction, and exercise training were also discussed. To ensure their applications in large-scale aquaculture facilities, specific considerations of these regimens should be incorporated in experimental design parameters, including the species and age of fish, research system, experiment duration, and exercise intensity. Finally, the existing challenges and limitations of fish texture studies were presented, along with some viewpoints about current work and future directions of this field.</t>
  </si>
  <si>
    <t>[Wang, Zhe; Qiao, Fang; Du, Zhen-Yu; Zhang, Mei-Ling] East China Normal Univ, Sch Life Sci, Lab Aquaculture Nutr &amp; Environm Hlth LANEH, Shanghai, Peoples R China; [Zhang, Wen-Bing] Ocean Univ China, Minist Agr, Minist Educ, Key Lab Aquaculture Nutr &amp; Feeds,Key Lab Maricultu, Qingdao, Peoples R China; [Parisi, Giuliana] Univ Florence, Dept Agr Food Environm &amp; Forestry DAGRI, Florence, Italy; [Du, Zhen-Yu; Zhang, Mei-Ling] East China Normal Univ, Sch Life Sci, Lab Aquaculture Nutr &amp; Environm Hlth LANEH, Shanghai 200241, Peoples R China</t>
  </si>
  <si>
    <t>East China Normal University; Ocean University of China; Ministry of Agriculture &amp; Rural Affairs; University of Florence; East China Normal University</t>
  </si>
  <si>
    <t>Du, ZY; Zhang, ML (corresponding author), East China Normal Univ, Sch Life Sci, Lab Aquaculture Nutr &amp; Environm Hlth LANEH, Shanghai 200241, Peoples R China.</t>
  </si>
  <si>
    <t>zydu@bio.ecnu.edu.cn; mlzhang@bio.ecnu.edu.cn</t>
  </si>
  <si>
    <t>Du, Zhen-Yu/0000-0001-6581-5313</t>
  </si>
  <si>
    <t>National Key Research and Development Program [2022YFD2400800, 2019YFD0900200]</t>
  </si>
  <si>
    <t>National Key Research and Development Program</t>
  </si>
  <si>
    <t>ACKNOWLEDGEMENTS The present study was supported by the National Key Research and Development Program (2022YFD2400800, 2019YFD0900200).</t>
  </si>
  <si>
    <t>10.1111/raq.12849</t>
  </si>
  <si>
    <t>N5XB1</t>
  </si>
  <si>
    <t>WOS:001037727200001</t>
  </si>
  <si>
    <t>Williams, T</t>
  </si>
  <si>
    <t>Williams Jr, Turner</t>
  </si>
  <si>
    <t>The Agnosiformes</t>
  </si>
  <si>
    <t>ANTHROPOLOGY OF CONSCIOUSNESS</t>
  </si>
  <si>
    <t>agnosia; collage; concrescence; heteroclites; schizogenesis</t>
  </si>
  <si>
    <t>turnerwilliamsjr@gmail.com</t>
  </si>
  <si>
    <t>1053-4202</t>
  </si>
  <si>
    <t>1556-3537</t>
  </si>
  <si>
    <t>ANTHROPOL CONSCIOUS</t>
  </si>
  <si>
    <t>Anthropol. Conscious.</t>
  </si>
  <si>
    <t>10.1111/anoc.12202</t>
  </si>
  <si>
    <t>O0MN7</t>
  </si>
  <si>
    <t>WOS:001040849900001</t>
  </si>
  <si>
    <t>Yadav, V; Rafiqi, SI; Yadav, A; Kushwaha, A; Godara, R; Katoch, R; Panadero-Fontan, R</t>
  </si>
  <si>
    <t>Yadav, Vikas; Rafiqi, Shafiya Imtiaz; Yadav, Anish; Kushwaha, Anand; Godara, Rajesh; Katoch, Rajesh; Panadero-Fontan, Rosario</t>
  </si>
  <si>
    <t>Dot-ELISA based on recombinant Hypodermin C of Przhevalskiana silenus for field diagnosis of goat warble fly infestation</t>
  </si>
  <si>
    <t>PARASITE IMMUNOLOGY</t>
  </si>
  <si>
    <t>dot-ELISA; field serodiagnosis; goat warble fly infestation; Przhevalskiana silenus; recombinant Hypodermin C</t>
  </si>
  <si>
    <t>LINKED-IMMUNOSORBENT-ASSAY; SERODIAGNOSIS; LINEATUM; ANTIGEN; CATTLE; IMMUNODIAGNOSIS; SURVEILLANCE; ANTIBODIES; OESTRIDAE; INFECTION</t>
  </si>
  <si>
    <t>Goat warble fly infestation (GWFI) is an economically important myiasis caused by larvae of Przhevalskiana silenus (Diptera, Oestridae), prevalent in countries of the Mediterranean Basin and Indian subcontinent. GWFI is characterized by the presence of subcutaneous warbles at the lumbar and sacral region of dorsum in the infested animal. The early larval instars (L1 and L2) remain inaccessible to physical detection due to their small size and subcutaneous presence thus causing hindrance in the diagnosis. The objective of present study was to develop a field applicable early diagnostic intervention for GWFI monitoring and prophylactic management for effective control of the disease. Recombinant Hypodermin C (rHyC) antigen of P. silenus was expressed in Escherichia coli. The purified protein was used for optimizing dot-ELISA in a checkerboard titration using goat warble fly infested serum as known positive. The optimized assay was further tested for lower temperature (18 &amp; DEG;C) and incubation time (30 min). The optimized assay was assessed for inter-rater reliability and field samples. The optimized conditions require 188 ng of protein/dot, 1:800 dilution of serum sample, 1:4000 dilution of anti-goat IgG conjugate and 5% skim milk powder in phosphate buffer saline as blocking buffer. The assay was found to have a diagnostic sensitivity and specificity of 97.3% and 95.8%, respectively. The inter-rater reliability of dot ELISA with rHyC indirect ELISA was found to be almost perfect with a Cohen's kappa index of 0.973. Further testing at ambient temperature (18 &amp; DEG;C) and shorter incubation steps (30 min) supported suitability of the assay for field diagnosis of GWFI. The present study provides the first report of a sensitive and specific dot-ELISA for early diagnosis of GWFI which is rapid and cost effective. The test may provide an effective field applicable tool for sustainable control of GWFI.</t>
  </si>
  <si>
    <t>[Yadav, Vikas; Rafiqi, Shafiya Imtiaz; Yadav, Anish; Kushwaha, Anand; Godara, Rajesh; Katoch, Rajesh] Sher E Kashmir Univ Agr Sci &amp; Technol Jammu, Fac Vet Sci &amp; Anim Husb, Div Vet Parasitol, Rs Pura 181102, Ut Of Jammu &amp; K, India; [Panadero-Fontan, Rosario] Univ Santiago de Compostela, Dept Anim Pathol, INVESAGA Grp, Lugo, Spain</t>
  </si>
  <si>
    <t>Sher-e-Kashmir University of Agricultural Sciences &amp; Technology of Jammu (SKUAST Jammu); Universidade de Santiago de Compostela</t>
  </si>
  <si>
    <t>Yadav, A (corresponding author), Sher E Kashmir Univ Agr Sci &amp; Technol Jammu, Fac Vet Sci &amp; Anim Husb, Div Vet Parasitol, Rs Pura 181102, Ut Of Jammu &amp; K, India.</t>
  </si>
  <si>
    <t>anishyadav25@gmail.com</t>
  </si>
  <si>
    <t>ICAR (New Delhi), Government of India [Agri.Edn./27/06/NP/2017-HRD]</t>
  </si>
  <si>
    <t>ICAR (New Delhi), Government of India</t>
  </si>
  <si>
    <t>ICAR (New Delhi), Government of India, ICAR-National Fellow Scheme, Grant/Award Number: Agri.Edn./27/06/NP/2017-HRD</t>
  </si>
  <si>
    <t>0141-9838</t>
  </si>
  <si>
    <t>1365-3024</t>
  </si>
  <si>
    <t>PARASITE IMMUNOL</t>
  </si>
  <si>
    <t>Parasite Immunol.</t>
  </si>
  <si>
    <t>10.1111/pim.13007</t>
  </si>
  <si>
    <t>Immunology; Parasitology</t>
  </si>
  <si>
    <t>O0LF3</t>
  </si>
  <si>
    <t>WOS:001040815300001</t>
  </si>
  <si>
    <t>Bulcak, TD; Bora, MO; Fidan, S; Yarar, E; Akagunduz, E</t>
  </si>
  <si>
    <t>Demircioglu Bulcak, Tugce; Bora, Mustafa oezguer; Fidan, Sinan; Yarar, Eser; Akagunduz, Eyuep</t>
  </si>
  <si>
    <t>Exploring the effects of thermal aging on scratch resistance of carbon fiber reinforced composite materials: A comprehensive study</t>
  </si>
  <si>
    <t>aging; composites; statistical mechanics; surfaces</t>
  </si>
  <si>
    <t>MECHANICAL-PROPERTIES; BEHAVIOR; DAMAGE</t>
  </si>
  <si>
    <t>This paper investigates the scratch behavior of carbon fiber reinforced composites (CFRCs) under thermal aging conditions. Scratch depth was analyzed with respect to three parameters: velocity, thermal cycle, and direction of the scratch. The results showed that thermal aging has a significant effect on the scratch behavior of CFRCs, with an increase in thermal cycle leading to an increase in scratch depth. The scratch depth was also found to be greater in the weft direction compared to the warp direction, which can be attributed to the difference in fiber arrangement and orientation in the CFRC material. The analysis of variance (ANOVA) was performed to investigate the effect of thermal aging on the scratch behavior of CFRCs. The ANOVA results revealed that the direction of the scratch has a significant effect on scratch depth, with the weft direction showing greater scratch depth compared to the warp direction. The surface roughness of CFRCs was analyzed under thermal aging conditions and with an increase in thermal cycle leading to an increase in surface roughness. The roughness values were found to be higher in the weft direction compared to the warp direction, which can be attributed to the difference in fiber arrangement and orientation in the CFRC material.</t>
  </si>
  <si>
    <t>[Demircioglu Bulcak, Tugce] Kocaeli Univ, Inst Sci &amp; Engn, Mech Engn Dept, Kocaeli, Turkiye; [Bora, Mustafa oezguer; Fidan, Sinan] Kocaeli Univ, Fac Aeronaut &amp; Astronaut, Dept Airframe &amp; Powerplant Maintenance, Kocaeli, Turkiye; [Yarar, Eser] Kocaeli Univ, Dept Mech Engn, Kocaeli, Turkiye; [Akagunduz, Eyuep] Mat Inst, TUBITAK MAM, Kocaeli, Turkiye</t>
  </si>
  <si>
    <t>Kocaeli University; Kocaeli University; Kocaeli University; Turkiye Bilimsel ve Teknolojik Arastirma Kurumu (TUBITAK)</t>
  </si>
  <si>
    <t>Bora, MO (corresponding author), Kocaeli Univ, Fac Aeronaut &amp; Astronaut, Dept Airframe &amp; Powerplant Maintenance, Kocaeli, Turkiye.</t>
  </si>
  <si>
    <t>ozgur_bora@yahoo.com</t>
  </si>
  <si>
    <t>bora, mustafa ozgur/0000-0003-0921-418X; YARAR, ESER/0000-0003-1187-5382</t>
  </si>
  <si>
    <t>2023 JUL 30</t>
  </si>
  <si>
    <t>10.1002/pc.27620</t>
  </si>
  <si>
    <t>N9LM7</t>
  </si>
  <si>
    <t>WOS:001040143200001</t>
  </si>
  <si>
    <t>Hu, D; Tian, ZP; Lang, XM; Jiang, DB</t>
  </si>
  <si>
    <t>Hu, Dan; Tian, Zhiping; Lang, Xianmei; Jiang, Dabang</t>
  </si>
  <si>
    <t>Regional difference in precipitation seasonality over China from CMIP6 projections</t>
  </si>
  <si>
    <t>INTERNATIONAL JOURNAL OF CLIMATOLOGY</t>
  </si>
  <si>
    <t>annual cycle; moisture budget; precipitation; projection; seasonality</t>
  </si>
  <si>
    <t>RAINFALL SEASONALITY; ANNUAL CYCLE; WATER CYCLE; INTENSIFICATION; TEMPERATURE</t>
  </si>
  <si>
    <t>Based on historical simulations and projections under two scenarios of the Shared Socioeconomic Pathways (SSP2-4.5 and SSP5-8.5) provided by 32 models from the Coupled Model Intercomparison Project Phase 6 (CMIP6), we investigate the future precipitation seasonality changes over China by two indices, the dimensionless seasonality index (DSI) and the relative seasonality index (SI), and the associated physical mechanisms by moisture budget diagnosis. The results show that relative to the baseline period 1995-2014, the DSI is enhanced across almost all of China at the end of the 21st century, with stronger magnitudes in southeastern China and the southern Tibetan Plateau and weaker magnitudes in northwestern China, and national-mean enhancements are 15% (7%-21%) and 23% (15%-29%) for the multimodel median (25th-75th percentile range across models) under the SSP2-4.5 and SSP5-8.5 scenarios, respectively. Projected SI changes show large regional differences, with decreases in northern China and increase in southern China, leading to little change for the national mean. The DSI and SI changes are associated with uneven distributions of changes in absolute amounts and relative proportions of precipitation among seasons, respectively. Further analysis reveals that the contributions of different moisture budget terms to precipitation changes vary across seasons, resulting in changes in the seasonal distribution of precipitation and thus the DSI and SI changes. Specifically, the thermodynamic component of vertical moisture advection primarily determines the greater magnitude of increased precipitation in summer than in winter in most of China, resulting in the DSI change. The reduction in residual term dominates the diminished winter precipitation in southern China, leading to more precipitation concentrated in summer for given annual precipitation and thus the intensification in SI, while the opposite holds true in northern China.</t>
  </si>
  <si>
    <t>[Hu, Dan; Tian, Zhiping; Lang, Xianmei; Jiang, Dabang] Chinese Acad Sci, Inst Atmospher Phys, Beijing, Peoples R China; [Hu, Dan; Jiang, Dabang] Nanjing Univ Informat Sci &amp; Technol, Collaborat Innovat Ctr Forecast &amp; Evaluat Meteorol, Nanjing, Peoples R China; [Hu, Dan; Jiang, Dabang] Univ Chinese Acad Sci, Coll Earth &amp; Planetary Sci, Beijing, Peoples R China</t>
  </si>
  <si>
    <t>Chinese Academy of Sciences; Institute of Atmospheric Physics, CAS; Nanjing University of Information Science &amp; Technology; Chinese Academy of Sciences; University of Chinese Academy of Sciences, CAS</t>
  </si>
  <si>
    <t>Jiang, DB (corresponding author), Chinese Acad Sci, Inst Atmospher Phys, Beijing, Peoples R China.</t>
  </si>
  <si>
    <t>jiangdb@mail.iap.ac.cn</t>
  </si>
  <si>
    <t>National Natural Science Foundation of China [42221004]; Second Tibetan Plateau Scientific Expedition and Research Program [2019QZKK0101]</t>
  </si>
  <si>
    <t>National Natural Science Foundation of China(National Natural Science Foundation of China (NSFC)); Second Tibetan Plateau Scientific Expedition and Research Program</t>
  </si>
  <si>
    <t>National Natural Science Foundation of China, Grant/Award Number: 42221004; Second Tibetan Plateau Scientific Expedition and Research Program, Grant/Award Number: 2019QZKK0101</t>
  </si>
  <si>
    <t>0899-8418</t>
  </si>
  <si>
    <t>1097-0088</t>
  </si>
  <si>
    <t>INT J CLIMATOL</t>
  </si>
  <si>
    <t>Int. J. Climatol.</t>
  </si>
  <si>
    <t>10.1002/joc.8199</t>
  </si>
  <si>
    <t>Meteorology &amp; Atmospheric Sciences</t>
  </si>
  <si>
    <t>N9SN2</t>
  </si>
  <si>
    <t>WOS:001040325800001</t>
  </si>
  <si>
    <t>Istanbulluoglu, D; Oz, S</t>
  </si>
  <si>
    <t>Istanbulluoglu, Doga; Oz, Seda</t>
  </si>
  <si>
    <t>Service Recovery via Twitter: An Exploration of Responses to Consumer Complaints</t>
  </si>
  <si>
    <t>ACCOUNTING PERSPECTIVES</t>
  </si>
  <si>
    <t>service recovery; social media; Twitter; managerial performance systems</t>
  </si>
  <si>
    <t>BALANCED SCORECARD; SOCIAL MEDIA; CUSTOMER SATISFACTION; ONLINE REVIEWS; PERFORMANCE; MANAGEMENT; HOTELS; DETERMINANTS; ENGAGEMENT; ATTITUDES</t>
  </si>
  <si>
    <t>The online response to customer complaints (i.e., service recovery) is a central feature of modern organizations' customer-focused performance management systems. Motivated by the lack of descriptive information related to complaint handling that can be used in assessing managerial performance, we collect organizations' responses to consumer complaints via Twitter and apply Zemke and Schaaf's (1990) traditional service recovery model to explore these. We collected 10,305 tweets that describe the use of Twitter for service recovery by organizations across four industries: airlines, casual dining chain restaurants, hotels, and fast-food restaurants. The findings show that in our sample, the traditional service recovery model with five service recovery elements (apology, urgent reinstatement, empathy, symbolic atonement, and follow-up) is implemented to various degrees. Furthermore, we identify three additional service recovery elements not previously discussed by prior research: channel transfer, feedback acknowledgment, and information request. Our findings have research implications and highlight the importance of incorporating online customer complaints into managerial performance systems.</t>
  </si>
  <si>
    <t>[Istanbulluoglu, Doga] Univ Birmingham, Birmingham, England; [Oz, Seda] Univ Waterloo, Waterloo, ON, Canada</t>
  </si>
  <si>
    <t>University of Birmingham; University of Waterloo</t>
  </si>
  <si>
    <t>Istanbulluoglu, D (corresponding author), Univ Birmingham, Birmingham, England.</t>
  </si>
  <si>
    <t>d.istanbulluoglu@bham.ac.uk</t>
  </si>
  <si>
    <t>Oz, Seda/HTN-7749-2023</t>
  </si>
  <si>
    <t>Oz, Seda/0000-0003-4373-682X</t>
  </si>
  <si>
    <t>1911-382X</t>
  </si>
  <si>
    <t>1911-3838</t>
  </si>
  <si>
    <t>ACCOUNT PERSPECT</t>
  </si>
  <si>
    <t>Account. Perspect.</t>
  </si>
  <si>
    <t>10.1111/1911-3838.12339</t>
  </si>
  <si>
    <t>N9GG2</t>
  </si>
  <si>
    <t>WOS:001040004700001</t>
  </si>
  <si>
    <t>Kim, K; Lee, SN; Ahn, YB; Ko, SH; Yun, JS</t>
  </si>
  <si>
    <t>Kim, Kyuho; Lee, Su-Nam; Ahn, Yu-Bae; Ko, Seung-Hyun; Yun, Jae-Seung</t>
  </si>
  <si>
    <t>Associations of polyneuropathy with risk of all-cause and cardiovascular mortality, cardiovascular disease events stratified by diabetes status</t>
  </si>
  <si>
    <t>Cardiovascular diseases; Diabetes mellitus; Polyneuropathies</t>
  </si>
  <si>
    <t>CARDIAC AUTONOMIC NEUROPATHY; PERIPHERAL NEUROPATHY; HEALTH; INFLAMMATION; INDIVIDUALS; DYSFUNCTION; TYPE-1; COHORT; ADULTS; FOOT</t>
  </si>
  <si>
    <t>Aims/IntroductionWe investigated the association of polyneuropathy (PN) with all-cause and cardiovascular (CV) mortality and with cardiovascular disease (CVD) events stratified by diabetes status. Materials and MethodsThis prospective cohort study used the UK Biobank. Polyneuropathy was defined based on nurse-led interviews or ICD codes for polyneuropathy. Cox proportional hazards models were used to investigate the association of polyneuropathy with clinical outcomes. ResultsA total of 459,127 participants were included in the analysis. Polyneuropathy was significantly associated with all-cause and cardiovascular mortality, and with CVD events even after adjusting for CVD risk factors across all diabetes statuses. Metabolic parameters HbA(1c), waist circumference, BMI and the inflammatory parameter C-reactive protein showed significant mediation effects for the association between polyneuropathy and CVD. Adherence to a favorable lifestyle was associated with a lower risk of all-cause and cardiovascular mortality regardless of polyneuropathy status. ConclusionsPolyneuropathy was associated with all-cause and cardiovascular mortality, and with CVD events in subjects with diabetes or prediabetes, even those having normal glucose tolerance. This study suggests the importance of polyneuropathy as a risk factor for death and highlights the necessity of early diagnosis and lifestyle intervention for those with type 2 diabetes and polyneuropathy.</t>
  </si>
  <si>
    <t>[Kim, Kyuho; Ahn, Yu-Bae; Ko, Seung-Hyun; Yun, Jae-Seung] Catholic Univ Korea, Coll Med, Dept Internal Med, Seoul, South Korea; [Lee, Su-Nam] Catholic Univ Korea, St Vincents Hosp, Dept Internal Med, Div Cardiol, Suwon, South Korea</t>
  </si>
  <si>
    <t>Catholic University of Korea; Catholic University of Korea</t>
  </si>
  <si>
    <t>Yun, JS (corresponding author), Catholic Univ Korea, Coll Med, Dept Internal Med, Seoul, South Korea.</t>
  </si>
  <si>
    <t>dryun@catholic.ac.kr</t>
  </si>
  <si>
    <t>Ko, Seung-Hyun/0000-0003-3703-1479; Yun, Jae-Seung/0000-0001-5949-1826</t>
  </si>
  <si>
    <t>10.1111/jdi.14063</t>
  </si>
  <si>
    <t>N4OO3</t>
  </si>
  <si>
    <t>WOS:001036826700001</t>
  </si>
  <si>
    <t>Kontogeorgos, S; Sandstrom, TZ; Rosengren, A; Fu, M</t>
  </si>
  <si>
    <t>Kontogeorgos, Silvana; Sandstrom, Tatiana Zverkova; Rosengren, Annika; Fu, Michael</t>
  </si>
  <si>
    <t>A nationwide study of temporal trends of cause-specific hospital readmissions in patients with heart failure</t>
  </si>
  <si>
    <t>ESC HEART FAILURE</t>
  </si>
  <si>
    <t>Heart failure; Incidence rate; Rehospitalizations</t>
  </si>
  <si>
    <t>PRESERVED EJECTION FRACTION; EPIDEMIOLOGY; PREVALENCE; RATES</t>
  </si>
  <si>
    <t>AimsThe impact of hospital readmissions on the outcomes of heart failure (HF) patients is well known. However, data on temporal trends of cause-specific hospital readmissions in these patients are limited. Methods and resultsFrom 1987 to 2014, we identified and followed up for 1 year 608 135 patients &amp; GE;18 years hospitalized with HF according to the International Classification of Diseases (ICD) 9 and 10 from the National Inpatient Register. Readmissions for cardiovascular (CVD) and non-CVD causes and co-morbidities were defined according to ICD-9 and ICD-10 codes. We analysed trends in the incidence rate of readmissions, the median time to the first rehospitalization, and the time to readmission, stratified by sex, age groups and cause of rehospitalization using linear regression. During our study, 1 year all-cause mortality decreased (&amp; beta; = -4.93, P &lt; 0.0001), but the incidence rate of readmissions per 1000 person-years remained unchanged. The readmission rate for CVD causes decreased; in contrast, the readmission rate increased across all age and sex groups for non-CVD causes. Analysing the patients by study periods (1987-1997, 1998-2007 and 2008-2014), CVD and non-CVD co-morbidities had a statistically significant increasing trend (P &lt; 0.001). The median time in hospital decreased and the median time to the first readmission were almost unchanged. ConclusionsContrary to a declining mortality rate, the incidence rate of readmissions saw no change, possibly because of divergent trends in cause-specific readmissions. An increasing rate of readmissions for non-CVD causes underscores the importance of optimising multimorbidity management to reduce the risk of readmissions in patients with HF.</t>
  </si>
  <si>
    <t>[Kontogeorgos, Silvana; Sandstrom, Tatiana Zverkova; Rosengren, Annika; Fu, Michael] Univ Gothenburg, Sahlgrenska Univ Hosp, Ostra Hosp, Sahlgrenska Acad,Dept Mol &amp; Clin Med Cardiol, Gothenburg, Sweden; [Kontogeorgos, Silvana] Univ Gothenburg, Sahlgrenska Acad, Dept Clin Physiol, Gothenburg, Sweden</t>
  </si>
  <si>
    <t>Sahlgrenska University Hospital; University of Gothenburg; University of Gothenburg</t>
  </si>
  <si>
    <t>Kontogeorgos, S (corresponding author), Univ Gothenburg, Sahlgrenska Acad, Dept Clin Physiol, Gothenburg, Sweden.</t>
  </si>
  <si>
    <t>silvana.kontogeorgos@vgregion.se</t>
  </si>
  <si>
    <t>Kontogeorgos, Silvana/0000-0002-3564-8208</t>
  </si>
  <si>
    <t>Swedish government; County Councils Concerning Economic Support of Research and Education of Doctors; Swedish Heart and Lung Foundation [2015-0438, 2018-0589, 2021-0345]; Swedish Research Council (VRREG) Framework grant [2019-00193]; Swedish Research Council [2018-02527]; Swedish Research Council [2019-00193] Funding Source: Swedish Research Council</t>
  </si>
  <si>
    <t>Swedish government; County Councils Concerning Economic Support of Research and Education of Doctors; Swedish Heart and Lung Foundation(Swedish Heart-Lung Foundation); Swedish Research Council (VRREG) Framework grant(Swedish Research Council); Swedish Research Council(Swedish Research Council); Swedish Research Council(Swedish Research Council)</t>
  </si>
  <si>
    <t>This work was supported by grants from the Swedish state under an agreement between the Swedish government and the County Councils Concerning Economic Support of Research and Education of Doctors, the Swedish Heart and Lung Foundation (Grant Numbers 2015-0438, 2018-0589 and 2021-0345), the Swedish Research Council (VRREG) Framework grant (2019-00193) and the Swedish Research Council (Grant Number 2018-02527).</t>
  </si>
  <si>
    <t>2055-5822</t>
  </si>
  <si>
    <t>ESC HEART FAIL</t>
  </si>
  <si>
    <t>ESC Heart Fail.</t>
  </si>
  <si>
    <t>10.1002/ehf2.14474</t>
  </si>
  <si>
    <t>N8JH9</t>
  </si>
  <si>
    <t>WOS:001039408000001</t>
  </si>
  <si>
    <t>Liu, G; Zhang, XF; Lu, XY; Zhao, Y; Zhou, ZF; Xu, JJ; Yin, JA; Tang, T; Wang, PY; Yi, SH; Fan, JF; Zhuo, XS; Chan, YH; Wong, WL; Bian, HD; Zuo, J; Dai, Y; Wu, J; Lu, J</t>
  </si>
  <si>
    <t>Liu, Guo; Zhang, Xiaofeng; Lu, Xinya; Zhao, Yan; Zhou, Zhifeng; Xu, Jingjun; Yin, Jianan; Tang, Tao; Wang, Peiyu; Yi, Shenghui; Fan, Jiafeng; Zhuo, Xueshi; Chan, Yu Hin; Wong, Wui Leung; Bian, Haidong; Zuo, Jun; Dai, Yu; Wu, Jian; Lu, Jian</t>
  </si>
  <si>
    <t>4D Additive-Subtractive Manufacturing of Shape Memory Ceramics</t>
  </si>
  <si>
    <t>4D printing; additive-subtractive manufacturing; shape memory ceramics; heterogeneous precursors; polymer-derived ceramics</t>
  </si>
  <si>
    <t>THERMAL-BARRIER COATINGS; 3D; METALS</t>
  </si>
  <si>
    <t>The development of high-temperature structural materials, such as ceramics, is limited by their extremely high melting points and the difficulty in building complicated architectures. Four-dimensional (4D) printing helps enhance the geometrical flexibility of ceramics. However, ceramic 4D printing systems are limited by the separate processes for shape and material transformations, low accuracy of morphing systems, low resolution of ceramic structures, and their time-intensive nature. Here, a paradigm for a one-step shape/material transformation, high-2D/3D/4D-precision, high-efficiency, and scalable 4D additive-subtractive manufacturing of shape memory ceramics is developed. Original/reverse and global/local multimode shape memory capabilities are achieved using macroscale SiOC-based ceramic materials. The uniformly deposited Al2O3-rich layer on the printed SiOC-based ceramic lattice structures results in an unusually high flame ablation performance of the complex-shaped ceramics. The proposed framework is expected to broaden the applications of high-temperature structural materials in the aerospace, electronics, biomedical, and art fields.</t>
  </si>
  <si>
    <t>[Liu, Guo; Tang, Tao; Yi, Shenghui; Lu, Jian] City Univ Hong Kong, Ctr Adv Struct Mat, Greater Bay Joint Div, Shenyang Natl Lab Mat Sci,Shenzhen Res Inst, Shenzhen 518057, Peoples R China; [Liu, Guo; Lu, Jian] CityU Shenzhen Futian Res Inst, Shenzhen 518045, Peoples R China; [Liu, Guo; Lu, Xinya; Zhou, Zhifeng; Chan, Yu Hin; Wong, Wui Leung; Lu, Jian] City Univ Hong Kong, Hong Kong Branch, Natl Precious Met Mat Engn Res Ctr, Hong Kong 999077, Peoples R China; [Liu, Guo; Zhang, Xiaofeng; Zhao, Yan; Yin, Jianan; Wang, Peiyu; Bian, Haidong; Lu, Jian] City Univ Hong Kong, Dept Mech Engn, Hong Kong 999077, Peoples R China; [Zhang, Xiaofeng; Fan, Jiafeng; Zhuo, Xueshi] Guangdong Acad Sci, Inst New Mat, Natl Engn Lab Modern Mat Surface Engn Technol, Guangzhou 510650, Peoples R China; [Zhang, Xiaofeng; Fan, Jiafeng; Zhuo, Xueshi] Guangdong Acad Sci, Inst New Mat, Key Lab Guangdong Modern Surface Engn Technol, Guangzhou 510650, Peoples R China; [Lu, Xinya; Lu, Jian] City Univ Hong Kong, Dept Mat Sci &amp; Engn, Hong Kong 999077, Peoples R China; [Zhao, Yan] Hunan Univ, Coll Mech &amp; Vehicle Engn, State Key Lab Adv Design &amp; Mfg Vehicle Body, Changsha 410082, Peoples R China; [Xu, Jingjun; Zuo, Jun] Chinese Acad Sci, Inst Met Res, Shenyang Natl Lab Mat Sci, Shenyang 110016, Peoples R China; [Dai, Yu; Wu, Jian] Nanchang Univ, Sch Phys &amp; Mat, Nanchang 330031, Peoples R China</t>
  </si>
  <si>
    <t>City University of Hong Kong; Shenzhen Research Institute, City University of Hong Kong; City University of Hong Kong; City University of Hong Kong; Guangdong Academy of Sciences; Institute of New Materials, Guangdong Academy of Sciences; Guangdong Academy of Sciences; Institute of New Materials, Guangdong Academy of Sciences; City University of Hong Kong; Hunan University; Chinese Academy of Sciences; Institute of Metal Research, CAS; Nanchang University</t>
  </si>
  <si>
    <t>Lu, J (corresponding author), City Univ Hong Kong, Ctr Adv Struct Mat, Greater Bay Joint Div, Shenyang Natl Lab Mat Sci,Shenzhen Res Inst, Shenzhen 518057, Peoples R China.;Lu, J (corresponding author), CityU Shenzhen Futian Res Inst, Shenzhen 518045, Peoples R China.;Lu, J (corresponding author), City Univ Hong Kong, Hong Kong Branch, Natl Precious Met Mat Engn Res Ctr, Hong Kong 999077, Peoples R China.;Lu, J (corresponding author), City Univ Hong Kong, Dept Mech Engn, Hong Kong 999077, Peoples R China.;Lu, J (corresponding author), City Univ Hong Kong, Dept Mat Sci &amp; Engn, Hong Kong 999077, Peoples R China.</t>
  </si>
  <si>
    <t>jianlu@cityu.edu.hk</t>
  </si>
  <si>
    <t>Haidong, Bian/AFE-8341-2022</t>
  </si>
  <si>
    <t>Haidong, Bian/0000-0002-6605-1981</t>
  </si>
  <si>
    <t>Guangdong Provincial Department of Science and Technology (Key-Area Research and Development Program of Guangdong Province) [2020B090923002]; Shenzhen-Hong Kong Science and Technology Innovation Cooperation Zone Shenzhen Park Project [HZQB-KCZYB-2020030]; Research Grants Council of the Hong Kong Special Administrative Region, China [CityU PDFS2223-1S05, kh2003023]; Major Program of Changsha Science and Technology Project [AoE/M-402/20]; Hong Kong Innovation and Technology Commission via the Hong Kong Branch of National Precious Metals Material Engineering Research Center</t>
  </si>
  <si>
    <t>Guangdong Provincial Department of Science and Technology (Key-Area Research and Development Program of Guangdong Province); Shenzhen-Hong Kong Science and Technology Innovation Cooperation Zone Shenzhen Park Project; Research Grants Council of the Hong Kong Special Administrative Region, China(Hong Kong Research Grants Council); Major Program of Changsha Science and Technology Project; Hong Kong Innovation and Technology Commission via the Hong Kong Branch of National Precious Metals Material Engineering Research Center</t>
  </si>
  <si>
    <t>This work was supported by the Guangdong Provincial Department of Science and Technology (Key-Area Research and Development Program of Guangdong Province, Grant No. 2020B090923002) (JL); Shenzhen-Hong Kong Science and Technology Innovation Cooperation Zone Shenzhen Park Project (HZQB-KCZYB-2020030) (JL); Research Grants Council of the Hong Kong Special Administrative Region, China (Project No. CityU PDFS2223-1S05) (GL); Major Program of Changsha Science and Technology Project (Project No. kh2003023) (JL); Hong Kong Innovation and Technology Commission via the Hong Kong Branch of National Precious Metals Material Engineering Research Center (JL); Research Grants Council of the Hong Kong Special Administrative Region, China (Project No. AoE/M-402/20) (JL). The authors thank Sida Wang for assisting in the high-resolution movie shooting. The authors thank the helpful discussions with Shimin Zhang, Chengcheng Feng, and Dr. Ying Zhu at CityU-Shenzhen Futian Research Institute. The authors appreciate the assistance of Taorui Wang in the sample preparation at the City University of Hong Kong.</t>
  </si>
  <si>
    <t>10.1002/adma.202302108</t>
  </si>
  <si>
    <t>N8FV0</t>
  </si>
  <si>
    <t>WOS:001039316900001</t>
  </si>
  <si>
    <t>Namberger, F</t>
  </si>
  <si>
    <t>Namberger, Fabian</t>
  </si>
  <si>
    <t>The State of Uberisation: Neoliberalism, Smart Urbanism, and the Regulated Deregulation of Toronto's Taxi-cum-Ridehail Market</t>
  </si>
  <si>
    <t>ANTIPODE</t>
  </si>
  <si>
    <t>Uber; Toronto; regulated deregulation; smart cities; platformisation; Uberisation</t>
  </si>
  <si>
    <t>PLATFORMS; COMPETITIVENESS; ONTARIO; LABOR; CITY</t>
  </si>
  <si>
    <t>In 2016, the City of Toronto legalised the ridehail giant Uber under a particularly Uber-friendly regulatory regime. Rather than understanding this interim outcome along the lines of now widespread narratives of corporate disruption, in this article I take up Manuel B. Aalbers' notion of regulated deregulation in order to foreground the state's role as a manically prolific facilitator of early Uberisation. Based on ethnographic research in Toronto, I argue that the three longer-standing state spatial strategies of (1) the common-sense neoliberal state, (2) the labour-averse competition state, and (3) the tech-infatuated smart state were paramount in creating those on-the-ground conditions-social, legal, spatial, and other-on which Uber has been able to thrive in many cities across the North American continent.</t>
  </si>
  <si>
    <t>[Namberger, Fabian] HafenCity Univ Hamburg, DFG Res Training Grp Urban Future Making: Profess, Hamburg, Germany</t>
  </si>
  <si>
    <t>Namberger, F (corresponding author), HafenCity Univ Hamburg, DFG Res Training Grp Urban Future Making: Profess, Hamburg, Germany.</t>
  </si>
  <si>
    <t>fabian.namberger@hcu-hamburg.de</t>
  </si>
  <si>
    <t>Namberger, Fabian/JFS-6041-2023</t>
  </si>
  <si>
    <t>Namberger, Fabian/0000-0002-8766-586X</t>
  </si>
  <si>
    <t>0066-4812</t>
  </si>
  <si>
    <t>1467-8330</t>
  </si>
  <si>
    <t>Antipode</t>
  </si>
  <si>
    <t>10.1111/anti.12972</t>
  </si>
  <si>
    <t>N5DS8</t>
  </si>
  <si>
    <t>WOS:001037222600001</t>
  </si>
  <si>
    <t>Rakic, M; Turco, F; Weng, GD; Maes, F; Sima, DM; Slotboom, J</t>
  </si>
  <si>
    <t>Rakic, Mladen; Turco, Federico; Weng, Guodong; Maes, Frederik; Sima, Diana M.; Slotboom, Johannes</t>
  </si>
  <si>
    <t>Deep learning pipeline for quality filtering of MRSI spectra</t>
  </si>
  <si>
    <t>convolutional autoencoders; MRSI; quality filtering; spectral quality</t>
  </si>
  <si>
    <t>HIGH-RESOLUTION H-1-MRSI; BRAIN; MOTION; SPECTROSCOPY; ACQUISITION; REDUCTION; ARTIFACTS</t>
  </si>
  <si>
    <t>With the rise of novel 3D magnetic resonance spectroscopy imaging (MRSI) acquisition protocols in clinical practice, which are capable of capturing a large number of spectra from a subject's brain, there is a need for an automated preprocessing pipeline that filters out bad-quality spectra and identifies contaminated but salvageable spectra prior to the metabolite quantification step. This work introduces such a pipeline based on an ensemble of deep-learning classifiers. The dataset consists of 36,338 spectra from one healthy subject and five brain tumor patients, acquired with an EPSI variant, which implemented a novel type of spectral editing named SLOtboom-Weng (SLOW) editing on a 7T MR scanner. The spectra were labeled manually by an expert into four classes of spectral quality as follows: (i) noise, (ii) spectra greatly influenced by lipid-related artifacts (deemed not to contain clinical information), (iii) spectra containing metabolic information slightly contaminated by lipid signals, and (iv) good-quality spectra.The AI model consists of three pairs of networks, each comprising a convolutional autoencoder and a multilayer perceptron network. In the classification step, the encoding half of the autoencoder is kept as a dimensionality reduction tool, while the fully connected layers are added to its output. Each of the three pairs of networks is trained on different representations of spectra (real, imaginary, or both), aiming at robust decision-making. The final class is assigned via a majority voting scheme.The F1 scores obtained on the test dataset for the four previously defined classes are 0.96, 0.93, 0.82, and 0.90, respectively. The arguably lower value of 0.82 was reached for the least represented class of spectra mildly influenced by lipids.Not only does the proposed model minimise the required user interaction, but it also greatly reduces the computation time at the metabolite quantification step (by selecting a subset of spectra worth quantifying) and enforces the display of only clinically relevant information.</t>
  </si>
  <si>
    <t>[Rakic, Mladen; Sima, Diana M.] Icometrix, Res &amp; Dev, Leuven, Belgium; [Rakic, Mladen; Maes, Frederik] Katholieke Univ Leuven, Proc Speech &amp; Images PSI &amp; Med Imaging Res Ctr, Dept Elect Engn ESAT, Leuven, Belgium; [Turco, Federico; Weng, Guodong; Slotboom, Johannes] Univ Bern, Inst Diagnost &amp; Intervent Radiol, Support Ctr Adv Neuroimaging SCAN, Bern, Switzerland; [Rakic, Mladen] Icometrix, Kolonel Begaultlaan 1b-12, B-3012 Leuven, Belgium</t>
  </si>
  <si>
    <t>KU Leuven; University of Bern</t>
  </si>
  <si>
    <t>Rakic, M (corresponding author), Icometrix, Kolonel Begaultlaan 1b-12, B-3012 Leuven, Belgium.</t>
  </si>
  <si>
    <t>mladen.rakic@icometrix.com</t>
  </si>
  <si>
    <t>Maes, Frederik/I-7572-2013</t>
  </si>
  <si>
    <t>Maes, Frederik/0000-0003-0027-1479; Slotboom, Johannes/0000-0001-5121-9852</t>
  </si>
  <si>
    <t>H2020 Marie Sklodowska-Curie Actions; Schweizerischer Nationalfonds zur Foerderung der Wissenschaftlichen Forschung; Swiss National Science Foundation (SNSF) [182569]</t>
  </si>
  <si>
    <t>H2020 Marie Sklodowska-Curie Actions(Marie Curie ActionsHorizon 2020); Schweizerischer Nationalfonds zur Foerderung der Wissenschaftlichen Forschung; Swiss National Science Foundation (SNSF)(Swiss National Science Foundation (SNSF))</t>
  </si>
  <si>
    <t>H2020 Marie Sklodowska-Curie Actions; Schweizerischer Nationalfonds zur Foerderung der Wissenschaftlichen Forschung; Swiss National Science Foundation (SNSF), Grant/Award Number: 182569</t>
  </si>
  <si>
    <t>10.1002/nbm.5012</t>
  </si>
  <si>
    <t>N8JM3</t>
  </si>
  <si>
    <t>WOS:001039412400001</t>
  </si>
  <si>
    <t>Xiang, JL; Liu, ZX; Chen, HZ; Li, CZ</t>
  </si>
  <si>
    <t>Xiang, Jiale; Liu, Zhi-Xi; Chen, Hongzheng; Li, Chang-Zhi</t>
  </si>
  <si>
    <t>Robust and Sustainable Indium Anode Leading to Efficient and Stable Organic Solar Cells</t>
  </si>
  <si>
    <t>anode interfacial layers; high stability; indium recovery; modules; organic solar cells</t>
  </si>
  <si>
    <t>TIN OXIDE; RECOVERY</t>
  </si>
  <si>
    <t>The fast degradation of the charge-extraction interface at indium tin oxide (ITO) poses a significant obstacle to achieving long-term stability for organic solar cells (OSCs). Herein, a sustainable approach for recycling non-sustainable indium to construct efficient and stable OSCs and scale-up modules is developed. It is revealed that the recovered indium chloride (InCl3) from indium oxide waste can be applied as an effective hole-selective interfacial layer for the ITO electrode (noted as InCl3-ITO anode) through simple aqueous fabrication, facilitating not only energy level alignment to photoactive blends but also mitigating parasitic absorption and charge recombination losses of the corresponding OSCs. As a result, OSCs and modules consisting of InCl3-ITO anodes achieve remarkable power conversion efficiencies (PCEs) of 18.92% and 15.20% (active area of 18.73 cm(2)), respectively. More importantly, the InCl3-ITO anode can significantly extend the thermal stability of derived OSCs, with an extrapolated T-80 lifetime of &amp; AP;10 000 h.</t>
  </si>
  <si>
    <t>[Xiang, Jiale; Liu, Zhi-Xi; Chen, Hongzheng; Li, Chang-Zhi] Zhejiang Univ, Dept Polymer Sci &amp; Engn, State Key Lab Silicon &amp; Adv Semicond Mat, Hangzhou 310027, Peoples R China</t>
  </si>
  <si>
    <t>Li, CZ (corresponding author), Zhejiang Univ, Dept Polymer Sci &amp; Engn, State Key Lab Silicon &amp; Adv Semicond Mat, Hangzhou 310027, Peoples R China.</t>
  </si>
  <si>
    <t>czli@zju.edu.cn</t>
  </si>
  <si>
    <t>Li, Chang-Zhi/0000-0003-1968-2032</t>
  </si>
  <si>
    <t>National Natural Science Foundation of China [22125901]; National Key Research and Development Program of China [2019YFA0705900]; Fundamental Research Funds for the Central Universities [226-2023-00113]; China Postdoctoral Science Foundation [2022M722725]; Postdoctoral Science Foundation Funded Project of Zhejiang Province [zj2022019]</t>
  </si>
  <si>
    <t>National Natural Science Foundation of China(National Natural Science Foundation of China (NSFC)); National Key Research and Development Program of China; Fundamental Research Funds for the Central Universities(Fundamental Research Funds for the Central Universities); China Postdoctoral Science Foundation(China Postdoctoral Science Foundation); Postdoctoral Science Foundation Funded Project of Zhejiang Province</t>
  </si>
  <si>
    <t>This research was funded by the National Natural Science Foundation of China (Nos. 22125901), the National Key Research and Development Program of China (No. 2019YFA0705900), and the Fundamental Research Funds for the Central Universities (226-2023-00113). The authors acknowledge the kind assistance from Hangzhou Microquanta Semiconductor Co. LTD. for the laser patterning and electrode preparation for modules. The authors are grateful for the technical support for Nano-X from the Suzhou Institute of Nano-Tech and Nano-Bionics, Chinese Academy of Sciences (SINANO), Z.-X.L. is thankful for the support by the China Postdoctoral Science Foundation Funded Project (No. 2022M722725) and the Postdoctoral Science Foundation Funded Project of Zhejiang Province (No. zj2022019).</t>
  </si>
  <si>
    <t>10.1002/adma.202303729</t>
  </si>
  <si>
    <t>N8BU9</t>
  </si>
  <si>
    <t>WOS:001039210100001</t>
  </si>
  <si>
    <t>Charoenvicha, C; Wongkawinwoot, K; Sirikul, W; Khwanngern, K; Sirimaharaj, W</t>
  </si>
  <si>
    <t>Charoenvicha, Chirakan; Wongkawinwoot, Karn; Sirikul, Wachiranun; Khwanngern, Krit; Sirimaharaj, Wimon</t>
  </si>
  <si>
    <t>Predisposing factors of non-syndromic cleft lip and cleft palate in the northern Thai population: A 10-year retrospective case-control study</t>
  </si>
  <si>
    <t>CONGENITAL ANOMALIES</t>
  </si>
  <si>
    <t>caffeine; cleft lip and cleft palate; congenital anomalies; risk factors; smoking</t>
  </si>
  <si>
    <t>ORAL CLEFTS; OROFACIAL CLEFTS; COFFEE CONSUMPTION; CONGENITAL-MALFORMATIONS; ENVIRONMENTAL-FACTORS; PLASMA HOMOCYSTEINE; PASSIVE SMOKING; RISK-FACTORS; CAFFEINE; PREGNANCY</t>
  </si>
  <si>
    <t>The most common congenital anomaly is orofacial cleft, which is categorized into two main types: cleft lip with or without cleft palate (CL/P) and cleft palate only (CPO). One of the most accepted etiologies is multifactorial (gene-environment). This study aimed to identify the amendable risk factors of an orofacial cleft in Northern Thailand. A retrospective case-control study in Maharaj Nakorn Chiang Mai Hospital was conducted from 2011 to 2020. One hundred and seventeen cases of CL/P and CPO were included. Forty-nine normal children were enrolled in a time-matched control group. Exploratory survey data on maternal exposures were collected. Multivariate logistic regression was used to estimate the adjusted association between maternal exposures and CL/P, and CPO occurrence. Multivariate analysis identified three predisposing factors that increased the risk of CL/P and CPO. The first factor was caffeine consumption with a total amount of 560 mg/week (adjusted OR: 7.59; 95% CI: 2.48-23.23; p &lt; 0.001). The second factor was any smoker or passive smoking (adjusted OR: 8.47; 95% CI: 1.63-43.92; p = 0.011). The third factor was a low socioeconomic status (income of lower than 270 USD/month; adjusted OR: 4.05; 95% CI: 1.07-15.27; p = 0.039). From the 10-year study in Northern Thailand: caffeine consumption, exposure to cigarette smoke, and low socioeconomic status were identified as associated negative factors for orofacial clefts. We propose that preconceptional counseling for risk reduction should be emphasized in reducing the mother's exposure to these factors. Future investigations in large multicenter populations are suggested.</t>
  </si>
  <si>
    <t>[Charoenvicha, Chirakan; Wongkawinwoot, Karn; Khwanngern, Krit; Sirimaharaj, Wimon] Chiang Mai Univ, Fac Med, Dept Surg, Div Plast &amp; Reconstruct Surg, Chiang Mai, Thailand; [Charoenvicha, Chirakan; Khwanngern, Krit; Sirimaharaj, Wimon] Chiang Mai Univ, Clin Res Ctr, Chiang Mai, Thailand; [Charoenvicha, Chirakan; Khwanngern, Krit; Sirimaharaj, Wimon] Chiang Mai Univ, Princess Sirindhorn IT Fdn Craniofacial Ctr, Chiang Mai, Thailand; [Sirikul, Wachiranun] Chiang Mai Univ, Fac Med, Dept Community Med, Chiang Mai, Thailand</t>
  </si>
  <si>
    <t>Chiang Mai University; Chiang Mai University; Chiang Mai University; Chiang Mai University</t>
  </si>
  <si>
    <t>Charoenvicha, C (corresponding author), Chiang Mai Univ, Fac Med, Dept Surg, Div Plast &amp; Reconstruct Surg, Chiang Mai, Thailand.</t>
  </si>
  <si>
    <t>c.charoenvicha@gmail.com</t>
  </si>
  <si>
    <t>Faculty of Medicine, Chiang Mai University</t>
  </si>
  <si>
    <t>0914-3505</t>
  </si>
  <si>
    <t>1741-4520</t>
  </si>
  <si>
    <t>CONGENIT ANOM</t>
  </si>
  <si>
    <t>Congenit. Anom.</t>
  </si>
  <si>
    <t>10.1111/cga.12529</t>
  </si>
  <si>
    <t>R1SL7</t>
  </si>
  <si>
    <t>WOS:001040395100001</t>
  </si>
  <si>
    <t>Gibson, R; D'Annibale, M; Oliver, N; McGowan, B; Forbes, G; Crayton, E; Guess, N; Lorencatto, F</t>
  </si>
  <si>
    <t>Gibson, Rachel; D'Annibale, Maria; Oliver, Nick; McGowan, Barbara; Forbes, Gillian; Crayton, Elise; Guess, Nicola; Lorencatto, Fabiana</t>
  </si>
  <si>
    <t>Exploration of the individual, social and environmental factors influencing dietary behaviour in shift workers with type 2 diabetes working in UK healthcare-The Shift-Diabetes Study: A qualitative study using the theoretical domains framework</t>
  </si>
  <si>
    <t>healthcare employees; shift work; theoretical domains framework; type 2 diabetes; workplace</t>
  </si>
  <si>
    <t>BARRIERS; ENABLERS; FOOD</t>
  </si>
  <si>
    <t>Aim To identify factors influencing dietary behaviour in shift workers with type 2 diabetes (T2D) working in UK healthcare settings.Methods Semi-structured qualitative interviews based on the theoretical domains framework (TDF) were conducted with a convenience sample (n = 15) of shift workers (32-59 years) diagnosed with T2D who worked night shifts as part of a mixed shift schedule. The TDF was applied to analyse transcripts using a combined deductive framework and inductive thematic analysis approach. Identified influences were mapped to the behaviour change technique taxonomy to identify potential strategies to change dietary behaviour in this context.Results Key barriers to healthy dietary behaviours were access and cost of food available during night work (TDF domain: Environment Context and Resources). Factors identified as both enablers and barriers included: availability of staff facilities and time to take a break, (Environment Context and Resources), the physical impact of night work (Beliefs About Consequences), eating in response to stress or tiredness (Emotion), advance planning of meals/food and taking own food to work (Behavioural Regulation). Potential techniques to address these influences and improve dietary behaviour in this context include: meal planning templates, self-monitoring and biofeedback, and increasing accessibility and availability of healthier food choices during night shifts.Conclusions The dietary behaviour of shift workers with T2D is influenced by interacting individual, socio-cultural and environmental factors. Intervention should focus on environmental restructuring and strategies that enable monitoring and meal planning.</t>
  </si>
  <si>
    <t>[Gibson, Rachel; D'Annibale, Maria] Kings Coll London, Dept Nutr Sci, London, England; [Oliver, Nick] Imperial Coll London, Dept Metab Digest &amp; Reprod, London, England; [McGowan, Barbara] Guys &amp; St Thomas NHS Fdn Trust, Dept Diabet &amp; Endocrinol, London, England; [Forbes, Gillian; Crayton, Elise; Lorencatto, Fabiana] UCL, Ctr Behav Change, London, England; [Guess, Nicola] Univ Oxford, Nuffield Dept Primary Care Hlth Sci, Oxford, England; [Gibson, Rachel] Kings Coll London, Dept Nutr Sci, Room 4-13 Franklin Wilkins Bldg,150 Stamford St, London SE1 9NH, England</t>
  </si>
  <si>
    <t>University of London; King's College London; Imperial College London; Guy's &amp; St Thomas' NHS Foundation Trust; University of London; University College London; University of Oxford; University of London; King's College London</t>
  </si>
  <si>
    <t>Lorencatto, F (corresponding author), UCL, Ctr Behav Change, London, England.;Gibson, R (corresponding author), Kings Coll London, Dept Nutr Sci, Room 4-13 Franklin Wilkins Bldg,150 Stamford St, London SE1 9NH, England.</t>
  </si>
  <si>
    <t>rachel.gibson@kcl.ac.uk; f.lorencatto@ucl.ac.uk</t>
  </si>
  <si>
    <t>; Oliver, Nick/G-9109-2016</t>
  </si>
  <si>
    <t>Gibson, Rachel/0000-0002-5823-6468; Oliver, Nick/0000-0003-3525-3633</t>
  </si>
  <si>
    <t>Diabetes UK [19/0005979]</t>
  </si>
  <si>
    <t>Diabetes UK(Diabetes UK)</t>
  </si>
  <si>
    <t>Diabetes UK, Grant/Award Number: 19/0005979</t>
  </si>
  <si>
    <t>2023 JUL 29</t>
  </si>
  <si>
    <t>10.1111/dme.15179</t>
  </si>
  <si>
    <t>N9TW0</t>
  </si>
  <si>
    <t>WOS:001040360600001</t>
  </si>
  <si>
    <t>Turkyilmaz, M; Hamzaoglu, F; Ciftci, RBA; Ozkan, M</t>
  </si>
  <si>
    <t>Turkyilmaz, Meltem; Hamzaoglu, Fatmagul; Ciftci, Rumeysa Betul Ari; Ozkan, Mehmet</t>
  </si>
  <si>
    <t>Increase in colour stability of pomegranate juice against 5-hydroxymethylfurfural (HMF) through copigmentation with phenolic acids</t>
  </si>
  <si>
    <t>anthocyanin stability; colour density; copigmentation; ferulic acid; caffeic acid; gallic acid; HMF</t>
  </si>
  <si>
    <t>PUNICA-GRANATUM L.; ANTIOXIDANT ACTIVITY; CONDENSED TANNINS; ANTHOCYANINS; DERIVATIVES; DEGRADATION; STRAWBERRY</t>
  </si>
  <si>
    <t>BACKGROUNDAnthocyanins are responsible for both attractive colour of pomegranate juice (PJ) and its health-promoting effects against cancer and coronary heart disease. However, 5-hydroxymethylfurfural (HMF) at some concentrations causes anthocyanin degradation. The present study aimed to reduce the degradation of PJ anthocyanins as a result of HMF at various concentrations (0-20 mg L-1) through phenolic acid [PA; ferulic (FA), gallic (GA) and caffeic acids (CA)] copigmentation during storage at 20 &amp; DEG;C. RESULTSA strong correlation (r = 0.872) was found between anthocyanin degradation rate and HMF concentration in PJ without PA addition. An increase in HMF concentration during storage caused faster (&lt; 32%) anthocyanin degradation. However, PA addition reduced (&lt; 60 times) the HMF formation rate. The lowest HMF formation rates (0.07-0.28 day(-1)) were determined in PJ with added GA. Although GA caused an important increase in content of cyanidin-3-glucoside (16-42%), which is major PJ anthocyanin, against HMF at all concentrations, CA (15%) and FA (28%) increased cyanidin-3-glucoside content against 10 mg of HMF L-1. FA maintained its protection effect against the highest HMF concentration (20 mg of HMF L-1), but CA lost its protection effect. Generally, FA increased stabilities of hyperchromic effect (HE) (9.6-27.7%) and colour density (CD) (57.1-74.3%) at all HMF concentrations, although CA increased HE stability (19.8-37.7%) in the presence of 10 and 20 mg of HMF L-1. Interactions of 'all individual anthocyanins-FA' and 'delphinidin-based anthocyanins-GA/CA' resulted in copigmentation. CONCLUSIONFA addition was recommended to increase CD and HE for PJ containing HMF between 3.1-5.6 mg L-1, whereas the addition of GA was recommended to increase anthocyanin stability for PJ containing 12.0 mg of HMF L-1. &amp; COPY; 2023 The Authors. Journal of The Science of Food and Agriculture published by John Wiley &amp; Sons Ltd on behalf of Society of Chemical Industry.</t>
  </si>
  <si>
    <t>[Turkyilmaz, Meltem] Ankara Univ, Inst Food Safety, TR-06110 Ankara, Turkey; [Turkyilmaz, Meltem] Ankara Univ, Inst Food Safety, Ankara, Turkey; [Hamzaoglu, Fatmagul] Recep Tayyip Erdogan Univ, Ardesen Fac Tourism, Dept Gastron &amp; Culinary Arts, Rize, Turkey; [Ciftci, Rumeysa Betul Ari; Ozkan, Mehmet] Ankara Univ, Dept Food Engn, Fac Engn, Ankara, Turkey</t>
  </si>
  <si>
    <t>Ankara University; Ankara University; Recep Tayyip Erdogan University; Ankara University</t>
  </si>
  <si>
    <t>Turkyilmaz, M (corresponding author), Ankara Univ, Inst Food Safety, TR-06110 Ankara, Turkey.</t>
  </si>
  <si>
    <t>mturkyilmaz@ankara.edu.tr</t>
  </si>
  <si>
    <t>Hamzaoğlu, Fatmagül/AAV-7850-2021</t>
  </si>
  <si>
    <t>Hamzaoğlu, Fatmagül/0000-0002-7551-3500</t>
  </si>
  <si>
    <t>Ankara University Scientific Research Projects Office' Turkey [19L0443010]</t>
  </si>
  <si>
    <t>Ankara University Scientific Research Projects Office' Turkey(Ankara University)</t>
  </si>
  <si>
    <t>This study was funded by Ankara University Scientific Research Projects Office' Turkey (Grant # 19L0443010).</t>
  </si>
  <si>
    <t>10.1002/jsfa.12866</t>
  </si>
  <si>
    <t>N4LJ1</t>
  </si>
  <si>
    <t>WOS:001036743200001</t>
  </si>
  <si>
    <t>Yang, M; Liu, ZY; Dong, W; Wu, Y</t>
  </si>
  <si>
    <t>Yang, Mo; Liu, Ziyan; Dong, Wen; Wu, Ying</t>
  </si>
  <si>
    <t>SSTNet: Saliency sparse transformers network with tokenized dilation for salient object detection</t>
  </si>
  <si>
    <t>feature extraction; image processing; object detection</t>
  </si>
  <si>
    <t>The vision Transformer structure performs better in salient object detection than the convolutional neural network (CNN)-based approach. Vision Transformer predicts saliency by modelling long-range dependencies from sequence to sequence with convolution-free. It is challenging to distinguish the salient objects' location and obtain structural details for the influence of extracting irrelevant contextual information. A novel saliency sparse Transformer network is proposed to exploit sparse attention to guide saliency prediction. The convolution-like with dilation in the token to token (T2T) module is replaced to achieve relationships in larger regions and to improve contextual information fusion. An adaptive position bias module is designed for the Vision Transformer to make position bias suitable for variable-sized RGB images. A saliency sparse Transformer module is designed to improve the concentration of attention on the global context by selecting the Top-k of the most relevant segments to improve the detection results further. Besides, cross-modality to exploit the complementary RGB and depth modality fusion module (CMF) is used to take advantage of the complementary RGB image features and spatial depth information to enhance the feature fusion performance. Extensive experiments on multiple benchmark datasets demonstrate this method's effectiveness and superiority that it is suitable for saliency prediction comparable to state-of-the-art RGB and RGB-D saliency methods.</t>
  </si>
  <si>
    <t>[Yang, Mo; Liu, Ziyan; Dong, Wen; Wu, Ying] Guizhou Univ, Coll Big Data &amp; Informat Engn, Guiyang, Peoples R China; [Liu, Ziyan] Guizhou Univ, State Key Lab Publ Big Data, Guiyang, Peoples R China; [Liu, Ziyan] Guizhou Univ, Coll Big Data &amp; Informat Engn, Guiyang 550025, Peoples R China</t>
  </si>
  <si>
    <t>Guizhou University; Guizhou University; Guizhou University</t>
  </si>
  <si>
    <t>Liu, ZY (corresponding author), Guizhou Univ, Coll Big Data &amp; Informat Engn, Guiyang 550025, Peoples R China.</t>
  </si>
  <si>
    <t>gzucomm@gmail.com</t>
  </si>
  <si>
    <t>Liu, Ziyan/D-7151-2019</t>
  </si>
  <si>
    <t>Liu, Ziyan/0000-0001-9191-2790</t>
  </si>
  <si>
    <t>Science and Technology Program of Guizhou Province [1054]; Joint foundation of Guizhou Province [7226]; Academic New Seeding Training and Innovation and Exploration Project of Guizhou University [5788]</t>
  </si>
  <si>
    <t>Science and Technology Program of Guizhou Province; Joint foundation of Guizhou Province; Academic New Seeding Training and Innovation and Exploration Project of Guizhou University</t>
  </si>
  <si>
    <t>Science and Technology Program of Guizhou Province, Grant/Award Number: 1054; Joint foundation of Guizhou Province, Grant/Award Number: 7226; Academic New Seeding Training and Innovation and Exploration Project of Guizhou University, Grant/Award Number: 5788</t>
  </si>
  <si>
    <t>10.1049/ipr2.12895</t>
  </si>
  <si>
    <t>N8MU6</t>
  </si>
  <si>
    <t>WOS:001039499000001</t>
  </si>
  <si>
    <t>Chikkanna, N; Krishnapillai, S; Ramachandran, V</t>
  </si>
  <si>
    <t>Chikkanna, Niranjan; Krishnapillai, Shankar; Ramachandran, Velmurugan</t>
  </si>
  <si>
    <t>Bending Performance and Crashworthiness Characteristics of Sandwich Beams with New Auxetic Core</t>
  </si>
  <si>
    <t>cellular materials; digital image correlation; finite-element analysis; large deformation; 3D printing</t>
  </si>
  <si>
    <t>COMPOSITE STRUCTURES; FLEXURAL PROPERTIES; ENERGY-ABSORPTION; PANELS; BEHAVIOR; IMPACT</t>
  </si>
  <si>
    <t>Structures with enhanced mechanical properties and crashworthiness are competing materials in the transport industry to reduce structural weight, and auxetic materials are the ideal choice. Auxetic metamaterials are the class of cellular structures designed to possess negative Poisson's ratio. The current study evaluates newly developed re-entrant diamond auxetic metamaterial's in-plane and out-of-plane three-point bending performance. A series of experimental and numerical studies are performed to assess the quasistatic performance and crashworthiness characteristics of 3D-printed re-entrant diamond auxetic core and sandwich panels. The results are compared with regular re-entrant panels of the same unit cell size. The deformation and failure mechanism of both auxetic structures, core and sandwich, are discussed. Real-time displacement contours on the specimen surface are visualized using advanced image processing and finite-element methods. The new re-entrant diamond auxetic members outperformed energy absorption characteristics in in-plane and out-plane directions. Compared to the counterpart, the new metamaterial has improved 88.33% and 29.24% in-plane energy absorption as a core and sandwich, respectively. 13.51% and 13.35% increments in energy absorption as a core and sandwich are observed for re-entrant diamond structures compared to the regular re-entrant system in the out-of-plane direction.</t>
  </si>
  <si>
    <t>[Chikkanna, Niranjan; Krishnapillai, Shankar] Indian Inst Technol Madras, Dept Mech Engn, Sardar Patel Rd, Chennai 60036, Tamilnadu, India; [Ramachandran, Velmurugan] Indian Inst Technol Madras, Dept Aerosp Engn, Sardar Patel Rd, Chennai 60036, Tamilnadu, India</t>
  </si>
  <si>
    <t>Ramachandran, V (corresponding author), Indian Inst Technol Madras, Dept Aerosp Engn, Sardar Patel Rd, Chennai 60036, Tamilnadu, India.</t>
  </si>
  <si>
    <t>ramanv@iitm.ac.in</t>
  </si>
  <si>
    <t>Chikkanna, Niranjan/0000-0003-2430-9291</t>
  </si>
  <si>
    <t>2023 JUL 28</t>
  </si>
  <si>
    <t>10.1002/adem.202300710</t>
  </si>
  <si>
    <t>N7KH5</t>
  </si>
  <si>
    <t>WOS:001038751100001</t>
  </si>
  <si>
    <t>Fu, JY; Gu, M; Yan, HL; Zhang, MH; Xie, HL; Yue, XF; Zhang, Q; Li, PW</t>
  </si>
  <si>
    <t>Fu, Jiayun; Gu, Mei; Yan, Honglin; Zhang, Minhui; Xie, Huali; Yue, Xiaofeng; Zhang, Qi; Li, Peiwu</t>
  </si>
  <si>
    <t>Protein biomarker for early diagnosis of microbial toxin contamination: Using Aspergillus flavus as an example</t>
  </si>
  <si>
    <t>FOOD FRONTIERS</t>
  </si>
  <si>
    <t>Aspergillus flavus; biomarker; early diagnosis; microbial toxins; protein purification</t>
  </si>
  <si>
    <t>AFLATOXIN CONTAMINATION; MYCOTOXINS; EXTRACTION; EXPRESSION</t>
  </si>
  <si>
    <t>Microbial toxins are important factors that contribute to human diseases and food losses. Predicting the production of these toxins before they occur is a significant challenge. In this study, we innovatively developed a strategy called targeted acquisition of toxin-related immunogen (TATRI) to identify early diagnostic biomarkers for microbial toxins. Taking Aspergillus flavus as an example, we employed an immunoassay-based screening approach to identify nanobodies that exhibited significant response signals to different toxigenic strains. Subsequently, we isolated and purified the specific immunogen pre-aflatoxin biomarker PAB-01 that bound to the selected nanobody. The results showed that the level of PAB-01 was positively correlated with the toxin-producing ability of A. flavus strains and could be detected before the production of aflatoxins. It met the essential requirements as an early diagnostic biomarker for aflatoxin contamination. Protein identification and bioinformatics analysis revealed that PAB-01 is a glycoprotein that can be secreted into the extracellular space. It is located on chromosome 5 of A. flavus and belongs to the 75 family of glycoside hydrolases. Furthermore, we used 7 g/kg as the critical concentration of PAB-01 to diagnose the risk of aflatoxin contamination in stored peanuts, with an accuracy rate of 75.9% for high-risk samples. In summary, this work provides a promising approach for the identification of protein biomarkers prior to microbial toxin production and the establishment of early diagnostic techniques for microbial toxins.</t>
  </si>
  <si>
    <t>[Fu, Jiayun; Gu, Mei; Yan, Honglin; Zhang, Minhui; Xie, Huali; Yue, Xiaofeng; Zhang, Qi; Li, Peiwu] Chinese Acad Agr Sci, Oil Crops Res Inst, Wuhan, Peoples R China; [Zhang, Minhui; Xie, Huali; Zhang, Qi; Li, Peiwu] Hubei Univ, Inst Food Safety, Wuhan, Peoples R China; [Zhang, Qi; Li, Peiwu] Hubei Hongshan Lab, Wuhan, Peoples R China; [Li, Peiwu] Xianghu Lab, Hangzhou, Peoples R China; [Li, Peiwu] Minist Agr &amp; Rural Affairs, Key Lab Biol &amp; Genet Improvement Oil Crops, Wuhan, Peoples R China; [Li, Peiwu] Minist Agr &amp; Rural Affairs, Key Lab Detect Mycotoxins, Wuhan, Peoples R China; [Zhang, Qi; Li, Peiwu] Chinese Acad Agr Sci, Oil Crops Res Inst, Wuhan 430061, Peoples R China</t>
  </si>
  <si>
    <t>Chinese Academy of Agricultural Sciences; Oil Crops Research Institute, CAAS; Hubei University; Xianghu Laboratory; Ministry of Agriculture &amp; Rural Affairs; Ministry of Agriculture &amp; Rural Affairs; Chinese Academy of Agricultural Sciences; Oil Crops Research Institute, CAAS</t>
  </si>
  <si>
    <t>Zhang, Q; Li, PW (corresponding author), Chinese Acad Agr Sci, Oil Crops Res Inst, Wuhan 430061, Peoples R China.</t>
  </si>
  <si>
    <t>zhangqi01@caas.cn; peiwuli@oilcrops.cn</t>
  </si>
  <si>
    <t>Zhang, Qi/0000-0001-7744-0897</t>
  </si>
  <si>
    <t>Major Project of Hubei Hongshan Laboratory [2021hszd015]; project of National Natural Sciences Foundation of China [32030085]; Central Public-interest Scientific Institution Basal Research Fund [1610172022001]; China National Talent Program</t>
  </si>
  <si>
    <t>Major Project of Hubei Hongshan Laboratory; project of National Natural Sciences Foundation of China(National Natural Science Foundation of China (NSFC)); Central Public-interest Scientific Institution Basal Research Fund; China National Talent Program</t>
  </si>
  <si>
    <t>The Major Project of Hubei Hongshan Laboratory, Grant/Award Number: 2021hszd015; The project of National Natural Sciences Foundation of China, Grant/Award Number: 32030085; Central Public-interest Scientific Institution Basal Research Fund, Grant/Award Number: 1610172022001; China National Talent Program</t>
  </si>
  <si>
    <t>2643-8429</t>
  </si>
  <si>
    <t>Food Frontiers</t>
  </si>
  <si>
    <t>10.1002/fft2.295</t>
  </si>
  <si>
    <t>N7JT5</t>
  </si>
  <si>
    <t>WOS:001038737100001</t>
  </si>
  <si>
    <t>Hanson, A</t>
  </si>
  <si>
    <t>Hanson, Annette</t>
  </si>
  <si>
    <t>Clinical Commentaries Case Material: Chloe</t>
  </si>
  <si>
    <t>JOURNAL OF ANALYTICAL PSYCHOLOGY</t>
  </si>
  <si>
    <t>0021-8774</t>
  </si>
  <si>
    <t>1468-5922</t>
  </si>
  <si>
    <t>J ANAL PSYCHOL</t>
  </si>
  <si>
    <t>J. Anal. Psychol.</t>
  </si>
  <si>
    <t>10.1111/1468-5922.12937</t>
  </si>
  <si>
    <t>Psychology, Psychoanalysis</t>
  </si>
  <si>
    <t>N7NQ7</t>
  </si>
  <si>
    <t>WOS:001038839600001</t>
  </si>
  <si>
    <t>He, X; Zhong, L; Qiu, XQ; Wen, FW; Sun, SR; Zu, XH; Zhang, WL</t>
  </si>
  <si>
    <t>He, Xing; Zhong, Lei; Qiu, Xueqing; Wen, Fuwang; Sun, Shirong; Zu, Xihong; Zhang, Wenli</t>
  </si>
  <si>
    <t>Sustainable Polyvinyl Chloride-Derived Soft Carbon Anodes for Potassium-Ion Storage: Electrochemical Behaviors and Mechanism</t>
  </si>
  <si>
    <t>polyvinyl chloride; soft carbon; potassium ion batteries; anode; adsorption-intercalation</t>
  </si>
  <si>
    <t>THERMAL-DEGRADATION; K-ION; BATTERIES; NITROGEN; PVC; PYROLYSIS</t>
  </si>
  <si>
    <t>Soft carbon is a promising anode material for potassium-ion batteries due to its favorable properties such as low cost, high conductivity, stable capacity, and low potential platform. Polyvinyl chloride, as a white pollutant, is a soft carbon precursor that can be carbonized at varying temperatures to produce soft carbons with controllable defect and crystal structures. This work investigates the effect of carbonization temperature on the crystalline structures of the obtained soft carbons. In situ Raman spectroscopy was used to elucidate the adsorption-intercalation charge storage mechanism of potassium ions in soft carbons. Soft carbons prepared at the temperature of 800 &amp; DEG;C have a defect-rich, short-range ordered structure, which provides optimal intercalation and adsorption sites for potassium ions, resulting in a satisfactory capacity of 302 mAh g(-1). This work presents new possibilities for designing soft carbon materials from recycling plastics for potassium-ion batteries.</t>
  </si>
  <si>
    <t>[He, Xing; Zhong, Lei; Qiu, Xueqing; Wen, Fuwang; Sun, Shirong; Zu, Xihong; Zhang, Wenli] Guangdong Univ Technol GDUT, Sch Chem Engn &amp; Light Ind, Guangdong Prov Key Lab Plant Resources Biorefinery, 100 Waihuan Xi Rd, Guangzhou 510006, Peoples R China; [Qiu, Xueqing; Zhang, Wenli] Rongjiang Lab, Jieyang Branch, Chem &amp; Chem Engn Guangdong Lab, Jieyang 515200, Peoples R China; [Zhang, Wenli] Guangdong Univ Technol GDUT Jieyang, Res Inst Green Chem Engn &amp; Adv Mat, Sch Adv Mfg, Jieyang 515200, Peoples R China</t>
  </si>
  <si>
    <t>Qiu, XQ; Zhang, WL (corresponding author), Guangdong Univ Technol GDUT, Sch Chem Engn &amp; Light Ind, Guangdong Prov Key Lab Plant Resources Biorefinery, 100 Waihuan Xi Rd, Guangzhou 510006, Peoples R China.;Qiu, XQ; Zhang, WL (corresponding author), Rongjiang Lab, Jieyang Branch, Chem &amp; Chem Engn Guangdong Lab, Jieyang 515200, Peoples R China.;Zhang, WL (corresponding author), Guangdong Univ Technol GDUT Jieyang, Res Inst Green Chem Engn &amp; Adv Mat, Sch Adv Mfg, Jieyang 515200, Peoples R China.</t>
  </si>
  <si>
    <t>cexqqiu@scut.edu.cn; wlzhang@gdut.edu.cn</t>
  </si>
  <si>
    <t>Zhang, WenLi/B-2917-2015</t>
  </si>
  <si>
    <t>Zhang, WenLi/0000-0002-6781-2826</t>
  </si>
  <si>
    <t>National Natural Science Foundation of China [22108044]; Research and Development Program in Key Fields of Guangdong Province [2020B1111380002]; Basic Research and Applicable Basic Research in Guangzhou City [202201010290]; Guangdong Provincial Key Laboratory of Plant Resources Biorefinery [2021GDKLPRB07]</t>
  </si>
  <si>
    <t>National Natural Science Foundation of China(National Natural Science Foundation of China (NSFC)); Research and Development Program in Key Fields of Guangdong Province; Basic Research and Applicable Basic Research in Guangzhou City; Guangdong Provincial Key Laboratory of Plant Resources Biorefinery</t>
  </si>
  <si>
    <t>The authors acknowledge the financial support from the National Natural Science Foundation of China (22108044), the Research and Development Program in Key Fields of Guangdong Province (2020B1111380002), the Basic Research and Applicable Basic Research in Guangzhou City (202201010290), and the financial support from the Guangdong Provincial Key Laboratory of Plant Resources Biorefinery (2021GDKLPRB07).</t>
  </si>
  <si>
    <t>10.1002/cssc.202300646</t>
  </si>
  <si>
    <t>N6BT8</t>
  </si>
  <si>
    <t>WOS:001037850700001</t>
  </si>
  <si>
    <t>Ireland, EM; Heller, J; Leister, EM; Padula, AM</t>
  </si>
  <si>
    <t>Ireland, E. M.; Heller, J.; Leister, E. M.; Padula, A. M.</t>
  </si>
  <si>
    <t>Reduced incidence of tick paralysis cases in dogs and cats at two emergency clinics in South-East Queensland since 2015: new generation prophylactics as possible explanatory variables</t>
  </si>
  <si>
    <t>AUSTRALIAN VETERINARY JOURNAL</t>
  </si>
  <si>
    <t>cat; dog; incidence; isoxazoline; Ixodes holocyclus; tick paralysis</t>
  </si>
  <si>
    <t>IXODES-HOLOCYCLUS; RISK-FACTORS</t>
  </si>
  <si>
    <t>IntroductionThis study aimed to determine the incidence of canine and feline tick paralysis cases presenting to two veterinary emergency hospitals before and after the introduction of new generation prophylactic acaricides. MethodsThis was a retrospective study, investigating the number of tick paralysis cases presenting to two emergency and critical care veterinary hospitals in South-East Queensland, from 2008 to 2021. A total of 10,914 dogs and 3696 cats were included over the course of the study. To assess if the introduction of new generation prophylactics in 2015 has coincided with any variation in case numbers, data for each species were analysed graphically and numerically in the first instance, then interrupted time series analyses were performed for the dog and cat data independently. ResultsAccounting for seasonal and climatic variation, we estimated a 54.8% reduction in dog (95% CI 45.3%-62.7%) and 44% reduction in cat (95% CI 19.5%-46%) tick paralysis cases presenting to these two clinics. This reduction corresponded with the timing of new generation prophylactic agents being introduced, including isoxazolines and imidacloprid/flumethrin impregnated collars. ConclusionIn the population studied, a significant reduction in the incidence of tick paralysis cases treated by veterinarians has occurred from 2015 onwards and was found to be associated with the timing of the release of new generation acaricidal products.</t>
  </si>
  <si>
    <t>[Ireland, E. M.] Anim Emergency Serv, Underwood, Australia; [Ireland, E. M.; Leister, E. M.] Pet Intens Care Unit, Underwood, Australia; [Heller, J.] Heller Consulting, Wagga Wagga, NSW, Australia; [Heller, J.] Charles Sturt Univ, Gulbali Res Inst, Wagga Wagga, NSW, Australia; [Heller, J.] Charles Sturt Univ, Sch Agr Environm &amp; Vet Sci, Wagga Wagga, NSW, Australia; [Padula, A. M.] Padula Serums, Bairsndale, Vic, Australia; [Padula, A. M.] Univ Melbourne, Australian Venom Res Unit, Parkville, Vic, Australia</t>
  </si>
  <si>
    <t>Charles Sturt University; Charles Sturt University; University of Melbourne</t>
  </si>
  <si>
    <t>Padula, AM (corresponding author), Padula Serums, Bairsndale, Vic, Australia.;Padula, AM (corresponding author), Univ Melbourne, Australian Venom Res Unit, Parkville, Vic, Australia.</t>
  </si>
  <si>
    <t>info@padulaserums.com.au</t>
  </si>
  <si>
    <t>Heller, Jane/H-9596-2016</t>
  </si>
  <si>
    <t>Heller, Jane/0000-0003-3993-0160</t>
  </si>
  <si>
    <t>Boehringer Ingelheim, Australia</t>
  </si>
  <si>
    <t>Boehringer Ingelheim, Australia(Boehringer Ingelheim)</t>
  </si>
  <si>
    <t>Funding for this project was contributed by Boehringer Ingelheim, Australia.</t>
  </si>
  <si>
    <t>0005-0423</t>
  </si>
  <si>
    <t>1751-0813</t>
  </si>
  <si>
    <t>AUST VET J</t>
  </si>
  <si>
    <t>Aust. Vet. J.</t>
  </si>
  <si>
    <t>10.1111/avj.13269</t>
  </si>
  <si>
    <t>Q9JQ9</t>
  </si>
  <si>
    <t>WOS:001037517800001</t>
  </si>
  <si>
    <t>Kolhe, AA; Sathe, PA; Kothari, RS; Agnihotri, MA; Naik, LP</t>
  </si>
  <si>
    <t>Kolhe, Ashvini A.; Sathe, Pragati A.; Kothari, Rahul S.; Agnihotri, Mona A.; Naik, Leena P.</t>
  </si>
  <si>
    <t>Clear cell pancreatic neuroendocrine tumor</t>
  </si>
  <si>
    <t>NEEDLE-ASPIRATION DIAGNOSIS; LIPID-RICH VARIANT; ENDOCRINE; PATIENT</t>
  </si>
  <si>
    <t>[Kolhe, Ashvini A.; Sathe, Pragati A.; Kothari, Rahul S.; Agnihotri, Mona A.; Naik, Leena P.] Seth GS Med Coll &amp; King Edward Mem Hosp, Dept Pathol, Mumbai, India</t>
  </si>
  <si>
    <t>Seth Gordhandas Sunderdas Medical College &amp; King Edward Memorial Hospital</t>
  </si>
  <si>
    <t>Agnihotri, MA (corresponding author), Seth GS Med Coll &amp; King Edward Mem Hosp, Dept Pathol, Mumbai, India.</t>
  </si>
  <si>
    <t>mona.agnihotri2@gmail.com</t>
  </si>
  <si>
    <t>10.1002/dc.25200</t>
  </si>
  <si>
    <t>R3PW2</t>
  </si>
  <si>
    <t>WOS:001038743800001</t>
  </si>
  <si>
    <t>Kordnoori, S; Sabeti, M; Mostafaei, H; Banihashemi, SSA</t>
  </si>
  <si>
    <t>Kordnoori, Shirin; Sabeti, Maliheh; Mostafaei, Hamidreza; Banihashemi, Saeed Seyed Agha</t>
  </si>
  <si>
    <t>An efficient deep multi-task learning structure for covid-19 disease</t>
  </si>
  <si>
    <t>image enhancement; medical image processing</t>
  </si>
  <si>
    <t>COVID-19 has had a profound global impact, necessitating the development of infection detection systems based on machine learning. This paper presents a Multi-task architecture that addresses the classification and segmentation tasks for COVID-19 detection. The model comprises an encoder for feature representation, a decoder for segmentation, and a multi-layer perceptron for classification. Evaluations conducted on two datasets demonstrate the model's performance in both classification and segmentation. To enhance efficiency and diagnosis accuracy, CT-scan images undergo pre-processing using image processing algorithms like histogram equalization, median filtering, and mathematical morphology operations. The combination of the median filter pre-processing and the proposed model yields impressive results in the classification task, achieving high accuracy, sensitivity, and specificity, with values of 0.97, 0.97, and 0.96, respectively, for dataset 1, and 0.96 in mentioned metrics for dataset 2. For segmentation, the proposed model, particularly with the average morphology pre-processing, exhibits excellent performance with high accuracy, low mean squared error, high peak signal-to-noise ratio, high structural similarity index, and a mean dice coefficient of 88.86 &amp; PLUSMN; 0.05 for dataset 1, and 87.97 &amp; PLUSMN; 0.02 for dataset 2. Furthermore, the pre-trained models consistently demonstrate the superiority of the median filter and proposed model in the classification task on the same datasets. In conclusion, the proposed multi-task model, incorporating image processing techniques, achieves remarkable results in both classification and segmentation. The utilization of pre-processing algorithms and the multi-task framework significantly contribute to superior performance metrics. This study encourages further exploration of combining diverse image processing algorithms to advance infection diagnosis and treatment.</t>
  </si>
  <si>
    <t>[Kordnoori, Shirin; Sabeti, Maliheh] Islamic Azad Univ, North Tehran Branch, Dept Comp Engn, Tehran, Iran; [Mostafaei, Hamidreza] Islamic Azad Univ, North Tehran Branch, Dept Stat, Tehran, Iran; [Banihashemi, Saeed Seyed Agha] Islamic Azad Univ, North Tehran Branch, Dept Math, Tehran, Iran</t>
  </si>
  <si>
    <t>Islamic Azad University; Islamic Azad University; Islamic Azad University</t>
  </si>
  <si>
    <t>Sabeti, M (corresponding author), Islamic Azad Univ, North Tehran Branch, Dept Comp Engn, Tehran, Iran.</t>
  </si>
  <si>
    <t>sabeti@shirazu.ac.ir</t>
  </si>
  <si>
    <t>kordnoori, shirin/0000-0002-0042-3674</t>
  </si>
  <si>
    <t>10.1049/ipr2.12893</t>
  </si>
  <si>
    <t>N6BC8</t>
  </si>
  <si>
    <t>WOS:001037833100001</t>
  </si>
  <si>
    <t>Kramer, CJH; Llop-Guevara, A; Yaniz-Galende, E; Pellegrino, B; ter Haar, NT; Herencia-Ropero, A; Campanini, N; Musolino, A; Bosse, T; Leary, A; Serra, V; Vreeswijk, MPG</t>
  </si>
  <si>
    <t>Kramer, Claire J. H.; Llop-Guevara, Alba; Yaniz-Galende, Elisa; Pellegrino, Benedetta; ter Haar, Natalja T.; Herencia-Ropero, Andrea; Campanini, Nicoletta; Musolino, Antonino; Bosse, Tjalling; Leary, Alexandra; Serra, Violeta; Vreeswijk, Maaike P. G.</t>
  </si>
  <si>
    <t>RAD51 as a biomarker for homologous recombination deficiency in high-grade serous ovarian carcinoma: robustness and interobserver variability of the RAD51 test</t>
  </si>
  <si>
    <t>JOURNAL OF PATHOLOGY CLINICAL RESEARCH</t>
  </si>
  <si>
    <t>analytical validation; biomarker; high-hrade serous ovarian carcinoma; homologous recombination deficiency; interobserver variability; RAD51 test</t>
  </si>
  <si>
    <t>The RAD51 test is emerging as a promising biomarker for the assessment of functional homologous recombination deficiency (HRD). Yet, the robustness and reproducibility of the immunofluorescence-based RAD51 test, in different academic laboratories, have not been systematically investigated. Therefore, we tested the performance of the RAD51 assay in formalin-fixed paraffin-embedded (FFPE) high-grade serous ovarian carcinoma (HGSOC) samples in four European laboratories. Here, we confirm that subtle differences in staining procedures result in low variability of RAD51 and &amp; gamma;H2AX scores. However, substantial variability in RAD51 scoring was observed in some samples, likely due to complicating technical and biological features, such as high RAD51 signal-to-noise ratio and RAD51 heterogeneity. These results support the need to identify and perform additional quality control steps and/or automating image analysis. Altogether, resolving technical issues should be a priority, as identifying tumours with functional HRD is urgently needed to guide the individual treatment of HGSOC patients. Follow-up studies are needed to define the key tissue quality requirements to assess HRD by RAD51 in FFPE tumour samples, as this test could help in guiding the individual treatment of HGSOC patients.</t>
  </si>
  <si>
    <t>[Kramer, Claire J. H.; ter Haar, Natalja T.; Bosse, Tjalling] Leiden Univ, Med Ctr, Dept Pathol, Leiden, Netherlands; [Llop-Guevara, Alba; Herencia-Ropero, Andrea; Serra, Violeta] Vall Dhebron Inst Oncol, Expt Therapeut Grp, Barcelona, Spain; [Yaniz-Galende, Elisa] Inst Gustave Roussy, Dept Oncol, Villejuif, France; [Pellegrino, Benedetta; Campanini, Nicoletta; Musolino, Antonino] Univ Parma, Dept Med &amp; Surg, Parma, Italy; [Pellegrino, Benedetta; Campanini, Nicoletta; Musolino, Antonino] Univ Hosp Parma, Med Oncol &amp; Breast Unit, Parma, Italy; [Vreeswijk, Maaike P. G.] Leiden Univ, Med Ctr, Dept Human Genet, Leiden, Netherlands</t>
  </si>
  <si>
    <t>Leiden University - Excl LUMC; Leiden University; Leiden University Medical Center (LUMC); Vall d'Hebron Institut d'Oncologia (VHIO); UNICANCER; Gustave Roussy; University of Parma; University of Parma; University Hospital of Parma; Leiden University - Excl LUMC; Leiden University; Leiden University Medical Center (LUMC)</t>
  </si>
  <si>
    <t>Vreeswijk, MPG (corresponding author), Leiden Univ, Med Ctr, Dept Human Genet, Leiden, Netherlands.</t>
  </si>
  <si>
    <t>m.p.g.vreeswijk@lumc.nl</t>
  </si>
  <si>
    <t>Bosse, Tjalling/AFX-6970-2022; Pellegrino, Benedetta/J-3926-2016; Musolino, Antonino/M-6904-2016</t>
  </si>
  <si>
    <t>Bosse, Tjalling/0000-0002-6881-8437; Pellegrino, Benedetta/0000-0001-9353-7445; ter Haar, Natalja/0000-0002-9866-9508; Llop-Guevara, Alba/0000-0002-7913-9472; Musolino, Antonino/0000-0002-7979-6261; leary, alexandra/0000-0002-2043-2244; Kramer, Claire/0000-0001-7399-6804</t>
  </si>
  <si>
    <t>Dutch Cancer Society (KWF) [12995]; ERA PerMed [ERAPERMED2019-215]; Instituto de Salud Carlos III [CPII19/00033]; AHR from Generalitat de Catalunya [INVES20095LLOP]; Asociacion Espanola Contra el Cancer (AECC); [SLT017/20/000081]</t>
  </si>
  <si>
    <t>Dutch Cancer Society (KWF)(KWF Kankerbestrijding); ERA PerMed; Instituto de Salud Carlos III(Instituto de Salud Carlos IIISpanish Government); AHR from Generalitat de Catalunya(Generalitat de Catalunya); Asociacion Espanola Contra el Cancer (AECC);</t>
  </si>
  <si>
    <t>This work was supported by the Dutch Cancer Society (KWF) (grant: 12995 to TB and MV) and by ERA PerMed (grant ERAPERMED2019-215 to VS). VS received funding from Instituto de Salud Carlos III (CPII19/00033). ALG received funding from Asociacion Espanola Contra el Cancer (AECC) (INVES20095LLOP) and AHR from Generalitat de Catalunya (PERIS SLT017/20/000081).</t>
  </si>
  <si>
    <t>2056-4538</t>
  </si>
  <si>
    <t>J PATHOL CLIN RES</t>
  </si>
  <si>
    <t>J. Pathol. Clin. Res.</t>
  </si>
  <si>
    <t>10.1002/cjp2.336</t>
  </si>
  <si>
    <t>N5WN2</t>
  </si>
  <si>
    <t>WOS:001037713300001</t>
  </si>
  <si>
    <t>Lee, KM; Huang, YS; Chiu, WH; Huang, YK; Chen, G; Adugna, GB; Li, SR; Lin, FJ; Lu, SI; Hsieh, HC; Liau, KL; Huang, CC; Tai, Y; Tao, YT; Lin, YD</t>
  </si>
  <si>
    <t>Lee, Kun-Mu; Huang, Yao-Shen; Chiu, Wei-Hao; Huang, Ying-Kai; Chen, Gao; Adugna, Gizachew Belay; Li, Sie-Rong; Lin, Fang-Ju; Lu, Shih-I.; Hsieh, Hsiao-Chi; Liau, Kang-Ling; Huang, Chun-Cheng; Tai, Yian; Tao, Yu-Tai; Lin, Yan-Duo</t>
  </si>
  <si>
    <t>Fluorinated Pentafulvalene-Fused Hole-Transporting Material Enhances the Performance of Perovskite Solar Cells with Efficiency Exceeding 23%</t>
  </si>
  <si>
    <t>fluorine-substituted small molecules; hole-transporting materials; long-term stability; pentafulvalene-fused derivatives; perovskite solar cells</t>
  </si>
  <si>
    <t>DOPANT-FREE; SPIRO-OMETAD; LOW-COST</t>
  </si>
  <si>
    <t>Organic small molecular materials with coplanar &amp; pi;-conjugated system as HTMs in perovskite solar cells (PSCs) have attracted considerable attention due to their high charge transport capability and thermal stability. Herein, three novel pentafulvalene-fused derivatives with or without fluorine atoms incorporated (YSH-oF and YSH-mF and YSH-H, respectively) are designed, synthesized, and applied as hole-transporting materials (HTMs) in PSCs fabrication. The fluorinated HTMs, YSH-oF and YSH-mF, exhibited higher hole mobility and better charge extraction at the perovskite/HTM interface than non-fluorinated one do, presumably due to the closer intermolecular &amp; pi;-&amp; pi; packing interactions. As a result, small-area (0.09 cm(2)) PSCs made with YSH-oF and YSH-mF achieved an impressive power conversion efficiency (PCE) of 23.59% and 22.76% respectively, with negligible hysteresis, in contrast with the 20.57% for the YSH-H-based devices. Furthermore, for large-area (1.00 cm(2)) devices, the PSCs employing YSH-oF exhibited a PCE of 21.92%. Moreover, excellent long-term device stability is demonstrated for PSCs with F-substituted HTMs (YSH-oF and YSH-mF), presumably due to the higher hydrophobicity. This study shows the great potential of fluorinated pentafulvalene-fused materials as low-cost HTM for efficient and stable PSCs.</t>
  </si>
  <si>
    <t>[Lee, Kun-Mu; Chiu, Wei-Hao; Huang, Ying-Kai] Chang Gung Univ, Dept Chem &amp; Mat Engn, Taoyuan 33302, Taiwan; [Lee, Kun-Mu] Chang Gung Mem Hosp, Dept Pediat, Div Neonatol, Taoyuan 33305, Taiwan; [Lee, Kun-Mu; Chiu, Wei-Hao] Chang Gung Univ, Ctr Green Technol, Taoyuan 33302, Taiwan; [Huang, Yao-Shen; Adugna, Gizachew Belay; Lu, Shih-I.; Huang, Chun-Cheng; Lin, Yan-Duo] Soochow Univ, Dept Chem, Taipei 11102, Taiwan; [Chen, Gao] Hong Kong Polytech Univ, Dept Appl Phys, Hung Hom, Kowloon, Hong Kong 999077, Peoples R China; [Adugna, Gizachew Belay; Li, Sie-Rong; Lin, Fang-Ju; Tao, Yu-Tai] Acad Sinica, Inst Chem, Taipei 115024, Taiwan; [Hsieh, Hsiao-Chi] Minghsin Univ Sci &amp; Technol, Dept Appl Mat Sci &amp; Technol, Hsinchu 30401, Taiwan; [Liau, Kang-Ling] Natl Cent Univ, Dept Chem, Taoyuan 32001, Taiwan; [Tai, Yian] Natl Taiwan Univ Sci &amp; Technol, Dept Chem Engn, Taipei 10607, Taiwan</t>
  </si>
  <si>
    <t>Chang Gung University; Chang Gung Memorial Hospital; Chang Gung University; Soochow University; Hong Kong Polytechnic University; National Central University; National Taiwan University of Science &amp; Technology</t>
  </si>
  <si>
    <t>Lin, YD (corresponding author), Soochow Univ, Dept Chem, Taipei 11102, Taiwan.</t>
  </si>
  <si>
    <t>ydlin@scu.edu.tw</t>
  </si>
  <si>
    <t>Chiu, Wei-Hao/0000-0003-4484-3117</t>
  </si>
  <si>
    <t>Ministry of Science and Technology, Taiwan [MOST 111-2628-M-031-001-MY3]; Ministry of Science and Technology, Taiwan [MOST 111-2223-E-182-001-MY4]; Chang Gung University [QZRPD181]; Chang Gung Memorial Hospital, Linkou, Taiwan [CMRPD2M0042]</t>
  </si>
  <si>
    <t>Ministry of Science and Technology, Taiwan(Ministry of Science and Technology, Taiwan); Ministry of Science and Technology, Taiwan(Ministry of Science and Technology, Taiwan); Chang Gung University; Chang Gung Memorial Hospital, Linkou, Taiwan(Chang Gung Memorial Hospital)</t>
  </si>
  <si>
    <t>Y.-D.L. thanks the support from Ministry of Science and Technology, Taiwan (Grant Number MOST 111-2628-M-031-001-MY3). K.-M.L. thanks the support from Ministry of Science and Technology, Taiwan (Grant Number MOST 111-2223-E-182-001-MY4), Chang Gung University (QZRPD181) and Chang Gung Memorial Hospital, Linkou, Taiwan (CMRPD2M0042). The authors are grateful to the National Center for High-performance Computing for computer time and facilities.</t>
  </si>
  <si>
    <t>10.1002/adfm.202306367</t>
  </si>
  <si>
    <t>N7MD5</t>
  </si>
  <si>
    <t>WOS:001038800000001</t>
  </si>
  <si>
    <t>Luo, G; Shi, JL; Deng, W; Chang, ZZ; Lu, ZJ; Zhang, YJ; Pan, R; Jie, JS; Zhang, XJ; Zhang, XH</t>
  </si>
  <si>
    <t>Luo, Gan; Shi, Jialin; Deng, Wei; Chang, Zhizhen; Lu, Zhengjun; Zhang, Yujian; Pan, Rui; Jie, Jiansheng; Zhang, Xiujuan; Zhang, Xiaohong</t>
  </si>
  <si>
    <t>Boosting the Performance of Organic Photodetectors with a Solution-Processed Integration Circuit toward Ubiquitous Health Monitoring</t>
  </si>
  <si>
    <t>healthcare electronics; organic field-effect transistors; organic photodetectors; photoplethysmographic; solution-processed integration circuit</t>
  </si>
  <si>
    <t>LOW-VOLTAGE; LARGE-AREA; POLYMER PHOTODETECTORS; HIGH-DETECTIVITY; SIGNAL; SKIN; PHOTOPLETHYSMOGRAM; TRANSISTORS; IMPROVEMENT</t>
  </si>
  <si>
    <t>Organic photodetectors, as an emerging wearable photoplethysmographic (PPG) technology, offer exciting opportunities for next-generation photonic healthcare electronics. However, the mutual restraints among photoresponse, structure complexity, and fabrication cost have intrinsically limited the development of organic photodetectors for ubiquitous health monitoring in daily activities. Here, an effective route to dramatically boost the performance of organic photodetectors with a solution-processed integration circuit for health monitoring application is reported. Through creating an ideal metal-semiconductor junction interface that minimizes the trap states within the device, solution-printed organic field-effect transistors (OFETs) are achieved with an ultrahigh signal amplification efficiency of 37.1 S A(-1), approaching the theoretical thermionic limit. Consequently, monolithic integration of the OFET with an organic photoconductor enables the remarkable amplification of photoresponse signal-to-noise ratio by more than four orders of magnitude from 5.5 to 4.6 x 10(5), which is able to meet the demand for accurately extracting physiological information from the PPG waveforms. This work offers an effective and versatile approach to greatly enhance the photodetector performance, promising to revolutionize health monitoring technologies.</t>
  </si>
  <si>
    <t>[Luo, Gan; Shi, Jialin; Deng, Wei; Chang, Zhizhen; Lu, Zhengjun; Zhang, Yujian; Pan, Rui; Jie, Jiansheng; Zhang, Xiujuan; Zhang, Xiaohong] Soochow Univ, Inst Funct Nano &amp; Soft Mat FUNSOM, Jiangsu Key Lab Carbon Based Funct Mat &amp; Devices, Suzhou 215123, Jiangsu, Peoples R China; [Jie, Jiansheng] Macau Univ Sci &amp; Technol, Macao Inst Mat Sci &amp; Engn, Macau 999078, Peoples R China</t>
  </si>
  <si>
    <t>Deng, W; Zhang, XJ; Zhang, XH (corresponding author), Soochow Univ, Inst Funct Nano &amp; Soft Mat FUNSOM, Jiangsu Key Lab Carbon Based Funct Mat &amp; Devices, Suzhou 215123, Jiangsu, Peoples R China.</t>
  </si>
  <si>
    <t>dengwei@suda.edu.cn; xjzhang@suda.edu.cn; xiaohong_zhang@suda.edu.cn</t>
  </si>
  <si>
    <t>Zhang, Xiaohong/A-3060-2015; Deng, Wei/ACG-5501-2022; Zhang, Xiaohong/R-3166-2018</t>
  </si>
  <si>
    <t>Deng, Wei/0000-0002-0067-0624; Zhang, Xiaohong/0000-0002-6732-2499</t>
  </si>
  <si>
    <t>National Natural Science Foundation of China [51821002, 52225303, 62274115, 61904117, 51973147, 52173178]; Suzhou Key Laboratory of Functional Nano amp; Soft Materials; Collaborative Innovation Center of Suzhou Nano Science amp; Technology; Science and Technology Development Fund (FDCT) of the Macao Special Administrative Region [0145/2022/A3]; Postgraduate Research amp; Practice Innovation Program of Jiangsu Province [KYCX22_3193]; 111 Project</t>
  </si>
  <si>
    <t>National Natural Science Foundation of China(National Natural Science Foundation of China (NSFC)); Suzhou Key Laboratory of Functional Nano amp; Soft Materials; Collaborative Innovation Center of Suzhou Nano Science amp; Technology; Science and Technology Development Fund (FDCT) of the Macao Special Administrative Region; Postgraduate Research amp; Practice Innovation Program of Jiangsu Province; 111 Project(Ministry of Education, China - 111 Project)</t>
  </si>
  <si>
    <t>G.L. and J.L.S. contributed equally to this work. This work was supported by the National Natural Science Foundation of China (Grant Nos. 51821002, 52225303, 62274115, 61904117, 51973147, and 52173178), the Suzhou Key Laboratory of Functional Nano &amp; Soft Materials, the Collaborative Innovation Center of Suzhou Nano Science &amp; Technology, the Science and Technology Development Fund (FDCT) of the Macao Special Administrative Region (0145/2022/A3), the Postgraduate Research &amp; Practice Innovation Program of Jiangsu Province (KYCX22_3193), and the 111 Project.</t>
  </si>
  <si>
    <t>10.1002/adma.202301020</t>
  </si>
  <si>
    <t>R2WM8</t>
  </si>
  <si>
    <t>WOS:001038743900001</t>
  </si>
  <si>
    <t>Scarampella, F; Colombo, S; Dehesa, A; Godizzi, F; Cavicchini, S; Fabbri, E; Roccabianca, P</t>
  </si>
  <si>
    <t>Scarampella, Fabia; Colombo, Silvia; Dehesa, Alexandra; Godizzi, Francesco; Cavicchini, Stefano; Fabbri, Elisabetta; Roccabianca, Paola</t>
  </si>
  <si>
    <t>Dermoscopic features of benign sebaceous proliferations in dogs: Description, assessment and inter-observer agreement</t>
  </si>
  <si>
    <t>VETERINARY DERMATOLOGY</t>
  </si>
  <si>
    <t>dermoscopic features; dermoscopy; dogs; sebaceous adenoma; sebaceous epithelioma; sebaceous hyperplasia</t>
  </si>
  <si>
    <t>SKIN; DERMATOPHYTOSIS; DIAGNOSIS; ALOPECIA; SIGN</t>
  </si>
  <si>
    <t>BackgroundDermoscopy is a useful, noninvasive technique also used to assess sebaceous lesions in humans. Sebaceous hyperplasia, sebaceous adenoma and sebaceous epithelioma are common cutaneous lesions in dogs; however, their dermoscopic features have not been investigated.Hypothesis/Objectives The objectives of this study are to describe the dermoscopic features of canine sebaceous lesions and to assess the interobserver agreement on dermoscopic parameters.Animals Thirty-four lesions excised from 17 client-owned dogs, histologically confirmed as sebaceous proliferations, were included in this study.Materials and Methods Sebaceous lesions were evaluated in vivo at x10 magnification with a handheld dermoscope. Each dermoscopic image was assessed independently by two ECVD board-certified veterinary referral clinicians and an ECVD resident.Results Thirty sebaceous hyperplasias, two sebaceous adenomas and two sebaceous epitheliomas were included. Dermoscopically, most lesions (91%) had single or multiple, well-defined, white-yellowish structures composed of grouped ovoid areas (clods). Irregular linear and, less commonly, arborising vessels were detected at the periphery of the yellow lobular-like structures in 93% of sebaceous hyperplasias and in 50% of neoplastic lesions. Erosions were seen in 6% of sebaceous hyperplasias and 50% of neoplastic lesions. Good interobserver agreement was found for white/yellowish clods (k = 0.75), yellow scales (k = 0.83), brown/grey dots (k = 0.80), erosions (k = 0.82) and red/brownish scales/crusts (k = 0.75). There was moderate agreement for fissures (k = 0.48) and vascular pattern (k = 0.51-0.53).Conclusions and Clinical Relevance Dermoscopy represents a useful technique to assess sebaceous gland proliferations in dogs, as it is in humans.</t>
  </si>
  <si>
    <t>[Scarampella, Fabia; Colombo, Silvia; Dehesa, Alexandra] Studio Dermatol Vet, Via Giancarlo Sismondi 62, I-20133 Milan, Italy; [Godizzi, Francesco; Roccabianca, Paola] Univ Milan, Dept Vet Med &amp; Anim Sci DIVAS, Lodi, Italy; [Fabbri, Elisabetta] Azienda USL Romagna, UO Ric Valutativa &amp; Policy Serv Sanit Programma Un, Rimini, Italy</t>
  </si>
  <si>
    <t>Scarampella, F (corresponding author), Studio Dermatol Vet, Via Giancarlo Sismondi 62, I-20133 Milan, Italy.</t>
  </si>
  <si>
    <t>fabia.scarampella@gmail.com</t>
  </si>
  <si>
    <t>ROCCABIANCA, PAOLA/I-6110-2017</t>
  </si>
  <si>
    <t>ROCCABIANCA, PAOLA/0000-0002-3672-4612; Colombo, Silvia/0000-0003-1138-4364</t>
  </si>
  <si>
    <t>0959-4493</t>
  </si>
  <si>
    <t>1365-3164</t>
  </si>
  <si>
    <t>VET DERMATOL</t>
  </si>
  <si>
    <t>Vet. Dermatol.</t>
  </si>
  <si>
    <t>10.1111/vde.13196</t>
  </si>
  <si>
    <t>Dermatology; Veterinary Sciences</t>
  </si>
  <si>
    <t>N7GT2</t>
  </si>
  <si>
    <t>WOS:001038658800001</t>
  </si>
  <si>
    <t>Song, ZC; Zhang, RC; Min, PP; Wang, TY; Cao, WX; He, YR; Wu, L; Zhu, JQ; Qiu, CW</t>
  </si>
  <si>
    <t>Song, Zicheng; Zhang, Ruicong; Min, Pingping; Wang, Tianyu; Cao, Wenxin; He, Yurong; Wu, Lin; Zhu, Jiaqi; Qiu, Cheng-Wei</t>
  </si>
  <si>
    <t>Inverse Design of Diffusion-Absorption Hybrid Metasurfaces</t>
  </si>
  <si>
    <t>diffusion metasurfaces; metasurface absorber; multi-objective optimization; radar cross section; random metasurfaces</t>
  </si>
  <si>
    <t>BROAD-BAND; SCATTERING</t>
  </si>
  <si>
    <t>Random metasurfaces have demonstrated significant potential in radar-signature control applications, but their ability to manipulate scattering-field reduction is limited by relying solely on the diffusion mechanism. To achieve flexible and arbitrary designs for scattering-field reduction, a diffusion-absorption hybrid metasurface is proposed based on the Babinet principle. This hybrid metasurface adopts complementary bilayer metasurfaces to satisfy the impedance matching condition and employs a hybrid absorption and diffusion mechanism. Such complementary designs' intralayer resonances and interlayer couplings are tailored by multi-objective optimization, achieving the precise and wideband design of absorptive elements with a specific reflection phase. By optimizing the spatial distributions of elements, diffusion is introduced and designs are achieved with a continuous scattering-field reduction from 15.40 to 32.58 dB at 15 GHz. Three representative designed structures are fabricated and verified as proof of concept. The experimental results are consistent with the calculations and simulations, demonstrating a 12.32-24.46 dB scattering-field reduction range. The proposed high-freedom metasurface and the implementation multi-objective optimization strategy collectively empower flexible wavefront manipulation, offering a viable solution for designing hybrid meta-devices that incorporate multiple mechanisms.</t>
  </si>
  <si>
    <t>[Song, Zicheng; Zhang, Ruicong; Min, Pingping; Cao, Wenxin; Zhu, Jiaqi] Harbin Inst Technol, Ctr Composite Mat &amp; Struct, Harbin 150080, Peoples R China; [Song, Zicheng; Zhang, Ruicong; Min, Pingping; Cao, Wenxin; Zhu, Jiaqi] Harbin Inst Technol, Zhengzhou Res Inst, Zhengzhou 450018, Peoples R China; [Wu, Lin] Harbin Inst Technol, Sch Energy Sci &amp; Engn, Harbin 150080, Peoples R China; [Wu, Lin] Singapore Univ Technol &amp; Design SUTD, Sci Math &amp; Technol, 8 Somapah Rd, Singapore 487372, Singapore; [Wu, Lin] Inst High Performance Comp IHPC, Singapore 138632, Singapore; [Qiu, Cheng-Wei] Natl Univ Singapore, Fac Engn, Dept Elect &amp; Comp Engn, Singapore 117583, Singapore</t>
  </si>
  <si>
    <t>Harbin Institute of Technology; Harbin Institute of Technology; Harbin Institute of Technology; Singapore University of Technology &amp; Design; Agency for Science Technology &amp; Research (A*STAR); A*STAR - Institute of High Performance Computing (IHPC); National University of Singapore</t>
  </si>
  <si>
    <t>Zhu, JQ (corresponding author), Harbin Inst Technol, Ctr Composite Mat &amp; Struct, Harbin 150080, Peoples R China.;Zhu, JQ (corresponding author), Harbin Inst Technol, Zhengzhou Res Inst, Zhengzhou 450018, Peoples R China.;Wu, L (corresponding author), Harbin Inst Technol, Sch Energy Sci &amp; Engn, Harbin 150080, Peoples R China.;Wu, L (corresponding author), Singapore Univ Technol &amp; Design SUTD, Sci Math &amp; Technol, 8 Somapah Rd, Singapore 487372, Singapore.;Wu, L (corresponding author), Inst High Performance Comp IHPC, Singapore 138632, Singapore.;Qiu, CW (corresponding author), Natl Univ Singapore, Fac Engn, Dept Elect &amp; Comp Engn, Singapore 117583, Singapore.</t>
  </si>
  <si>
    <t>lin_wu@sutd.edu.sg; zhujq@hit.edu.cn; chengwei.qiu@nus.edu.sg</t>
  </si>
  <si>
    <t>Wu, Lin/GOE-3613-2022; Zhu, Jiaqi/ABC-9018-2021</t>
  </si>
  <si>
    <t>Wu, Lin/0000-0002-3188-0640;</t>
  </si>
  <si>
    <t>Key Project of the National Natural Science Foundation of China [52032004]; National Natural Science Foundation for Distinguished Young Scholars of China [51625201]; National Youth Science Funds of China [52102039]; Key Research and Development Program of Heilongjiang Province [GA21D001]; Fundamental Research Funds for the Central Universities [2022FRFK060026, HIT.OCEF.2022011]; China Scholarship Council at the Singapore University of Technology and Design [202206120100]</t>
  </si>
  <si>
    <t>Key Project of the National Natural Science Foundation of China(National Natural Science Foundation of China (NSFC)); National Natural Science Foundation for Distinguished Young Scholars of China(National Natural Science Foundation of China (NSFC)National Science Fund for Distinguished Young Scholars); National Youth Science Funds of China; Key Research and Development Program of Heilongjiang Province; Fundamental Research Funds for the Central Universities(Fundamental Research Funds for the Central Universities); China Scholarship Council at the Singapore University of Technology and Design</t>
  </si>
  <si>
    <t>Z.C.S. and R.C.Z. contributed equally to this work. This work was supported in part from the Key Project of the National Natural Science Foundation of China (Grant No. 52032004), the National Natural Science Foundation for Distinguished Young Scholars of China (Grant No. 51625201), the National Youth Science Funds of China (Grant No. 52102039), the Key Research and Development Program of Heilongjiang Province (Grant No. GA21D001), the Fundamental Research Funds for the Central Universities (Grant No. HIT.OCEF.2022011), and the Fundamental Research Funds for the Central Universities (2022FRFK060026). The authors also want to thank the China Scholarship Council under Grant No. 202206120100 for supporting the study at the Singapore University of Technology and Design.</t>
  </si>
  <si>
    <t>10.1002/lpor.202300280</t>
  </si>
  <si>
    <t>N7JX5</t>
  </si>
  <si>
    <t>WOS:001038741100001</t>
  </si>
  <si>
    <t>Taylor, TL; Smith, BP; Hazel, SJ</t>
  </si>
  <si>
    <t>Taylor, Tracey L.; Smith, Bradley P.; Hazel, Susan J.</t>
  </si>
  <si>
    <t>Guardians' perceptions of caring for a dog with canine cognitive dysfunction</t>
  </si>
  <si>
    <t>VETERINARY RECORD</t>
  </si>
  <si>
    <t>burden of care; companion animal; dog dementia; pet caregiving; senior</t>
  </si>
  <si>
    <t>BEHAVIORAL-CHANGES; CLINICAL SIGNS; CAREGIVER BURDEN; PREVALENCE; IMPAIRMENT; OWNERS</t>
  </si>
  <si>
    <t>BackgroundCanine cognitive dysfunction (CCD) is a neurodegenerative disease that is difficult to diagnose, as its clinical signs are similar to those of other age-related conditions. The experience of caring for a senior dog with or without CCD is not well described. MethodsData were collected via an online survey. Using a mixed methods design, the level of CCD and burden of care were measured using validated tools, and open-ended questions gathered qualitative data. A general linear model showed the factors associated with guardian burden of care. ResultsSixteen percent of guardians experienced a clinically significant burden of care. Factors associated with burden of care included severity of CCD, sleep location, guardian employment, household size, dog age, guardian age and the dog taking medication. Few dogs with CCD were prescribed CCD medications to ameliorate clinical signs. Euthanasia, strong attachment mitigating burden and the complexities of caregiving were themes presented by guardians. LimitationsMeasures are based on self-reports and as such the usual limitations apply. ConclusionsThe burden of caring for an older dog is greater if they have CCD. More attention to the treatment of senior dogs, including medications to reduce clinical signs of CCD, could improve the welfare of older dogs and decrease the clinical burden experienced by guardians.</t>
  </si>
  <si>
    <t>[Taylor, Tracey L.; Hazel, Susan J.] Univ Adelaide, Fac Sci Engn &amp; Technol, Sch Anim &amp; Vet Sci, Adelaide, SA, Australia; [Smith, Bradley P.] Cent Queensland Univ Australia, Coll Psychol, Sch Human Hlth &amp; Social Sci, Wayville, SA, Australia</t>
  </si>
  <si>
    <t>University of Adelaide; Central Queensland University</t>
  </si>
  <si>
    <t>Taylor, TL (corresponding author), Univ Adelaide, Fac Sci Engn &amp; Technol, Sch Anim &amp; Vet Sci, Adelaide, SA, Australia.</t>
  </si>
  <si>
    <t>tracey.taylor@adelaide.edu.au</t>
  </si>
  <si>
    <t>Taylor, Tracey/0000-0002-2742-7544</t>
  </si>
  <si>
    <t>0042-4900</t>
  </si>
  <si>
    <t>2042-7670</t>
  </si>
  <si>
    <t>VET REC</t>
  </si>
  <si>
    <t>Vet. Rec.</t>
  </si>
  <si>
    <t>10.1002/vetr.3266</t>
  </si>
  <si>
    <t>N5OF3</t>
  </si>
  <si>
    <t>WOS:001037496600001</t>
  </si>
  <si>
    <t>Wang, AJ; Li, CH; Jiang, QA; Jiang, S</t>
  </si>
  <si>
    <t>Wang, Aijuan; Li, Chenghui; Jiang, Qi'an; Jiang, Shu</t>
  </si>
  <si>
    <t>Inetetamab in combination with rapamycin and chemotherapy for trastuzumab-treated metastatic human epidermal growth factor receptor 2-positive breast cancer with abnormal activation of PI3K/Akt/mTOR pathway</t>
  </si>
  <si>
    <t>anti-HER-2 therapy; breast cancer; human epidermal growth factor receptor 2</t>
  </si>
  <si>
    <t>PHASE-III; PERTUZUMAB; PACLITAXEL; EVEROLIMUS; EFFICACY; THERAPY; SAFETY; WOMEN</t>
  </si>
  <si>
    <t>BackgroundHuman epidermal growth factor receptor 2 (HER2) overexpression is an independent prognostic factor of poor prognosis and a predictor of efficacy of anti-HER2 therapy. A limited number of patients can receive standard second-line therapy (DS-8201 or T-DM1) for metastatic HER2-positive in some parts of the world, including China, due to many factors, such as cost-benefit ratios. CaseA 51-year-old premenopausal woman was diagnosed with HER2-positive breast cancer. The pathological stage was ypT3N2M0 and stage IIIA. Trastuzumab targeted therapy combined with goserelin depot was started along with letrozole endocrine therapy. After eight courses of treatment, magnetic resonance imaging (MRI) examination revealed new multiple metastases in the liver, and progression disease (PD) was evaluated. Due to abnormal activation of the phosphatidylinositol 3-kinase/protein kinase B/mammalian target of rapamycin (PI3K/AKT/mTOR) pathway in the patient, treatment was changed to the mammalian target of rapamycin (mTOR) inhibitor combined with the anti-HER-2 agents inetetamab and paclitaxel, while partial response (PR) was evaluated after 6 cycles of treatment. As the patient was hormone receptor (HR) positive, treatment was changed to the inetetamab + rapamycin + exemestane regimen. The lesion continued to shrink and PR was evaluated for 8 cycles. The original regimen was continued, PR was evaluated after 12 courses of treatment. The abdominal MRI performed showed an increase in the volume of intrahepatic multiple metastatic tumor lesion. Efficacy was used to assess for PD and the progression-free survival (PFS) was 317 days. ConclusionA phosphatidylinositol-4, 5-bisphosphate 3-kinase catalytic subunit alpha (PIK3CA) mutation in trastuzumab-treated metastatic HER2-positive breast cancer female had a long PFS by treating with the mammalian target of rapamycin inhibitor in combination with the anti-HER-2 agent inetetamab.</t>
  </si>
  <si>
    <t>[Wang, Aijuan; Li, Chenghui; Jiang, Qi'an; Jiang, Shu] Anqing Municipal Hosp, Dept Oncol, Anqing, Anhui, Peoples R China; [Li, Chenghui] Anqing Municipal Hosp, Dept Oncol, 87 Tianzhu East Rd, Anqing 246003, Anhui, Peoples R China</t>
  </si>
  <si>
    <t>Li, CH (corresponding author), Anqing Municipal Hosp, Dept Oncol, 87 Tianzhu East Rd, Anqing 246003, Anhui, Peoples R China.</t>
  </si>
  <si>
    <t>lchui001@163.com</t>
  </si>
  <si>
    <t>10.1002/cnr2.1864</t>
  </si>
  <si>
    <t>R1JH4</t>
  </si>
  <si>
    <t>WOS:001034372200001</t>
  </si>
  <si>
    <t>Zhao, J; Ballard, C; Cohen, AJ; Ringham, B; Zhao, B; Wang, HM; Zuspan, K; Rebentisch, A; Locklear, BA; Dahl, M; Maschek, JA; Cox, JE; Joss-Moore, LA</t>
  </si>
  <si>
    <t>Zhao, James; Ballard, Craig; Cohen, Adrienne J.; Ringham, Ben; Zhao, Brooke; Wang, Haimei; Zuspan, Katie; Rebentisch, Andrew; Locklear, Brent A.; Dahl, MarJanna; Maschek, J. Alan; Cox, James E.; Joss-Moore, Lisa A.</t>
  </si>
  <si>
    <t>Postnatal growth restriction impairs rat lung structure and function</t>
  </si>
  <si>
    <t>ANATOMICAL RECORD-ADVANCES IN INTEGRATIVE ANATOMY AND EVOLUTIONARY BIOLOGY</t>
  </si>
  <si>
    <t>growth restriction; lung development; lung disease; preterm</t>
  </si>
  <si>
    <t>PPAR-GAMMA; BRONCHOPULMONARY DYSPLASIA; FATTY-ACIDS; PARENCHYMAL MECHANICS; PULMONARY-FUNCTION; ALVEOLAR FORMATION; NASAL VENTILATION; INFANTS; EXPRESSION; NUTRITION</t>
  </si>
  <si>
    <t>The negative impact of nutritional deficits in the development of bronchopulmonary dysplasia is well recognized, yet mechanisms by which nutrition alters lung outcomes and nutritional strategies that optimize development and protect the lung remain elusive. Here, we use a rat model to assess the isolated effects of postnatal nutrition on lung structural development without concomitant lung injury. We hypothesize that postnatal growth restriction (PGR) impairs lung structure and function, critical mediators of lung development, and fatty acid profiles at postnatal day 21 in the rat. Rat pups were cross-fostered at birth to rat dams with litter sizes of 8 (control) or 16 (PGR). Lung structure and function, as well as serum and lung tissue fatty acids, and lung molecular mediators of development, were measured. Male and female PGR rat pups had thicker airspace walls, decreased lung compliance, and increased tissue damping. Male rats also had increased lung elastance, increased lung elastin protein abundance, and lysol oxidase expression, and increased elastic fiber deposition. Female rat lungs had increased conducting airway resistance and reduced levels of docosahexaenoic acid in lung tissue. We conclude that PGR impairs lung structure and function in both male and female rats, with sex-divergent changes in lung molecular mediators of development.</t>
  </si>
  <si>
    <t>[Zhao, James; Ballard, Craig; Cohen, Adrienne J.; Ringham, Ben; Zhao, Brooke; Wang, Haimei; Zuspan, Katie; Rebentisch, Andrew; Locklear, Brent A.; Dahl, MarJanna; Joss-Moore, Lisa A.] Univ Utah, Dept Pediat, Salt Lake City, UT USA; [Maschek, J. Alan; Cox, James E.] Univ Utah, Hlth Sci Ctr, Hlth Sci Ctr Cores, Salt Lake City, UT USA; [Maschek, J. Alan; Cox, James E.] Univ Utah, Dept Biochem, Salt Lake City, UT USA; [Joss-Moore, Lisa A.] Univ Utah, Dept Pediat, 295 Chipeta Way, Salt Lake City, UT 84108 USA</t>
  </si>
  <si>
    <t>Utah System of Higher Education; University of Utah; Utah System of Higher Education; University of Utah; Utah System of Higher Education; University of Utah; Utah System of Higher Education; University of Utah</t>
  </si>
  <si>
    <t>Joss-Moore, LA (corresponding author), Univ Utah, Dept Pediat, 295 Chipeta Way, Salt Lake City, UT 84108 USA.</t>
  </si>
  <si>
    <t>lisa.joss-moore@hsc.utah.edu</t>
  </si>
  <si>
    <t>Dahl, Mar Janna/0000-0002-3808-7995</t>
  </si>
  <si>
    <t>National Institutes of Health (NIH) [1-S10-OD021505-01]; Division of Neonatology, Department of Pediatrics at the University of Utah; University of Utah Native American Internship; [DK084036]; [R25HL108828]</t>
  </si>
  <si>
    <t>National Institutes of Health (NIH)(United States Department of Health &amp; Human ServicesNational Institutes of Health (NIH) - USA); Division of Neonatology, Department of Pediatrics at the University of Utah; University of Utah Native American Internship; ;</t>
  </si>
  <si>
    <t>This study was supported in part by National Institutes of Health (NIH) DK084036 (LJM) and 1-S10-OD021505-01(JEC), and the Division of Neonatology, Department of Pediatrics at the University of Utah. BR and BAL were supported by the University of Utah Native American Internship (R25HL108828).</t>
  </si>
  <si>
    <t>1932-8486</t>
  </si>
  <si>
    <t>1932-8494</t>
  </si>
  <si>
    <t>ANAT REC</t>
  </si>
  <si>
    <t>Anat. Rec.</t>
  </si>
  <si>
    <t>10.1002/ar.25297</t>
  </si>
  <si>
    <t>N8PA0</t>
  </si>
  <si>
    <t>WOS:001039556400001</t>
  </si>
  <si>
    <t>Au, J; Bloom, AA; Parazoo, NC; Deans, RM; Wong, CYS; Houlton, BZ; Magney, TS</t>
  </si>
  <si>
    <t>Au, J.; Bloom, A. A.; Parazoo, N. C.; Deans, R. M.; Wong, C. Y. S.; Houlton, B. Z.; Magney, T. S.</t>
  </si>
  <si>
    <t>Forest productivity recovery or collapse? Model-data integration insights on drought-induced tipping points</t>
  </si>
  <si>
    <t>canopy collapse; drought; gross primary productivity; terrestrial carbon cycle; tipping points</t>
  </si>
  <si>
    <t>TREE MORTALITY; CARBON DYNAMICS; GAS-EXCHANGE; ECOSYSTEMS; MECHANISMS; SURVIVAL; HEAT; FIRE; SOIL</t>
  </si>
  <si>
    <t>More frequent and severe droughts are driving increased forest mortality around the globe. We urgently need to describe and predict how drought affects forest carbon cycling and identify thresholds of environmental stress that trigger ecosystem collapse. Quantifying the effects of drought at an ecosystem level is complex because dynamic climate-plant relationships can cause rapid and/or prolonged shifts in carbon balance. We employ the CARbon DAta MOdel fraMework (CARDAMOM) to investigate legacy effects of drought on forest carbon pools and fluxes. Our Bayesian model-data fusion approach uses tower observed meteorological forcing and carbon fluxes to determine the response and sensitivity of aboveground and belowground ecological processes associated with the 2012-2015 California drought. Our study area is a mid-montane mixed conifer forest in the Southern Sierras. CARDAMOM constrained with gross primary productivity (GPP) estimates covering 2011-2017 show a similar to 75% reduction in GPP, compared to negligible GPP change when constrained with 2011 only. Precipitation across 2012-2015 was 45% (474 mm) lower than the historical average and drove a cascading depletion in soil moisture and carbon pools (foliar, labile, roots, and litter). Adding 157 mm during an especially stressful year (2014, annual rainfall = 293 mm) led to a smaller depletion of water and carbon pools, steering the ecosystem away from a state of GPP tipping-point collapse to recovery. We present novel process-driven insights that demonstrate the sensitivity of GPP collapse to ecosystem foliar carbon and soil moisture states-showing that the full extent of GPP response takes several years to arise. Thus, long-term changes in soil moisture and carbon pools can provide a mechanistic link between drought and forest mortality. Our study provides an example for how key precipitation threshold ranges can influence forest productivity, making them useful for monitoring and predicting forest mortality events.</t>
  </si>
  <si>
    <t>[Au, J.; Wong, C. Y. S.; Magney, T. S.] Univ Calif Davis, Dept Plant Sci, Davis, CA 95616 USA; [Bloom, A. A.; Parazoo, N. C.] CALTECH, Jet Prop Lab, Pasadena, CA USA; [Deans, R. M.] Univ Edinburgh, Sch Geosci, Edinburgh, Scotland; [Houlton, B. Z.] Cornell Univ, Dept Ecol &amp; Evolutionary Biol, Ithaca, NY USA; [Houlton, B. Z.] Cornell Univ, Dept Global Dev, Ithaca, NY USA</t>
  </si>
  <si>
    <t>University of California System; University of California Davis; California Institute of Technology; National Aeronautics &amp; Space Administration (NASA); NASA Jet Propulsion Laboratory (JPL); University of Edinburgh; Cornell University; Cornell University</t>
  </si>
  <si>
    <t>Au, J; Magney, TS (corresponding author), Univ Calif Davis, Dept Plant Sci, Davis, CA 95616 USA.</t>
  </si>
  <si>
    <t>jessieau@ucdavis.edu; tmagney@ucdavis.edu</t>
  </si>
  <si>
    <t>Wong, Christopher/A-6984-2016</t>
  </si>
  <si>
    <t>Wong, Christopher/0000-0001-9608-9916; Houlton, Benjamin/0000-0002-1414-0261</t>
  </si>
  <si>
    <t>California Department of Forestry and Fire Protection Forest Health Research Program [8GG20808]; National Science Foundation [DEB-5791926090]; Royal Society Newton International Fellowship; University of California Davis Center of Data Science and Artificial Intelligence Research</t>
  </si>
  <si>
    <t>California Department of Forestry and Fire Protection Forest Health Research Program; National Science Foundation(National Science Foundation (NSF)); Royal Society Newton International Fellowship(Royal Society); University of California Davis Center of Data Science and Artificial Intelligence Research</t>
  </si>
  <si>
    <t>California Department of Forestry and Fire Protection Forest Health Research Program, Grant/Award Number: 8GG20808; National Science Foundation through the Macrosystems Biology and NEON-Enabled Science program, Grant/Award Number: DEB-579 1926090; Royal Society Newton International Fellowship; University of California Davis Center of Data Science and Artificial Intelligence Research</t>
  </si>
  <si>
    <t>10.1111/gcb.16867</t>
  </si>
  <si>
    <t>R2DD9</t>
  </si>
  <si>
    <t>WOS:001037718900001</t>
  </si>
  <si>
    <t>Chan, HS; Blaubaum, L; Vijayshankar, D; Roder, F; Nowak, C; Weber, A; Kwade, A; Krewer, U</t>
  </si>
  <si>
    <t>Chan, Hoon Seng; Blaeubaum, Lars; Vijayshankar, Dandapani; Roeder, Fridolin; Nowak, Christine; Weber, Andre; Kwade, Arno; Krewer, Ulrike</t>
  </si>
  <si>
    <t>Revealing the Impact of Particle Size Distribution on Ageing of Lithium-Ion Batteries with Frequency Response Analysis</t>
  </si>
  <si>
    <t>polydispersity; electrode-resolved analysis; electrochemical impedance spectroscopy; distribution of relaxation time; nonlinear frequency response analysis; electrochemistry; surface analysis</t>
  </si>
  <si>
    <t>ELECTROCHEMICAL PERFORMANCE; IDENTIFICATION; ELECTRODE; ANODES; SIMULATION; TRANSIENT; CELLS</t>
  </si>
  <si>
    <t>In-depth analyses, including discharge behaviour, electrochemical impedance analysis, and for the first time, nonlinear frequency response analysis, are conducted on the ageing of negative electrodes with varying particle size distribution. The electrode-resolved analysis is used to distinguish the kinetic and transport losses at the respective electrodes. For fine to medium-sized particles at the negative electrode, ageing impacts are found more on the positive electrode: the impedance and nonlinear responses increase, suggesting that the charge transfer process at the positive electrode is worsened. Meanwhile, for coarse and broad negative particles, the impedance and nonlinear responses at negative electrodes decrease due to improved kinetics from micro-cracking. The second harmonic reveals a change in the nature of the charge transfer during ageing: the charge transfer process at the positive electrode becomes asymmetric for fine and medium-sized negative particles. Vice versa, the charge transfer process at the negative electrode becomes symmetric for coarse and broad negative particles.</t>
  </si>
  <si>
    <t>[Chan, Hoon Seng; Blaeubaum, Lars; Weber, Andre; Krewer, Ulrike] Karlsruhe Inst Technol, Inst Appl Mat Electrochem Technol, Adenauerring 20b, D-76131 Karlsruhe, Germany; [Vijayshankar, Dandapani] Indian Inst Technol, Dept Met Engn &amp; Mat Sci, Mumbai 400076, India; [Roeder, Fridolin] Univ Bayreuth, Fac Engn Sci Battery Management Methods, D-95440 Bayreuth, Germany; [Nowak, Christine; Kwade, Arno] TU Braunschweig, Inst Particle Technol, Volkmaroder Str 5, D-38106 Braunschweig, Germany; [Nowak, Christine; Kwade, Arno] TU Braunschweig, Battery LabFactory Braunschweig, Langer Kamp 8, D-38106 Braunschweig, Germany</t>
  </si>
  <si>
    <t>Helmholtz Association; Karlsruhe Institute of Technology; Indian Institute of Technology System (IIT System); Indian Institute of Technology (IIT) - Bombay; University of Bayreuth; Braunschweig University of Technology; Braunschweig University of Technology</t>
  </si>
  <si>
    <t>Krewer, U (corresponding author), Karlsruhe Inst Technol, Inst Appl Mat Electrochem Technol, Adenauerring 20b, D-76131 Karlsruhe, Germany.</t>
  </si>
  <si>
    <t>ulrike.krewer@kit.edu</t>
  </si>
  <si>
    <t>Weber, André/N-2611-2015</t>
  </si>
  <si>
    <t>Weber, André/0000-0003-1744-3732; Blaubaum, Lars/0000-0002-8610-2790; Nowak, Christine/0000-0001-7301-9851; Chan, Hoon Seng/0000-0002-9507-1957; Kwade, Arno/0000-0002-6348-7309</t>
  </si>
  <si>
    <t>EMPIR program [17IND10]; European Union; Projekt DEAL</t>
  </si>
  <si>
    <t>EMPIR program; European Union(European Union (EU)); Projekt DEAL</t>
  </si>
  <si>
    <t>This project (17IND10 - LiBforSecUse) has received funding from the EMPIR program, co-financed by the Participating States and from the European Union's Horizon 2020 research and innovation program. Dr.-Ing. Jochen Joos and Annette Schucker supported FIB-SEM analysis. Julian Ulrich supported the conditioning of NFR data.. Open Access funding enabled and organized by Projekt DEAL.</t>
  </si>
  <si>
    <t>2023 JUL 27</t>
  </si>
  <si>
    <t>10.1002/batt.202300203</t>
  </si>
  <si>
    <t>N4RV0</t>
  </si>
  <si>
    <t>WOS:001036911500001</t>
  </si>
  <si>
    <t>Chen, B; Coppieters, S</t>
  </si>
  <si>
    <t>Chen, Bin; Coppieters, Sam</t>
  </si>
  <si>
    <t>Unified digital image correlation under meshfree framework</t>
  </si>
  <si>
    <t>STRAIN</t>
  </si>
  <si>
    <t>meshfree digital image correlation; meshfree method; metrological efficiency indicator; unified digital image correlation; unified framework</t>
  </si>
  <si>
    <t>DEFORMATION MEASUREMENTS</t>
  </si>
  <si>
    <t>The implementation of digital image correlation (DIC) involves several different problems, such as image prefiltering, image intensity gradient calculation, image intensity interpolation at subpixel positions, shape function construction and strain calculation. This paper offers a unified insight into the nature of several key problems in DIC technique. We treat all the problems involved in the former mentioned key steps as fundamentally the same problem, that is, reconstructing an analytical description from a discrete and noisy sampling of a signal, such as discrete image intensity and displacement at some scattered nodes. From the reconstructed analytical description, the gradient and physical value at subpixel or integral pixel position can be analytically calculated without extra error. Here, we solve all these problems using the same mathematical tool, the meshfree method, leading to a unified DIC (U-DIC) method. This method introduces errors solely during the steps involving the determination of the continuous description. However, it effectively avoids errors in the remaining steps. It holds the best balance between spatial resolution and measurement resolution for both displacement and strain measurements compared to 28 state-of-the-art DIC algorithms based on the benchmark tests on DIC Challenge 2.0. It also holds all the unique advantages of the advanced meshfree DIC (MF-DIC) compared to conventional local DIC and global DIC. The novel concept and excellent balance between spatial resolution and measurement resolution make U-DIC an attractive replacement for conventional DIC methods. Additionally, the consistency of the implementation procedures in U-DIC can simplify the parameter selection in DIC, which is of potential for the standardization of DIC technique.</t>
  </si>
  <si>
    <t>[Chen, Bin] KTH Royal Inst Technol, Wallenberg Wood Sci Ctr, Dept Fiber &amp; Polymer Technol, SE-10044 Stockholm, Sweden; [Coppieters, Sam] Katholieke Univ Leuven, Dept Mat Engn, Ghent, Belgium</t>
  </si>
  <si>
    <t>Royal Institute of Technology; KU Leuven</t>
  </si>
  <si>
    <t>Chen, B (corresponding author), KTH Royal Inst Technol, Wallenberg Wood Sci Ctr, Dept Fiber &amp; Polymer Technol, SE-10044 Stockholm, Sweden.</t>
  </si>
  <si>
    <t>binchen@kth.se</t>
  </si>
  <si>
    <t>Chen, Bin/IQU-3041-2023</t>
  </si>
  <si>
    <t>Chen, Bin/0000-0001-8849-0339</t>
  </si>
  <si>
    <t>0039-2103</t>
  </si>
  <si>
    <t>1475-1305</t>
  </si>
  <si>
    <t>Strain</t>
  </si>
  <si>
    <t>10.1111/str.12461</t>
  </si>
  <si>
    <t>Materials Science, Characterization &amp; Testing</t>
  </si>
  <si>
    <t>N0RN2</t>
  </si>
  <si>
    <t>WOS:001034191700001</t>
  </si>
  <si>
    <t>Cohen, N; Shamir, D; Kornweitz, H; Albo, Y; Burg, A</t>
  </si>
  <si>
    <t>Cohen, Noy; Shamir, Dror; Kornweitz, Haya; Albo, Yael; Burg, Ariela</t>
  </si>
  <si>
    <t>Dual Role of Silicon-based Matrices in Electron Exchange Matrices for Waste Treatment</t>
  </si>
  <si>
    <t>DFT calculations; Electron exchange matrix; Sol-gel matrix; PCA; Waste treatment</t>
  </si>
  <si>
    <t>P-CHLOROANILINE; PERSULFATE; OXIDATION; DEGRADATION; SULFATE; COPPER; ENTRAPMENT; ACTIVATION; CATALYST; CARBON</t>
  </si>
  <si>
    <t>Para chloro aniline (PCA) is a common toxic pollutant found in pharmaceutical wastewater. Our study suggests a novel PCA treatment method based on a heterogeneous advanced oxidation process (AOP) that proceeds in an electron exchange matrix (EEM) prepared by the incorporation of redox-active specie in silica matrices using the sol-gel synthesis route. The results, which are supported by DFT calculations, show that the silicon skeleton of the EEM has two important roles, both as a porous matrix that hosts the redox species and as an oxidant species involved in the AOP. The calculations indicate that the formation of a radical on the nitrogen is favored. The suggested mechanism could shed light on the AOP, which proceeds in a heterogenous system, and on its application inside the understudied EEMs that, until now, have been a virtual black box.A better understanding of the mechanism could lead to improved control over the heterogeneous processes that can play a critical role in industries with the need to treat small amounts of toxic compounds at low concentrations, such as in the pharmaceutical industry.</t>
  </si>
  <si>
    <t>[Cohen, Noy; Burg, Ariela] Sami Shamoon Coll Engn, Dept Chem Engn, Beer Sheva, Israel; [Shamir, Dror] NRCN, Analyt Chem Dept, Beer Sheva, Israel; [Kornweitz, Haya] Ariel Univ, Chem Sci Dept, Ariel, Israel; [Albo, Yael] Ariel Univ, Chem Engn Dept, Ariel, Israel</t>
  </si>
  <si>
    <t>Sami Shamoon College of Engineering; Ariel University; Ariel University</t>
  </si>
  <si>
    <t>Burg, A (corresponding author), Sami Shamoon Coll Engn, Dept Chem Engn, Beer Sheva, Israel.;Shamir, D (corresponding author), NRCN, Analyt Chem Dept, Beer Sheva, Israel.</t>
  </si>
  <si>
    <t>drorshamir@gmail.com; arielab@sce.ac.il</t>
  </si>
  <si>
    <t>10.1002/cphc.202300130</t>
  </si>
  <si>
    <t>N4TD4</t>
  </si>
  <si>
    <t>WOS:001036946500001</t>
  </si>
  <si>
    <t>Karges, J</t>
  </si>
  <si>
    <t>Karges, Johannes</t>
  </si>
  <si>
    <t>Chemical and Photophysical Triggers for the Reduction of Pt(IV) Prodrugs for Anticancer Therapy</t>
  </si>
  <si>
    <t>Bioinorganic Chemistry; Medicinal Inorganic Chemistry; Metals in Medicine; Platinum; Prodrug</t>
  </si>
  <si>
    <t>PLATINUM(II) CATALYSIS; DRUG; COMPLEX; MECHANISM; KINETICS; DELIVERY; TRANS; CHEMOTHERAPY; HALIDE; ANALOG</t>
  </si>
  <si>
    <t>Platinum(II) complexes are used in approximately 50% of chemotherapeutic treatments worldwide. Despite their undoubtful clinical success, these compounds are associated with severe side effects and poor tumor selectivity. To overcome these drawbacks, the development of platinum(IV) molecular prodrugs and nanoparticle formulations that remain stable and therapeutically inactive in a biological environment, but could be quickly reduced into the therapeutically active analogs through a specific trigger have been thought. Within this article, the mechanisms for chemical and photophysical triggers for the activation of platinum(IV) prodrugs have been critically reviewed.</t>
  </si>
  <si>
    <t>[Karges, Johannes] Ruhr Univ Bochum, Fac Chem &amp; Biochem, Univ Str 150, D-44780 Bochum, Germany</t>
  </si>
  <si>
    <t>Ruhr University Bochum</t>
  </si>
  <si>
    <t>Karges, J (corresponding author), Ruhr Univ Bochum, Fac Chem &amp; Biochem, Univ Str 150, D-44780 Bochum, Germany.</t>
  </si>
  <si>
    <t>johannes.karges@ruhr-uni-bochum.de</t>
  </si>
  <si>
    <t>Karges, Johannes/0000-0001-5258-0260</t>
  </si>
  <si>
    <t>Liebig fellowship; Chemical Industry Fund of the German Chemical Industry Association; Projekt DEAL</t>
  </si>
  <si>
    <t>J.?K. gratefully acknowledges the financial support with a Liebig fellowship from the Chemical Industry Fund of the German Chemical Industry Association. Open Access funding enabled and organized by Projekt DEAL.</t>
  </si>
  <si>
    <t>10.1002/cnma.202300295</t>
  </si>
  <si>
    <t>N4RS6</t>
  </si>
  <si>
    <t>WOS:001036909100001</t>
  </si>
  <si>
    <t>Lima, IS; da Silva, TM; Weiss, S; Homuth, G; Lerch, MM; Figueiredo, CA; Alcantara-Neves, NM; Barreto, ML; Marques, CR</t>
  </si>
  <si>
    <t>Lima, Iasmin Souza; da Silva, Thiago Magalhaes; Weiss, Stefan; Homuth, Georg; Lerch, Markus M.; Figueiredo, Camila A.; Alcantara-Neves, Neuza Maria; Barreto, Mauricio Lima; Marques, Cintia Rodrigues</t>
  </si>
  <si>
    <t>Genome-wide association study of Helicobacter pylori serological status in Latin American children</t>
  </si>
  <si>
    <t>HELICOBACTER</t>
  </si>
  <si>
    <t>childhood; ELISA; genetics; Helicobacter pylori; susceptibility</t>
  </si>
  <si>
    <t>HYDROCARBON RECEPTOR REPRESSOR; UNIDENTIFIED CURVED BACILLI; COLORECTAL-CANCER; INFECTION; IDENTIFICATION</t>
  </si>
  <si>
    <t>Background: Few genome-wide association studies (GWAS) on Helicobacter pylori infection susceptibility have been conducted for admixed populations from developing countries. Here, we performed a GWAS to identify genetic factors associated with H. pylori serostatus in a cohort of admixed children from a large Latin American urban center. Methods: A cross-sectional study involving 1161 children from 4 to 11 years old living in poor areas of Salvador, in northeastern Brazil. Logistic regression analysis was performed to detect associations between single-nucleotide variants (SNVs) and H. pylori seropositivity, assuming an additive genetic model. Enrichment analyses were conducted using the MAGMA v1.10 software. Results: We found 22 SNVs to be suggestively associated ( p &lt; 10-5) with H. pylori seropositivity. The most suggestive SNV was the rs77955022 ( p = 4.83e-07) located in an intronic region of EXOC3 at 5p15.33. The second most suggestively associated SNV was rs10914996 (p = 8.97e-07), located in an intergenic region at 1p34.3. Furthermore, we were able to replicate three SNVs (p &lt; 0.05) in the Study of Health in Pomerania (SHIP) cohort: the rs2339212 and rs4795970, both located at 17q12 near TMEM132E, as well as the rs6595814, an intronic variant of FBN2 at 5q23.3. The enrichment analysis indicated the participation of genes and metabolic pathways related to the regulation of the digestive system and gastric acid secretion in the risk of seropositivity for H. pylori. Conclusions: Additional studies are required to validate these association findings in larger population samples and to get insight into the underlying physiological mechanisms.</t>
  </si>
  <si>
    <t>[Lima, Iasmin Souza; Marques, Cintia Rodrigues] Univ Fed Bahia, Multidisciplinary Inst Hlth, Vitoria da Conquista, Brazil; [da Silva, Thiago Magalhaes] State Univ Southwest Bahia, Dept Biol Sci, Jequie, Brazil; [Weiss, Stefan; Homuth, Georg] Univ Med Greifswald, Interfac Inst Genet &amp; Funct Genom, Dept Funct Genom, Greifswald, Germany; [Weiss, Stefan; Lerch, Markus M.] Univ Med Greifswald, Dept Med, Greifswald, Germany; [Alcantara-Neves, Neuza Maria] Univ Fed Bahia, Inst Hlth Sci, Salvador, Brazil; [Barreto, Mauricio Lima] Fundacao Osvaldo Cruz, Ctr Data &amp; Knowledge Integrat Hlth, Inst Goncalo Muniz, Salvador, Brazil</t>
  </si>
  <si>
    <t>Universidade Federal da Bahia; Greifswald Medical School; Greifswald Medical School; Universidade Federal da Bahia; Fundacao Oswaldo Cruz</t>
  </si>
  <si>
    <t>da Silva, TM (corresponding author), State Univ Southwest Bahia, Dept Biol Sci, Jequie, Brazil.</t>
  </si>
  <si>
    <t>thiago@uesb.edu.br</t>
  </si>
  <si>
    <t>da Silva, Thiago Magalhães/ITT-1917-2023; MARQUES, CINTIA RODRIGUES/ADI-9766-2022; Lerch, Markus M./E-2206-2016</t>
  </si>
  <si>
    <t>da Silva, Thiago Magalhães/0000-0001-5171-0123; Lerch, Markus M./0000-0002-9643-8263</t>
  </si>
  <si>
    <t>Department of Science and Technology (DECIT, Ministry of Health); National Fund for Scientific and Technological Development (FNDCT, Ministry of Science and Technology); Projects (FINEP, Ministry of Science and Technology, Brazil); Coordination of Improvement of Higher Education Personnel (CAPES, Ministry of Education, Brazil); Foundation for Research Support of the State of Bahia (FAPESB)</t>
  </si>
  <si>
    <t>Department of Science and Technology (DECIT, Ministry of Health)(Department of Science &amp; Technology (India)Department of Science &amp; Technology (DOST), Philippines); National Fund for Scientific and Technological Development (FNDCT, Ministry of Science and Technology); Projects (FINEP, Ministry of Science and Technology, Brazil); Coordination of Improvement of Higher Education Personnel (CAPES, Ministry of Education, Brazil)(Coordenacao de Aperfeicoamento de Pessoal de Nivel Superior (CAPES)); Foundation for Research Support of the State of Bahia (FAPESB)</t>
  </si>
  <si>
    <t>This work was supported by the Department of Science and Technology (DECIT, Ministry of Health) and National Fund for Scientific and Technological Development (FNDCT, Ministry of Science and Technology), Funding of Studies and Projects (FINEP, Ministry of Science and Technology, Brazil), Coordination of Improvement of Higher Education Personnel (CAPES, Ministry of Education, Brazil). ISL was supported by the Foundation for Research Support of the State of Bahia (FAPESB).</t>
  </si>
  <si>
    <t>1083-4389</t>
  </si>
  <si>
    <t>1523-5378</t>
  </si>
  <si>
    <t>Helicobacter</t>
  </si>
  <si>
    <t>10.1111/hel.13008</t>
  </si>
  <si>
    <t>Gastroenterology &amp; Hepatology; Microbiology</t>
  </si>
  <si>
    <t>R1EP8</t>
  </si>
  <si>
    <t>WOS:001037750400001</t>
  </si>
  <si>
    <t>Liu, CC; Jang, CS</t>
  </si>
  <si>
    <t>Liu, Chu-Chih; Jang, Cheng-Shin</t>
  </si>
  <si>
    <t>Seasonal assessment of risks to canoeists' health in a Taiwanese recreational river</t>
  </si>
  <si>
    <t>canoeing; Escherichia coli; quantitative microbial risk assessment; season; uncertainty</t>
  </si>
  <si>
    <t>SENSITIVITY-ANALYSIS; CLIMATE-CHANGE; WATER-QUALITY; EXPOSURE; IMPACT; LANDSCAPE; BACTERIA; BEACHES; WEATHER; BASIN</t>
  </si>
  <si>
    <t>Canoeing is the most favorite recreational activity in several Taiwanese rivers. However, river water frequently contains elevated levels of pathogenic Escherichia coli, which has adverse effects on human health. This study adopted a quantitative microbial risk assessment to analyze seasonal risks to canoeists' health in the Dongshan River, Taiwan. First, river E. coli concentrations were statistically analyzed to determine the seasonal distributions. The exposure duration (ED) was determined by field observations. To propagate the parametric uncertainty, Monte Carlo simulation was employed to model the probability distributions of seasonal pathogenic E. coli levels, ingestion rates, and ED for athletes. Finally, the beta-Poisson dose-response model was implemented to determine seasonal health risks for canoeists. The study results indicated that the health risks in infection probability ranged from 0.5 x 10(-3) to 8.8 x 10(-3) illnesses/person/day for tourists and 1.2 x 10(-3) to 7.7 x 10(-3) illnesses/person/day for athletes. The health risks in the Lizejian Bridge area for tourists exceeded an acceptable level suggested by the U.S. Environmental Protection Agency, 8 x 10(-3) illnesses/person/day, in spring for an ED of 2 h/day, and the health risks for tourists and athletes approached this level in spring and winter for an ED exceeding or equaling 1.5 h/day. According to sensitivity analysis, the geometric standard deviation of river E. coli levels was the most sensitive parameter affecting seasonal risks to canoeists' health. To protect canoeists' health, effluent sewer systems, best management practices, and total maximum daily loads should be promptly implemented in this watershed.</t>
  </si>
  <si>
    <t>[Liu, Chu-Chih; Jang, Cheng-Shin] Kainan Univ, Dept Leisure &amp; Recreat Management, Taoyuan, Taiwan; [Jang, Cheng-Shin] Kainan Univ, Dept Leisure &amp; Recreat Management, Taoyuan 338, Taiwan</t>
  </si>
  <si>
    <t>Nan Kai University Technology; Nan Kai University Technology</t>
  </si>
  <si>
    <t>Jang, CS (corresponding author), Kainan Univ, Dept Leisure &amp; Recreat Management, Taoyuan 338, Taiwan.</t>
  </si>
  <si>
    <t>csjang@mail.knu.edu.tw</t>
  </si>
  <si>
    <t>National Science and Technology Council, Taiwan; NSTC [111-2410-H-424-008]</t>
  </si>
  <si>
    <t>National Science and Technology Council, Taiwan; NSTC</t>
  </si>
  <si>
    <t>ACKNOWLEDGMENTS The authors would like to thank coaches on the canoeing team of the Chihping Senior High School for providing valuable interviews and training records, and the National Science and Technology Council, Taiwan, for financially supporting this research under Contract No. NSTC 111-2410-H-424-008.</t>
  </si>
  <si>
    <t>10.1111/risa.14203</t>
  </si>
  <si>
    <t>N0DU5</t>
  </si>
  <si>
    <t>WOS:001033834600001</t>
  </si>
  <si>
    <t>Mattich, I; Sendra, J; Galinski, H; Isapour, G; Demirors, A; Lattuada, M; Schuerle, S; Studart, AR</t>
  </si>
  <si>
    <t>Mattich, Iacopo; Sendra, Joan; Galinski, Henning; Isapour, Golnaz; Demirors, Ahmet F.; Lattuada, Marco; Schuerle, Simone; Studart, Andre R.</t>
  </si>
  <si>
    <t>Magnetic Manipulation of Superparamagnetic Colloids in Droplet-Based Optical Devices</t>
  </si>
  <si>
    <t>colloidal assembly; compartmentalisation; magnetic field; microfluidics; particles</t>
  </si>
  <si>
    <t>PLATELETS; DYNAMICS</t>
  </si>
  <si>
    <t>Magnetically assembled superparamagnetic colloids are exploited as fluid mixers, swimmers, and delivery systems in several microscale applications. The encapsulation of such colloids in droplets may open new opportunities to build magnetically controlled displays and optical components. Here, the assembly of superparamagnetic colloids inside droplets under rotating magnetic fields is studied, and this phenomenon is exploited to create functional optical devices. Colloids are encapsulated in monodisperse droplets produced by microfluidics and magnetically assembled into dynamic 2D clusters. Using an optical microscope equipped with a magnetic control setup, the effect of the magnetic field strength and rotational frequency on the size, stability, and dynamics of 2D colloidal clusters inside droplets is investigated. The results show that cluster size and stability depend on the magnetic forces acting on the structure under the externally imposed field. By rotating the cluster in specific orientations, it is possible to magnetically control the effective refractive index and the transmission of light through the colloid-laden droplets, thus demonstrating the potential of the encapsulated colloids in optical applications.</t>
  </si>
  <si>
    <t>[Mattich, Iacopo; Demirors, Ahmet F.; Studart, Andre R.] Swiss Fed Inst Technol, Dept Mat, Complex Mat, CH-8093 Zurich, Switzerland; [Sendra, Joan; Galinski, Henning] Swiss Fed Inst Technol, Dept Mat, Lab Nanomet, CH-8093 Zurich, Switzerland; [Isapour, Golnaz] MIT, Dept Mech Engn, Cambridge, MA 02139 USA; [Lattuada, Marco] Univ Fribourg, Dept Chem, CH-1700 Fribourg, Switzerland; [Schuerle, Simone] Swiss Fed Inst Technol, Inst Translat Med, Dept Hlth Sci &amp; Technol, CH-8093 Zurich, Switzerland</t>
  </si>
  <si>
    <t>Swiss Federal Institutes of Technology Domain; ETH Zurich; Swiss Federal Institutes of Technology Domain; ETH Zurich; Massachusetts Institute of Technology (MIT); University of Fribourg; Swiss Federal Institutes of Technology Domain; ETH Zurich</t>
  </si>
  <si>
    <t>Studart, AR (corresponding author), Swiss Fed Inst Technol, Dept Mat, Complex Mat, CH-8093 Zurich, Switzerland.</t>
  </si>
  <si>
    <t>andre.studart@mat.ethz.ch</t>
  </si>
  <si>
    <t>Schuerle, Simone/AAA-2188-2019</t>
  </si>
  <si>
    <t>Schuerle, Simone/0000-0001-5693-1603; Galinski, Henning/0000-0003-4148-7436</t>
  </si>
  <si>
    <t>ETH Zuerich and from the Swiss National Science Foundation through the National Center of Competence in Research (NCCR); Eidgenossische Technische Hochschule Zurich</t>
  </si>
  <si>
    <t>The financial support from ETH Zuerich and from the Swiss National Science Foundation through the National Center of Competence in Research (NCCR) for Bio-Inspired Materials is gratefully acknowledged. The authors also thank Dr. Tom Valentin and Dr. Nima Mirkhani for the introduction to the magnetic system MFG-100 from MagnetobotiX. The glass devices were fabricated at the ETH center for micro-and nanoscience, FIRST. Open access funding provided by Eidgenossische Technische Hochschule Zurich.</t>
  </si>
  <si>
    <t>10.1002/adom.202300734</t>
  </si>
  <si>
    <t>N5GF8</t>
  </si>
  <si>
    <t>WOS:001037287600001</t>
  </si>
  <si>
    <t>Pacheco, MO; Lutz, HM; Armada, J; Davies, N; Gerzenshtein, IK; Cakley, AS; Spiess, BD; Stoppel, WL</t>
  </si>
  <si>
    <t>Pacheco, Marisa O. O.; Lutz, Henry M. M.; Armada, Jostin; Davies, Nickolas; Gerzenshtein, Isabelle K. K.; Cakley, Alaura S. S.; Spiess, Bruce D. D.; Stoppel, Whitney L. L.</t>
  </si>
  <si>
    <t>Silk Fibroin Particles as Carriers in the Development of Hemoglobin-Based Oxygen Carriers</t>
  </si>
  <si>
    <t>ADVANCED NANOBIOMED RESEARCH</t>
  </si>
  <si>
    <t>biopolymers; microparticles; oxygen carrier; silk fibroin</t>
  </si>
  <si>
    <t>ENCAPSULATED HEMOGLOBIN; NANOPARTICLE MANUFACTURE; POLYMERIZED HEMOGLOBIN; BOVINE HEMOGLOBIN; HEMORRHAGIC-SHOCK; BLOOD; DRUG; STABILIZATION; BIOMATERIALS; STABILITY</t>
  </si>
  <si>
    <t>Oxygen therapeutics has a range of applications in transfusion medicine and disease treatment. Synthetic molecules and all-natural or semisynthetic hemoglobin-based oxygen carriers (HBOCs) have seen success as potential circulating oxygen carriers. However, many early HBOC products stalled in development due to side effects from excess hemoglobin in the blood stream and hemoglobin entering the tissue. To overcome these issues, research has focused on increasing the molecular diameter of hemoglobin by polymerizing hemoglobin molecules or encapsulating hemoglobin in liposomal carriers. This work leverages the properties of silk fibroin, a cytocompatible and nonthrombogenic biopolymer, known to entrap protein-based cargo, to engineer a fully protein-based oxygen carrier. Herein, an all-aqueous solvent evaporation technique is used to form silk particles via phase separation from a bulk polyvinyl alcohol phase. Particle size is tuned, and particles are formed with and without hemoglobin. The encapsulation efficiency and ferrous state of hemoglobin are analyzed, resulting in 60% encapsulation efficiency and a maximum of 20% ferric hemoglobin, yielding 100 &amp; mu;g mL(-1) active hemoglobin in certain silk fibroin-HBOCs formulations. The system does not elicit a strong inflammation response in vitro, demonstrating the potential for this particle system to serve as an injectable HBOC.</t>
  </si>
  <si>
    <t>[Pacheco, Marisa O. O.; Lutz, Henry M. M.; Armada, Jostin; Cakley, Alaura S. S.; Stoppel, Whitney L. L.] Univ Florida, Dept Chem Engn, Gainesville, FL 32611 USA; [Davies, Nickolas; Spiess, Bruce D. D.] Univ Florida, Coll Med, Dept Anesthesiol, Gainesville, FL 32611 USA; [Gerzenshtein, Isabelle K. K.] Univ Florida, Dept Microbiol &amp; Cell Sci, Gainesville, FL 32611 USA; [Stoppel, Whitney L. L.] Univ Florida, J Crayton Pruitt Family Dept Biomed Engn, Gainesville, FL 32611 USA</t>
  </si>
  <si>
    <t>State University System of Florida; University of Florida; State University System of Florida; University of Florida; State University System of Florida; University of Florida; State University System of Florida; University of Florida</t>
  </si>
  <si>
    <t>Stoppel, WL (corresponding author), Univ Florida, Dept Chem Engn, Gainesville, FL 32611 USA.;Stoppel, WL (corresponding author), Univ Florida, J Crayton Pruitt Family Dept Biomed Engn, Gainesville, FL 32611 USA.</t>
  </si>
  <si>
    <t>whitney.stoppel@ufl.edu</t>
  </si>
  <si>
    <t>Cakley, Alaura/JDW-9524-2023; Cakley, Alaura/JDW-2770-2023; Cakley, Alaura/JDW-9482-2023</t>
  </si>
  <si>
    <t>Cakley, Alaura/0009-0005-2143-9551; Stoppel, Whitney/0000-0001-7467-1737; Pacheco, Marisa/0000-0002-4669-5050; Lutz, Henry/0000-0002-9454-0248; Davies, Nickolas/0000-0001-6984-0938</t>
  </si>
  <si>
    <t>Stoppel Lab University of Florida; Department of Defense Congressionally Directed Medical Research Fund [W81XWH2110199]; Chemical Engineering REU Site at the University of Florida (NSF) [EEC-1852111]; National Institutes of Health [NIH T35HL007489]; National Science Foundation Graduate Research Fellowship [DGE-1842473]</t>
  </si>
  <si>
    <t>Stoppel Lab University of Florida; Department of Defense Congressionally Directed Medical Research Fund(United States Department of Defense); Chemical Engineering REU Site at the University of Florida (NSF); National Institutes of Health(United States Department of Health &amp; Human ServicesNational Institutes of Health (NIH) - USA); National Science Foundation Graduate Research Fellowship(National Science Foundation (NSF))</t>
  </si>
  <si>
    <t>The Stoppel lab would like to acknowledge the research scientists at the University of Florida Nanoscale Research Facility, especially Gary Scheiffele, Ph.D., for their assistance with using core equipment, such as the Nano-CT and FTIR. Additionally, support from Stoppel Lab University of Florida undergraduates in silk solution preparation, including Travis Truong, Hannah Bagnis, and Marina Fernandez-Campa. The authors also appreciate assistance from Dr. Yeongseon Jang and her PhD student Jackson Powers for the use of their Malvern DLS instrument. All authors would like to acknowledge support from the Department of Defense Congressionally Directed Medical Research Fund (W81XWH2110199). A.S.C. acknowledges support from the Chemical Engineering REU Site at the University of Florida (NSF EEC-1852111). N.A.D. was supported by a grant from the National Institutes of Health (NIH T35HL007489). M.O.P. acknowledges support from the National Science Foundation Graduate Research Fellowship (DGE-1842473). Any opinions, findings, and conclusions or recommendations expressed in this manuscript are those of the authors and do not necessarily reflect the views of the National Science Foundation, National Institutes of Health, or Department of Defense.</t>
  </si>
  <si>
    <t>2699-9307</t>
  </si>
  <si>
    <t>ADV NANOBIOMED RES</t>
  </si>
  <si>
    <t>Adv. NanoBiomed Res.</t>
  </si>
  <si>
    <t>10.1002/anbr.202300019</t>
  </si>
  <si>
    <t>R1ST4</t>
  </si>
  <si>
    <t>WOS:001037268000001</t>
  </si>
  <si>
    <t>Palte, I; Stewart, S; Rives, H; Curtis, JA; Enver, N; Tritter, A; Andreadis, K; Mocchetti, V; Schnoll-Sussman, F; Soumekh, A; Zarnegar, R; Katz, P; Rameau, A</t>
  </si>
  <si>
    <t>Palte, Ilan; Stewart, Sarah; Rives, Hal; Curtis, James A.; Enver, Necati; Tritter, Andrew; Andreadis, Katerina; Mocchetti, Valentina; Schnoll-Sussman, Felice; Soumekh, Amir; Zarnegar, Rasa; Katz, Philip; Rameau, Anais</t>
  </si>
  <si>
    <t>Virtual Reality for Pain Management During High-Resolution Manometry: A Randomized Clinical Trial</t>
  </si>
  <si>
    <t>anxiety; esophageal manometry; gastroenterology; laryngology; pain; virtual reality</t>
  </si>
  <si>
    <t>SHORT-FORM; DISTRACTION; ANXIETY; SCALE</t>
  </si>
  <si>
    <t>Objective: High-resolution esophageal manometry (HRM) is the gold standard for the diagnosis of esophageal motility disorders. HRM is typically performed in the office with local anesthesia only, and many patients find it unpleasant and painful. The aim of this study was to examine the effects of the use of a virtual reality (VR) headset on pain and anxiety outcomes in patients with dysphagia undergoing HRM.Methods: Patients with dysphagia were prospectively recruited and randomized to undergo HRM with and without VR distraction. Data collected included the State-Trait Anxiety Inventory-6 (STAI-6), the Short-Form McGill Pain Questionnaire, heart rate, and galvanic skin response (GSR) tracings.Results: Forty subjects completed the study, including 20 subjects in the intervention arm and 20 in the control arm. There was evidence of a significant positive effect of VR on calmness (p = 0.0095) STAI-6 rating, as well as on physiologic measures of pain with significantly decreased GSR rise time (p = 0.0137) and average rate of change of conductance change (p = 0.0035).Conclusion: The use of VR during HRM catheter insertion increased calmness compared to control. Change of skin conductance was also reduced in the VR group, suggesting decreased physiologic pain. This study supports the consideration of the use of VR as a distraction tool to improve patient comfort during HRM.</t>
  </si>
  <si>
    <t>[Palte, Ilan; Stewart, Sarah; Rives, Hal; Curtis, James A.; Enver, Necati; Tritter, Andrew; Andreadis, Katerina; Mocchetti, Valentina; Rameau, Anais] Weill Cornell Med Coll, Sean Parker Inst Voice, Dept Otolaryngol Head &amp; Neck Surg, New York, NY USA; [Tritter, Andrew] UTHealth Houston McGovern Med Sch, Texas Voice Performance Inst, Dept Otorhinolaryngol Head &amp; Neck Surg, Houston, TX USA; [Andreadis, Katerina] NYU, Grossman Sch Med, Dept Populat Hlth, New York, NY USA; [Schnoll-Sussman, Felice; Soumekh, Amir; Katz, Philip] Weill Cornell Med Coll, Div Gastroenterol, New York, NY USA; [Zarnegar, Rasa] Weill Cornell Med Coll, Dept Surg, New York, NY USA; [Rameau, Anais] Weill Cornell Med, Sean Parker Inst Voice, Dept Otolaryngol Head &amp; Neck Surg, 240 East 59th St, New York, NY 10022 USA</t>
  </si>
  <si>
    <t>Cornell University; Weill Cornell Medicine; New York University; Cornell University; Weill Cornell Medicine; Cornell University; Weill Cornell Medicine; Cornell University; Weill Cornell Medicine</t>
  </si>
  <si>
    <t>Rameau, A (corresponding author), Weill Cornell Med, Sean Parker Inst Voice, Dept Otolaryngol Head &amp; Neck Surg, 240 East 59th St, New York, NY 10022 USA.</t>
  </si>
  <si>
    <t>anr2783@med.cornell.edu</t>
  </si>
  <si>
    <t>Andreadis, Katerina/ITU-0700-2023</t>
  </si>
  <si>
    <t>Andreadis, Katerina/0000-0001-8586-450X; Palte, Ilan/0000-0002-2686-3985; Tritter, Andrew/0000-0003-1350-0445</t>
  </si>
  <si>
    <t>Paul B. Beeson Emerging Leaders Career Development Award in Aging from the National Institute on Aging [K76 AG079040]; Bridge2AI award from the NIH Common Fund [OT2 OD032720]</t>
  </si>
  <si>
    <t>Paul B. Beeson Emerging Leaders Career Development Award in Aging from the National Institute on Aging; Bridge2AI award from the NIH Common Fund(United States Department of Health &amp; Human ServicesNational Institutes of Health (NIH) - USA)</t>
  </si>
  <si>
    <t>Anais Rameau was supported by a Paul B. Beeson Emerging Leaders Career Development Award in Aging (K76 AG079040) from the National Institute on Aging and by the Bridge2AI award (OT2 OD032720) from the NIH Common Fund.</t>
  </si>
  <si>
    <t>10.1002/lary.30914</t>
  </si>
  <si>
    <t>N6DJ2</t>
  </si>
  <si>
    <t>WOS:001037892100001</t>
  </si>
  <si>
    <t>Pei, HA; Ma, S; Yan, W; Liu, ZT; Wang, YH; Yang, ZH; Li, QF; Yao, DZ; Jiang, SS; Luo, C; Yu, L</t>
  </si>
  <si>
    <t>Pei, Haonan; Ma, Shuai; Yan, Wei; Liu, Zetao; Wang, Yuehan; Yang, Zhihuan; Li, Qifu; Yao, Dezhong; Jiang, Sisi; Luo, Cheng; Yu, Liang</t>
  </si>
  <si>
    <t>Functional and structural networks decoupling in generalized tonic-clonic seizures and its reorganization by drugs</t>
  </si>
  <si>
    <t>antiseizure medications; connectivity; coupling degree; epilepsy; MRI</t>
  </si>
  <si>
    <t>INTERNATIONAL LEAGUE; EPILEPSY; LEVETIRACETAM; ACTIVATIONS; ATTENTION; DEFAULT; BRAIN; CLASSIFICATION; CONNECTIVITY; FMRI</t>
  </si>
  <si>
    <t>ObjectiveTo investigate potential functional and structural large-scale network disturbances in untreated patients with generalized tonic-clonic seizures (GTCS) and the effects of antiseizure drugs. MethodsIn this study, 41 patients with GTCS, comprising 21 untreated patients and 20 patients who received antiseizure medications (ASMs), and 29 healthy controls were recruited to construct large-scale brain networks based on resting-state functional magnetic resonance imaging and diffusion tensor imaging. Structural and functional connectivity and network-level weighted correlation probability (NWCP) were further investigated to identify network features that corresponded to response to ASMs. ResultsUntreated patients showed more extensive enhancement of functional and structural connections than controls. Specifically, we observed abnormally enhanced connections between the default mode network (DMN) and the frontal-parietal network. In addition, treated patients showed similar functional connection strength to that of the control group. However, all patients exhibited similar structural network alterations. Moreover, the NWCP value was lower for connections within the DMN and between the DMN and other networks in the untreated patients; receiving ASMs could reverse this pattern. SignificanceOur study identified alterations in structural and functional connectivity in patients with GTCS. The influence of ASMs may be more noticeable within the functional network; moreover, abnormalities in both the functional and structural coupling state may be improved by ASM treatment. Therefore, the coupling state of structural and functional connectivity may be used as an indicator of the efficacy of ASMs.</t>
  </si>
  <si>
    <t>[Pei, Haonan; Ma, Shuai; Yan, Wei; Liu, Zetao; Wang, Yuehan; Yang, Zhihuan; Yao, Dezhong; Jiang, Sisi; Luo, Cheng] Univ Elect Sci &amp; Technol China, Chengdu Brain Sci Inst, Sch Life Sci &amp; Technol, MOE Key Lab Neuroinformat,Clin Hosp, Chengdu, Peoples R China; [Pei, Haonan; Ma, Shuai; Yan, Wei; Liu, Zetao; Wang, Yuehan; Yang, Zhihuan; Yao, Dezhong; Jiang, Sisi; Luo, Cheng] Chinese Acad Med Sci, Res Unit NeuroInformat 2019RU035, Chengdu, Peoples R China; [Ma, Shuai; Yu, Liang] Affiliated Hosp Univ Elect Sci &amp; Technol China, Sichuan Acad Med Sci &amp; Sichuan Prov Peoples Hosp, Neurol Dept, Chengdu, Peoples R China; [Li, Qifu; Yao, Dezhong] Hainan Med Univ, Dept Neurol, Affiliated Hosp 1, Haikou, Peoples R China; [Yao, Dezhong; Jiang, Sisi; Luo, Cheng] Univ Elect Sci &amp; Technol China, High Field Magnet Resonance Brain Imaging Key Lab, Chengdu, Peoples R China; [Luo, Cheng; Yu, Liang] Univ Elect Sci &amp; Technol China, Second North Jianshe Rd, Chengdu 610054, Peoples R China</t>
  </si>
  <si>
    <t>University of Electronic Science &amp; Technology of China; Chinese Academy of Medical Sciences - Peking Union Medical College; Sichuan Provincial People's Hospital; Hainan Medical University; University of Electronic Science &amp; Technology of China; University of Electronic Science &amp; Technology of China</t>
  </si>
  <si>
    <t>Luo, C; Yu, L (corresponding author), Univ Elect Sci &amp; Technol China, Second North Jianshe Rd, Chengdu 610054, Peoples R China.</t>
  </si>
  <si>
    <t>chengluo@uestc.edu.cn; 18981838653@163.com</t>
  </si>
  <si>
    <t>Luo, Cheng/A-4647-2015</t>
  </si>
  <si>
    <t>Luo, Cheng/0000-0003-0524-5886; Pei, Haonan/0000-0001-5202-5216</t>
  </si>
  <si>
    <t>10.1002/epi4.12781</t>
  </si>
  <si>
    <t>R3MH2</t>
  </si>
  <si>
    <t>WOS:001034031300001</t>
  </si>
  <si>
    <t>Roberts, JM; Clunie, BJ; Leather, SR; Harris, WE; Pope, TW</t>
  </si>
  <si>
    <t>Roberts, Joe M.; Clunie, Ben J.; Leather, Simon R.; Harris, W. Edwin; Pope, Tom W.</t>
  </si>
  <si>
    <t>Scents and sensibility: Best practice in insect olfactometer bioassays</t>
  </si>
  <si>
    <t>ENTOMOLOGIA EXPERIMENTALIS ET APPLICATA</t>
  </si>
  <si>
    <t>behaviour; binary response; bioassay; chemical ecology; chemical stimuli; complex behaviours; experimental design; olfactometer; reference guide; standard of good practice; statistical analysis; volatile compounds</t>
  </si>
  <si>
    <t>PARASITOID DIAERETIELLA-RAPAE; HOST-PLANT; BEHAVIORAL-RESPONSES; CULEX-QUINQUEFASCIATUS; ORIENTATION BEHAVIOR; STATISTICAL POWER; CIMEX-LECTULARIUS; RELEASE RATES; SEX-PHEROMONE; CIS-JASMONE</t>
  </si>
  <si>
    <t>Olfactometers have been used for more than 100 years and are integral to experimental chemical ecology. Studies utilising olfactometer bioassays form the foundation for understanding the behavioural responses of invertebrates to chemical stimuli under standardised laboratory conditions. Widely used olfactometry apparatuses include two-arm olfactometers for binary responses through to four- and six-arm arenas to evaluate more complex behaviours. Despite its prevalence in chemical ecology studies, there has never been a review of experimental best practice in olfactometry. This review critically evaluates both olfactometry methods and applications as well as experimental design and analysis. We aim to outline a standard of good practice to improve experimental design and reporting for studies involving olfactometry, thereby establishing a reference guide to build a robust experimental workflow for olfactometry bioassays.</t>
  </si>
  <si>
    <t>[Roberts, Joe M.; Clunie, Ben J.; Leather, Simon R.; Harris, W. Edwin; Pope, Tom W.] Harper Adams Univ, Ctr Crop &amp; Environm Sci, Agr &amp; Environm Dept, Newport, Wales; [Roberts, Joe M.] Harper Adams Univ, Ctr Crop &amp; Environm Sci, Agr &amp; Environm Dept, Newport TF10 8NB, Wales</t>
  </si>
  <si>
    <t>Harper Adams University College; Harper Adams University College</t>
  </si>
  <si>
    <t>Roberts, JM (corresponding author), Harper Adams Univ, Ctr Crop &amp; Environm Sci, Agr &amp; Environm Dept, Newport TF10 8NB, Wales.</t>
  </si>
  <si>
    <t>jroberts@harper-adams.ac.uk</t>
  </si>
  <si>
    <t>Roberts, Joe M./H-9145-2019</t>
  </si>
  <si>
    <t>Roberts, Joe M./0000-0002-9576-9239; Pope, Tom/0000-0002-3678-2943; Leather, Simon/0000-0003-3007-8514; Clunie, Ben/0000-0003-0078-1778</t>
  </si>
  <si>
    <t>0013-8703</t>
  </si>
  <si>
    <t>1570-7458</t>
  </si>
  <si>
    <t>ENTOMOL EXP APPL</t>
  </si>
  <si>
    <t>Entomol. Exp. Appl.</t>
  </si>
  <si>
    <t>10.1111/eea.13351</t>
  </si>
  <si>
    <t>N0DZ4</t>
  </si>
  <si>
    <t>WOS:001033839500001</t>
  </si>
  <si>
    <t>Viitanen, SJ; Tuomisto, L; Salonen, N; Eskola, K; Kegler, K</t>
  </si>
  <si>
    <t>Viitanen, S. J.; Tuomisto, L.; Salonen, N.; Eskola, K.; Kegler, K.</t>
  </si>
  <si>
    <t>Escherichia coli-associated follicular cystitis in dogs: Clinical and pathologic characterization (vol 37, pg 1059, 2023)</t>
  </si>
  <si>
    <t>JOURNAL OF VETERINARY INTERNAL MEDICINE</t>
  </si>
  <si>
    <t>Correction</t>
  </si>
  <si>
    <t>0891-6640</t>
  </si>
  <si>
    <t>1939-1676</t>
  </si>
  <si>
    <t>J VET INTERN MED</t>
  </si>
  <si>
    <t>J. Vet. Intern. Med.</t>
  </si>
  <si>
    <t>10.1111/jvim.16834</t>
  </si>
  <si>
    <t>R2CF7</t>
  </si>
  <si>
    <t>WOS:001037769200001</t>
  </si>
  <si>
    <t>Wan, L; Feng, J; Yue, W; Qin, WB; Lin, FK; Huang, F; Liu, XJ; Min, X; Wang, CB; Huang, ZH</t>
  </si>
  <si>
    <t>Wan, Li; Feng, Jian; Yue, Wen; Qin, Wenbo; Lin, FanKai; Huang, Fei; Liu, XianJie; Min, Xin; Wang, Chengbiao; Huang, ZhaoHui</t>
  </si>
  <si>
    <t>Skin-Inspired Thermosensitive Tactile Sensor Based on Thermally Conductive and Viscous Interface Composites for Rocks</t>
  </si>
  <si>
    <t>adhesion; thermal conductivity; thermal interface composites; thermosensitive tactile sensors</t>
  </si>
  <si>
    <t>PRESSURE; POLYMER; ADHESION; MATRIX</t>
  </si>
  <si>
    <t>Achieving high thermal conductivity and exceptional interfacial adhesion simultaneously in thermosensitive tactile recognition sensors poses a significant challenge. A copolymer, poly([[(butylamino)carbonyl]oxy]ethyl-ester)-co-polydimethylsiloxane (referred to as PP), is synthesized and subsequently complexed with alumina particles coated with liquid metal (LMAl2O3) to prepare a composite material called PP/LMAl2O3 with high thermal conductivity and strong interfacial adhesion to address this challenge. The best thermal conductivity (4.43 W m(-1) K-1), electrical insulation (10(-6)-10(-7) S m(-1)), and adhesion properties derived from hydrogen bonding (1316 N m(-2)) are obtained by adjusting the volume fraction of PP and LMAl2O3 in PP/LMAl2O3. PP/LMAl2O3 with high thermal conductivity and high interface adhesion can efficiently transfer heat between thermal flux sensors and the objects being sensed, reliably detecting small thermal flux variations and ensuring accurate thermal flux measurements. In this study, PP/LMAl2O3 is used to make up thermosensitive tactile sensor. Surprisingly, PP/LMAl2O3 demonstrates high thermal signal sensitivity for tactile recognition applications, allowing the smart thermosensitive tactile sensor system to distinguish unknown rock materials even in the dark. Overall, PP/LMAl2O3 may function as a fundamental material in thermosensitive tactile sensors for lithology identification.</t>
  </si>
  <si>
    <t>[Wan, Li; Yue, Wen; Qin, Wenbo; Huang, Fei; Wang, Chengbiao] China Univ Geosci Beijing, Sch Engn &amp; Technol, Beijing 100083, Peoples R China; [Feng, Jian; Lin, FanKai; Liu, XianJie; Min, Xin; Huang, ZhaoHui] China Univ Geosci Beijing, Beijing Key Lab Mat Utilizat Nonmet Minerals &amp; Sol, Natl Lab Mineral Mat, Engn Res Ctr,Minist Educ Geol Carbon Storage &amp; Low, Beijing 100083, Peoples R China; [Yue, Wen] China Univ Geosci Beijing, Zhengzhou Inst, Zhengzhou 451283, Peoples R China</t>
  </si>
  <si>
    <t>China University of Geosciences; China University of Geosciences; China University of Geosciences</t>
  </si>
  <si>
    <t>Yue, W (corresponding author), China Univ Geosci Beijing, Sch Engn &amp; Technol, Beijing 100083, Peoples R China.;Huang, ZH (corresponding author), China Univ Geosci Beijing, Beijing Key Lab Mat Utilizat Nonmet Minerals &amp; Sol, Natl Lab Mineral Mat, Engn Res Ctr,Minist Educ Geol Carbon Storage &amp; Low, Beijing 100083, Peoples R China.;Yue, W (corresponding author), China Univ Geosci Beijing, Zhengzhou Inst, Zhengzhou 451283, Peoples R China.</t>
  </si>
  <si>
    <t>yw@cugb.edu.cn; huang118@cugb.edu.cn</t>
  </si>
  <si>
    <t>Yue, Wen/G-8980-2013</t>
  </si>
  <si>
    <t>Yue, Wen/0000-0003-1622-9953</t>
  </si>
  <si>
    <t>National Natural Science Foundation of China [51875537]</t>
  </si>
  <si>
    <t>Acknowledgements This work was financially supported by the National Natural Science Foundation of China (51875537).</t>
  </si>
  <si>
    <t>10.1002/adem.202300469</t>
  </si>
  <si>
    <t>N0XN7</t>
  </si>
  <si>
    <t>WOS:001034348200001</t>
  </si>
  <si>
    <t>Xue, SD; Chen, SM; Fu, YD; Zhu, HY; Ji, YC; Song, YL; Pan, F; Yang, LY</t>
  </si>
  <si>
    <t>Xue, Shida; Chen, Shiming; Fu, Yanda; Zhu, Hengyao; Ji, Yuchen; Song, Yongli; Pan, Feng; Yang, Luyi</t>
  </si>
  <si>
    <t>Revealing the Role of Active Fillers in Li-ion Conduction of Composite Solid Electrolytes</t>
  </si>
  <si>
    <t>active fillers; composite solid electrolytes; ionic conductivity; Li-ion pathways</t>
  </si>
  <si>
    <t>POLYMER</t>
  </si>
  <si>
    <t>Composite solid electrolytes (CSEs) consisting of polyethylene oxide (PEO) matrix and active inorganic fillers have shown great potential for practical applications. However, mechanisms of how different active fillers enhance ion transport in CSEs still remain inconclusive. In this work, the component dependencies of ionic conductivity of PEO-based CSEs are investigated by comparing two widely investigated active fillers: NASICON-type (LATP) and garnet-type (LLZTO). In terms of ionic conductivity, the optimum ratios are strikingly different for LLZTO (10 wt%) and LATP (50 wt%). Through experimental and computational studies, it is demonstrated that the high affinity between LATP and PEO facilitates unhindered interfacial Li+ transfer so that LATP functions as a bulk-active filler to provide additional inorganic ion pathways. By contrast, Li+ transfer between LLZTO and PEO is found to be sluggish. Instead, LLZTO mainly improves ionic conductivity by dissociating lithium salt, making it a surface-active filler. Through categorizing active fillers based on their Li+ conductive mechanisms, this work provides new understanding and guidelines for componential design and optimization of solid composite electrolytes.</t>
  </si>
  <si>
    <t>[Xue, Shida; Chen, Shiming; Fu, Yanda; Zhu, Hengyao; Ji, Yuchen; Pan, Feng; Yang, Luyi] Peking Univ, Sch Adv Mat, Shenzhen Grad Sch, Shenzhen 518055, Peoples R China; [Song, Yongli] Jiangsu Univ, Sch Energy &amp; Power Engn, Zhenjiang 212013, Peoples R China</t>
  </si>
  <si>
    <t>Peking University; Jiangsu University</t>
  </si>
  <si>
    <t>Pan, F; Yang, LY (corresponding author), Peking Univ, Sch Adv Mat, Shenzhen Grad Sch, Shenzhen 518055, Peoples R China.</t>
  </si>
  <si>
    <t>panfeng@pkusz.edu.cn; yangly@pkusz.edu.cn</t>
  </si>
  <si>
    <t>Ministry of Science and Technology of China [2016YFB0700600]; Shenzhen Science and Technology Innovation Committee [JSGG20220831095604008]</t>
  </si>
  <si>
    <t>Ministry of Science and Technology of China(Ministry of Science and Technology, China); Shenzhen Science and Technology Innovation Committee</t>
  </si>
  <si>
    <t>Acknowledgements This research was financially supported by Ministry of Science and Technology of China (2016YFB0700600) and Shenzhen Science and Technology Innovation Committee (JSGG20220831095604008).</t>
  </si>
  <si>
    <t>10.1002/smll.202305326</t>
  </si>
  <si>
    <t>N0XL8</t>
  </si>
  <si>
    <t>WOS:001034346300001</t>
  </si>
  <si>
    <t>Andersen, ALR; Urhoj, SK; Tan, JC; Cavero-Carbonell, C; Gatt, M; Gissler, M; Klungsoyr, K; Khoshnood, B; Morris, J; Neville, AJ; Pierini, A; Scanlon, I; de Walle, HEK; Wellesley, D; Garne, E; Loane, M</t>
  </si>
  <si>
    <t>Andersen, Ann-Louise Rud; Urhoj, Stine Kjaer; Tan, Joachim; Cavero-Carbonell, Clara; Gatt, Miriam; Gissler, Mika; Klungsoyr, Kari; Khoshnood, Babak; Morris, Joan; Neville, Amanda J.; Pierini, Anna; Scanlon, Ieuan; de Walle, Hermien E. K.; Wellesley, Diana; Garne, Ester; Loane, Maria</t>
  </si>
  <si>
    <t>The burden of disease for children born alive with Turner syndrome-A European cohort study</t>
  </si>
  <si>
    <t>congenital anomaly; morbidity; survival; Turner syndrome</t>
  </si>
  <si>
    <t>PRENATAL-DIAGNOSIS; WOMEN; GIRLS; PHENOTYPE; MORTALITY; CARE</t>
  </si>
  <si>
    <t>Background: Turner syndrome is a rare congenital anomaly caused by complete or partial X chromosome monosomy that may affect mortality and morbidity in childhood.Methods: This population-based data-linkage cohort study, as part of the EUROlinkCAT project, investigated mortality and morbidity for the first 5 years of life for liveborn European children diagnosed with Turner syndrome. Thirteen population-based registries in 10 countries from the European surveillance of congenital anomalies (EUROCAT) network participated. Data on children born 1995-2014 and diagnosed with Turner syndrome were linked to mortality, hospital and prescription records. Children with any congenital anomaly and children without a congenital anomaly were included for comparison on morbidity.Results: Out of a population of 5.8 million livebirths 404 were diagnosed with Turner syndrome prenatally or in infancy and 95.5% survived to their fifth birthday. During the first year of life 72.3% (95% CI 59.5;81.6) of children with Turner syndrome were hospitalized, the median length of stay was 5.6 days (95% CI 3.5;7.7) and 18.7% (95% CI 13.9;23.9) underwent surgery. After the first year of life hospitalizations and length of stay decreased but more children underwent surgery (30.8% [95% CI 17.6;44.7]). In the first 5 years the percentage of children with Turner syndrome having a prescription for antibiotics was 12%-20% per year and increased with the age of child.Conclusions: In the first year of life, the burden of disease was relatively high for children with Turner syndrome. The outlook is more positive beyond the first year, though overall morbidity still exceeded that of children without congenital anomalies.</t>
  </si>
  <si>
    <t>[Andersen, Ann-Louise Rud; Urhoj, Stine Kjaer; Garne, Ester] Univ Hosp Southern Denmark, Lillebaelt Hosp, Dept Paediat &amp; Adolescent Med, Kolding, Denmark; [Urhoj, Stine Kjaer] Univ Copenhagen, Dept Publ Hlth, Sect Epidemiol, Copenhagen, Denmark; [Tan, Joachim; Morris, Joan] St Georges Univ London, Populat Hlth Res Inst, London, England; [Cavero-Carbonell, Clara] Fdn Promot Hlth &amp; Biomed Res Valencian Reg UVEG FI, Rare Dis Res Unit, Valencia, Spain; [Gatt, Miriam] Malta Congenital Anomalies Register, Directorate Hlth Informat &amp; Res, Tal Pieta, Malta; [Gissler, Mika] THL Finnish Inst Hlth &amp; Welf, Dept Knowledge Brokers, Helsinki, Finland; [Gissler, Mika] Reg Stockholm, Acad Primary Hlth Care Ctr, Stockholm, Sweden; [Gissler, Mika] Karolinska Inst, Dept Mol Med &amp; Surg, Stockholm, Sweden; [Klungsoyr, Kari] Univ Bergen, Dept Global Publ Hlth &amp; Primary Care, Bergen, Norway; [Khoshnood, Babak] Univ Paris, Ctr Res Epidemiol &amp; Stat CRESS, INSERM INRA, Paris, France; [Neville, Amanda J.] Univ Ferrara, Emilia Romagna Registry Birth Defects, Ferrara, Italy; [Neville, Amanda J.] Univ Ferrara, Ctr Clin &amp; Epidemiol Res, Ferrara, Italy; [Neville, Amanda J.] Azienda Osped Univ Ferrara, Ferrara, Italy; [Pierini, Anna] CNR, Inst Clin Physiol, Unit Epidemiol Rare Dis &amp; Congenital Anomalies, Pisa, Italy; [Scanlon, Ieuan] Publ Hlth Wales, Swansea, Wales; [de Walle, Hermien E. K.] Univ Groningen, Univ Med Ctr Groningen, Dept Genet, Groningen, Netherlands; [Wellesley, Diana] Univ Southampton, Clin Genet, Southampton, England; [Wellesley, Diana] Princess Anne Hosp, Wessex Clin Genet Serv, Southampton, England; [Loane, Maria] Ulster Univ, Fac Life &amp; Hlth Sci, Ulster, North Ireland</t>
  </si>
  <si>
    <t>University of Southern Denmark; Lillebaelt Hospital; University of Copenhagen; St Georges University London; Karolinska Institutet; University of Bergen; INRAE; Institut National de la Sante et de la Recherche Medicale (Inserm); UDICE-French Research Universities; Universite Paris Cite; University of Ferrara; University of Ferrara; University of Ferrara; Arcispedale Sant'Anna; Consiglio Nazionale delle Ricerche (CNR); Istituto di Fisiologia Clinica (IFC-CNR); University of Groningen; University of Southampton; Ulster University</t>
  </si>
  <si>
    <t>Garne, E (corresponding author), Univ Hosp Southern Denmark, Lillebaelt Hosp, Dept Paediat &amp; Adolescent Med, Kolding, Denmark.</t>
  </si>
  <si>
    <t>ester.garne@rsyd.dk</t>
  </si>
  <si>
    <t>Cavero, Clara/H-9988-2015</t>
  </si>
  <si>
    <t>Cavero, Clara/0000-0002-4858-6456; Morris, Joan/0000-0002-7164-612X</t>
  </si>
  <si>
    <t>Horizon 2020 Framework Programme [733001]</t>
  </si>
  <si>
    <t>Horizon 2020 Framework Programme(Horizon 2020)</t>
  </si>
  <si>
    <t>Horizon 2020 Framework Programme, Grant/Award Number: 733001</t>
  </si>
  <si>
    <t>2023 JUL 26</t>
  </si>
  <si>
    <t>10.1002/bdr2.2222</t>
  </si>
  <si>
    <t>N4UD6</t>
  </si>
  <si>
    <t>WOS:001036972700001</t>
  </si>
  <si>
    <t>Arun, A; Docker, A; Tay, HM; Beer, PD</t>
  </si>
  <si>
    <t>Arun, Arya; Docker, Andrew; Tay, Hui Min; Beer, Paul D.</t>
  </si>
  <si>
    <t>Squaramide-Based Heteroditopic [2]Rotaxanes for Sodium Halide Ion-Pair Recognition</t>
  </si>
  <si>
    <t>heteroditopic receptors; NaCl ion-pair; rotaxane; sodium cation template; squaramide</t>
  </si>
  <si>
    <t>METAL TEMPLATE SYNTHESIS; ANION RECEPTORS; AROMATICITY; EXTRACTION; ROTAXANES; BOND</t>
  </si>
  <si>
    <t>A series of squaramide-based heteroditopic [2]rotaxanes consisting of isophthalamide macrocycle and squaramide axle components are synthesized using an alkali metal cation template-directed stoppering methodology. This work highlights the unprecedented sodium cation template coordination of the Lewis basic squaramide carbonyls for interlocked structure synthesis. Extensive quantitative H-1 NMR spectroscopic anion and ion-pair recognition studies reveal the [2]rotaxane hosts are capable of cooperative sodium halide ion-pair mechanical bond axle-macrocycle component recognition, eliciting up to 20-fold enhancements in binding strengths for bromide and iodide, wherein the Lewis basic carbonyls and Lewis acidic NH hydrogen bond donors of the squaramide axle motif operate as cation and anion receptive sites simultaneously in an ambidentate fashion. Notably, varying the length and nature of the polyether cation binding unit of the macrocycle component dramatically influences the ion-pair binding affinities of the [2]rotaxanes, even overcoming direct contact NaCl ion-pair binding modes in polar organic solvents. Furthermore, the cooperative ion-pair binding properties of the squaramide-based heteroditopic [2]rotaxanes are exploited to successfully extract solid sodium halide salts into organic media.</t>
  </si>
  <si>
    <t>[Arun, Arya; Docker, Andrew; Tay, Hui Min; Beer, Paul D.] Univ Oxford, Dept Chem, Chem Res Lab, Mansfield Rd, Oxford OX1?3TA, England</t>
  </si>
  <si>
    <t>University of Oxford</t>
  </si>
  <si>
    <t>Beer, PD (corresponding author), Univ Oxford, Dept Chem, Chem Res Lab, Mansfield Rd, Oxford OX1?3TA, England.</t>
  </si>
  <si>
    <t>paul.beer@chem.ox.ac.uk</t>
  </si>
  <si>
    <t>EPSRC [EP/N509711/1]; Clarendon Fund; Oxford Australia Scholarships Fund</t>
  </si>
  <si>
    <t>EPSRC(UK Research &amp; Innovation (UKRI)Engineering &amp; Physical Sciences Research Council (EPSRC)); Clarendon Fund; Oxford Australia Scholarships Fund</t>
  </si>
  <si>
    <t>&amp; nbsp;A. D. thanks the EPSRC for studentship funding (Grant reference number EP/N509711/1). H. M. T. thanks the Clarendon Fund and the Oxford Australia Scholarships Fund for a scholarship.</t>
  </si>
  <si>
    <t>10.1002/chem.202301446</t>
  </si>
  <si>
    <t>Q9HJ9</t>
  </si>
  <si>
    <t>WOS:001035746000001</t>
  </si>
  <si>
    <t>Butani, N; Toor, K</t>
  </si>
  <si>
    <t>Butani, Nikhila; Toor, Kirandeep</t>
  </si>
  <si>
    <t>The roles of peripheral chemoreflex and myocardial hypoxia in fetal heart rate decelerations: insights from a near-term fetal sheep study</t>
  </si>
  <si>
    <t>cardiovascular physiology; fetal heart rate monitoring; hypoxia; reproductive physiology</t>
  </si>
  <si>
    <t>[Butani, Nikhila] Univ Toronto, Temerty Fac Med, Toronto, ON, Canada; [Toor, Kirandeep] Univ British Columbia, Fac Med, Vancouver, BC, Canada</t>
  </si>
  <si>
    <t>University of Toronto; University of British Columbia</t>
  </si>
  <si>
    <t>Butani, N (corresponding author), Univ Toronto, Temerty Fac Med, Toronto, ON, Canada.</t>
  </si>
  <si>
    <t>n.butani@mail.utoronto.ca</t>
  </si>
  <si>
    <t>Butani, Nikhila/0000-0001-8541-0460</t>
  </si>
  <si>
    <t>10.1113/JP285121</t>
  </si>
  <si>
    <t>R3LM2</t>
  </si>
  <si>
    <t>WOS:001035587400001</t>
  </si>
  <si>
    <t>Cabrera, ML; Noor, N; Moore, L</t>
  </si>
  <si>
    <t>Cabrera, Miguel L. L.; Noor, Nadia; Moore, Logan</t>
  </si>
  <si>
    <t>Evaluation of passive flux samplers with different orifice sizes to measure ammonia volatilization losses</t>
  </si>
  <si>
    <t>EMISSIONS; UREA</t>
  </si>
  <si>
    <t>A common passive sampler used to measure NH3 volatilization losses in field studies has a nozzle with a 1-mm, round orifice that reduces air flow to increase NH3 adsorption. This reduction in air flow, measured by the orifice's K value (0-1), implies a reduction in the amount of NH3 entering the sampler per unit of time, which may require a longer exposure to accumulate measurable quantities of NH3. Increasing the diameter of the orifice would increase the NH3 entering the sampler and possibly allow shorter exposure times, but it may also lead to increased NH3 bypass. The objectives of this research were to (1) determine the effect of wind speed on NH3 bypass in samplers with 1- or 2-mm orifices, (2) determine the reduction in air speed in samplers with 1- or 2-mm orifices by determining their K values, and (3) compare field NH3 volatilization losses measured with 1- and 2-mm orifices. A laboratory study with wind speeds ranging from 0.6 to 10 m &amp; BULL;s(-1) showed that both orifice sizes had NH3 bypass at low and high wind speeds. Results from wind tunnel studies determined that flow was reduced to 63% (K = 0.63) in 1-mm orifices and to 74% (K = 0.74) in 2-mm orifices. Field studies indicated that 1-mm orifices may measure greater NH3 volatilization losses than 2-mm orifices at average low wind speeds when maximum wind speeds &lt;10 m &amp; BULL;s(-1), but may measure equal or lower losses than 2-mm orifices when several days occur with maximum wind speeds &gt;10 m &amp; BULL;s(-1).</t>
  </si>
  <si>
    <t>[Cabrera, Miguel L. L.; Noor, Nadia] Univ Georgia, Dept Crop &amp; Soil Sci, 3111 Miller Plant Sci Bldg, Athens, GA 30602 USA; [Moore, Logan] Southeast Ag Res Inc, Chula, GA USA</t>
  </si>
  <si>
    <t>University System of Georgia; University of Georgia</t>
  </si>
  <si>
    <t>Cabrera, ML (corresponding author), Univ Georgia, Dept Crop &amp; Soil Sci, 3111 Miller Plant Sci Bldg, Athens, GA 30602 USA.</t>
  </si>
  <si>
    <t>mcabrera@uga.edu</t>
  </si>
  <si>
    <t>Cabrera, Miguel/0000-0002-9133-0907</t>
  </si>
  <si>
    <t>10.1002/saj2.20567</t>
  </si>
  <si>
    <t>R7OP7</t>
  </si>
  <si>
    <t>WOS:001033044500001</t>
  </si>
  <si>
    <t>Dierickx, K; Oueslati, T; Profico, A</t>
  </si>
  <si>
    <t>Dierickx, Katrien; Oueslati, Tarek; Profico, Antonio</t>
  </si>
  <si>
    <t>Geometric morphometric analysis of Pleuronectiformes vertebrae: A new tool to identify archaeological fish remains?</t>
  </si>
  <si>
    <t>JOURNAL OF ANATOMY</t>
  </si>
  <si>
    <t>fish remains; geometric morphometrics; ichthyoarchaeology; zooarchaeology</t>
  </si>
  <si>
    <t>FLOUNDER PLATICHTHYS-FLESUS; EUROPEAN FLOUNDER; SHAPE; IDENTIFICATION; SIDEDNESS</t>
  </si>
  <si>
    <t>Flatfish (Pleuronectiformes) vertebrae are difficult to identify to species due to the lack of diagnostic features. This has resulted in a lack of understanding of the species abundances across archaeological sites, hindering interpretations of historical fisheries in the North Sea area. We use a new approach, utilising a combined 2D landmark-based geometric morphometric analysis as an objective and non-destructive method for species identification of flatfish vertebrae from the North Sea area. Modern specimens were used as a reference to describe the morphological variation between taxa using principal component analysis (PCA) and to trial an automated classification using linear discriminant analysis. Although there is limited distinction between taxa using PCAs, the classification shows high accuracies, indicating that flatfish species identifications using geometric morphometrics are possible. Bone samples (n = 105) from two archaeological sites in the United Kingdom and France were analysed using this approach and their identifications were verified using collagen peptide mass fingerprinting. The success rate of species identification was usually less than 50%, indicating that this technique has limited applicability due to preservation/fragmentation of archaeological fish bone. Nonetheless, this could prove a valuable tool for modern and non-fragmented samples. Furthermore, the technique applied in this study can be easily adapted to work on other landmark datasets.</t>
  </si>
  <si>
    <t>[Dierickx, Katrien] Univ York, Dept Archaeol, York, England; [Dierickx, Katrien] NTNU Univ Museum, Dept Archaeol &amp; Cultural Hist, Trondheim, Norway; [Oueslati, Tarek] Univ Lille, CNRS, Lille, France; [Profico, Antonio] Univ Pisa, Dept Biol, Pisa, Italy</t>
  </si>
  <si>
    <t>University of York - UK; Norwegian University of Science &amp; Technology (NTNU); Universite de Lille - ISITE; Universite de Lille; Centre National de la Recherche Scientifique (CNRS); University of Pisa</t>
  </si>
  <si>
    <t>Dierickx, K (corresponding author), Univ York, Dept Archaeol, York, England.</t>
  </si>
  <si>
    <t>katrien.dierickx.icht@gmail.com</t>
  </si>
  <si>
    <t>Dierickx, Katrien/0000-0002-9028-7652; OUESLATI, Tarek/0000-0002-2886-085X</t>
  </si>
  <si>
    <t>Marie Sklodowska-Curie Actions [813383]; Marie Curie Actions (MSCA) [813383] Funding Source: Marie Curie Actions (MSCA)</t>
  </si>
  <si>
    <t>Marie Sklodowska-Curie Actions(Marie Curie Actions); Marie Curie Actions (MSCA)(Marie Curie Actions)</t>
  </si>
  <si>
    <t>Marie Sklodowska-Curie Actions, Grant/Award Number: 813383</t>
  </si>
  <si>
    <t>0021-8782</t>
  </si>
  <si>
    <t>1469-7580</t>
  </si>
  <si>
    <t>J ANAT</t>
  </si>
  <si>
    <t>J. Anat.</t>
  </si>
  <si>
    <t>10.1111/joa.13934</t>
  </si>
  <si>
    <t>N4OD4</t>
  </si>
  <si>
    <t>WOS:001036815700001</t>
  </si>
  <si>
    <t>Eckhaus, J</t>
  </si>
  <si>
    <t>Eckhaus, Jazmin</t>
  </si>
  <si>
    <t>Connections and collaboration: Thoracic surgeons and thoracic physicians</t>
  </si>
  <si>
    <t>communication; pulmonary medicine; thoracic surgery</t>
  </si>
  <si>
    <t>MULTIDISCIPLINARY; MANAGEMENT; CARE</t>
  </si>
  <si>
    <t>[Eckhaus, Jazmin] St Vincents Hosp, Melbourne, Vic, Australia</t>
  </si>
  <si>
    <t>St Vincent's Hospital Melbourne</t>
  </si>
  <si>
    <t>Eckhaus, J (corresponding author), St Vincents Hosp, Melbourne, Vic, Australia.</t>
  </si>
  <si>
    <t>jazmin.eckhaus2@svha.org.au</t>
  </si>
  <si>
    <t>10.1111/resp.14559</t>
  </si>
  <si>
    <t>N4PL4</t>
  </si>
  <si>
    <t>WOS:001036849800001</t>
  </si>
  <si>
    <t>Gao, LY; Cao, JJ; Gong, SY; Hao, N; Du, YL; Wang, CH; Wu, T</t>
  </si>
  <si>
    <t>Gao, Luyao; Cao, Jiajian; Gong, Siyu; Hao, Ning; Du, Yalin; Wang, Chunhua; Wu, Tao</t>
  </si>
  <si>
    <t>The COPII subunit CsSEC23 mediates fruit glossiness in cucumber</t>
  </si>
  <si>
    <t>cucumber; CsSEC23; COPII; glossiness</t>
  </si>
  <si>
    <t>NONINVASIVE ASSESSMENT; WAX BIOSYNTHESIS; CUTIN; IDENTIFICATION; SECRETION; TRANSPORT; PLAYS; REFLECTION; DEPOSITION; COMPONENTS</t>
  </si>
  <si>
    <t>To improve our understanding of the mechanism underlying cucumber glossiness regulation, a novel cucumber mutant with a glossy peel (Csgp) was identified. MutMap, genotyping, and gene editing results demonstrated that CsSEC23, which is the core component of COPII vesicles, mediates the glossiness of cucumber fruit peel. CsSEC23 is functionally conserved and located in the Golgi and endoplasmic reticulum. CsSEC23 could interact with CsSEC31, but this interaction was absent in the Csgp mutant, which decreased the efficiency of COPII vesicle transportation. Genes related to wax and cutin transport were upregulated in the Csgp mutant, and the cuticle structure of the Csgp-mutant peel became thinner. Moreover, the wax and cutin contents were also changed due to CsSEC23 mutation. Taken together, the results obtained from this study revealed that CsSEC23 mediates cucumber glossiness, and this mediating might be affected by COPII vesicle transportation.</t>
  </si>
  <si>
    <t>[Gao, Luyao; Cao, Jiajian; Hao, Ning; Du, Yalin; Wang, Chunhua; Wu, Tao] Hunan Agr Univ, Coll Hort, Changsha 410128, Peoples R China; [Gao, Luyao; Cao, Jiajian; Du, Yalin; Wang, Chunhua; Wu, Tao] Minist Agr &amp; Rural Affairs China, Key Lab Evaluat &amp; Utilizat Gene Resources Hort Cro, Changsha 410128, Peoples R China; [Gao, Luyao; Cao, Jiajian; Du, Yalin; Wang, Chunhua; Wu, Tao] Yuelushan Lab, Changsha 410128, Peoples R China; [Cao, Jiajian; Du, Yalin; Wang, Chunhua; Wu, Tao] Hunan Agr Univ, Whampoa Innovat Res Inst, Changsha 410128, Peoples R China; [Gong, Siyu] Northeast Agr Univ, Coll Hort &amp; Landscape Architecture, Harbin 150030, Peoples R China; [Hao, Ning] Univ Tokyo, Grad Sch Agr &amp; Life Sci, Dept Appl Biol Chem, Lab Plant Nutr &amp; Fertilizers, Tokyo 1138657, Japan</t>
  </si>
  <si>
    <t>Hunan Agricultural University; Ministry of Agriculture &amp; Rural Affairs; Yuelushan Laboratory; Hunan Agricultural University; Northeast Agricultural University - China; University of Tokyo</t>
  </si>
  <si>
    <t>Wu, T (corresponding author), Hunan Agr Univ, Coll Hort, Changsha 410128, Peoples R China.;Wu, T (corresponding author), Minist Agr &amp; Rural Affairs China, Key Lab Evaluat &amp; Utilizat Gene Resources Hort Cro, Changsha 410128, Peoples R China.;Wu, T (corresponding author), Yuelushan Lab, Changsha 410128, Peoples R China.;Wu, T (corresponding author), Hunan Agr Univ, Whampoa Innovat Res Inst, Changsha 410128, Peoples R China.</t>
  </si>
  <si>
    <t>wutao@hunau.edu.cn</t>
  </si>
  <si>
    <t>National Key Research and Development Program of China [2022YFD1200502]; National Natural Science Foundation of China [31972407, 32202516, 32211540386]; Hunan Provincial Natural Science Foundation of China [2021JJ10032]</t>
  </si>
  <si>
    <t>National Key Research and Development Program of China; National Natural Science Foundation of China(National Natural Science Foundation of China (NSFC)); Hunan Provincial Natural Science Foundation of China(Natural Science Foundation of Hunan Province)</t>
  </si>
  <si>
    <t>ACKNOWLEDGMENTS We thank Ass. Prof. Yuan Lin (Hunan Agricultural University) for providing the ER and Golgi markers. The work was supported by the National Key Research and Development Program of China (2022YFD1200502), the National Natural Science Foundation of China (31972407, 32202516, and 32211540386), and the Hunan Provincial Natural Science Foundation of China (2021JJ10032).</t>
  </si>
  <si>
    <t>10.1111/tpj.16389</t>
  </si>
  <si>
    <t>N0WW0</t>
  </si>
  <si>
    <t>WOS:001034330500001</t>
  </si>
  <si>
    <t>Graham, F; Benhamou, AH; Liu, YJ; Caubet, JC; Eigenmann, PA</t>
  </si>
  <si>
    <t>Graham, Francois; Benhamou, Avigael H.; Liu, Yan Jiao; Caubet, Jean-Christoph; Eigenmann, Philippe A.</t>
  </si>
  <si>
    <t>Real-life evaluation of tolerance to foods with precautionary allergen labeling in children with IgE-mediated food allergy</t>
  </si>
  <si>
    <t>food allergy; oral food challenge; may contain traces; precautionary allergen labeling</t>
  </si>
  <si>
    <t>[Graham, Francois; Benhamou, Avigael H.; Caubet, Jean-Christoph; Eigenmann, Philippe A.] Geneva Univ Hosp, Pediat Allergy Unit, Geneva, Switzerland; [Graham, Francois; Benhamou, Avigael H.; Caubet, Jean-Christoph; Eigenmann, Philippe A.] Univ Geneva, Geneva, Switzerland; [Liu, Yan Jiao] Ctr Hosp Univ St Justine, Dept Allergy &amp; Immunol, Montreal, PQ, Canada; [Liu, Yan Jiao] Ctr Hosp Univ Montreal, Montreal, PQ, Canada; [Graham, Francois] Ctr Hosp Univ Montreal, Dept Allergy &amp; Immunol, 4eme Etage Pavillon B Bur B04,1000 Rue St Denis, Montreal, PQ H2X 3H9, Canada</t>
  </si>
  <si>
    <t>University of Geneva; University of Geneva; Universite de Montreal; Centre Hospitalier Universitaire Sainte-Justine; Universite de Montreal; Universite de Montreal</t>
  </si>
  <si>
    <t>Graham, F (corresponding author), Ctr Hosp Univ Montreal, Dept Allergy &amp; Immunol, 4eme Etage Pavillon B Bur B04,1000 Rue St Denis, Montreal, PQ H2X 3H9, Canada.</t>
  </si>
  <si>
    <t>francois.graham@umontreal.ca</t>
  </si>
  <si>
    <t>Graham, Francois/0000-0001-6410-2629</t>
  </si>
  <si>
    <t>10.1111/all.15821</t>
  </si>
  <si>
    <t>M9KE7</t>
  </si>
  <si>
    <t>WOS:001033321300001</t>
  </si>
  <si>
    <t>Hernández-Verdeja, T; Lundgren, MR</t>
  </si>
  <si>
    <t>Hernandez-Verdeja, Tamara; Lundgren, Marjorie R.</t>
  </si>
  <si>
    <t>GOLDEN2-LIKE transcription factors: A golden ticket to improve crops?</t>
  </si>
  <si>
    <t>PLANTS PEOPLE PLANET</t>
  </si>
  <si>
    <t>chloroplast development; GLK; GOLDEN2-LIKE; pathogen defence; photosynthesis engineering; stress tolerance; transcription factors</t>
  </si>
  <si>
    <t>INDUCED LEAF SENESCENCE; CHLOROPLAST DEVELOPMENT; CELLULAR-DIFFERENTIATION; FACTORS COORDINATE; KRANZ ANATOMY; MOSAIC-VIRUS; C-4; GENE; FRUIT; LIGHT</t>
  </si>
  <si>
    <t>Societal impact statementThe human population is expected to reach 9.7 billion in the next 30 years, increasing the strain on our already precarious food system. Climate change is shifting weather patterns, leading to unpredictable and catastrophic events that further threaten the agronomic sector. Plant scientists are implementing biotechnological tools to sustainably increase both the production and nutritional content of our crops. Engineering GOLDEN2-LIKE (GLK) transcription factors is a promising route to improve photosynthesis, as well as other important agronomical traits, to achieve food security for a growing population under an unpredictable climate. Using agricultural biotechnology to increase the photosynthetic efficiency of crops has been a focus of plant science research over the last two decades. Transcription factors coordinate the expression of gene networks that are the basis of plant development and physiological responses and, as such, are good targets to help improve photosynthesis. Among the known plant transcriptional regulators, GOLDEN2-LIKE transcription factors (GLKs) may be ideal candidates to improve photosynthesis in crops, as they are master regulators of genes associated with photosynthesis and chloroplast biogenesis across a broad diversity of plant lineages. Moreover, recent work has revealed their involvement in environmental response, pathogen defence and development regulation across the plant's whole life cycle. Thus, manipulating GLK expression and activity, alone or likely in combination with other modifications, has clear potential to improve plant development and growth. Here, we review the research into GLK function and discuss the potential of these key transcription factors as biotechnological tools to enhance photosynthetic efficiency and stress tolerance in crops. Additionally, we take advantage of the vast plant genome and transcriptome datasets available to explore the evolutionary history of GLKs across the plant kingdom and discuss the implications for their adoption into crop engineering projects.</t>
  </si>
  <si>
    <t>[Hernandez-Verdeja, Tamara; Lundgren, Marjorie R.] Univ Lancaster, Lancaster Environm Ctr, Lancaster, England; [Hernandez-Verdeja, Tamara] Univ Lancaster, Lancaster Environm Ctr, Lancaster LA1 4YQ, England</t>
  </si>
  <si>
    <t>Lancaster University; Lancaster University</t>
  </si>
  <si>
    <t>Hernández-Verdeja, T (corresponding author), Univ Lancaster, Lancaster Environm Ctr, Lancaster LA1 4YQ, England.</t>
  </si>
  <si>
    <t>t.hernandez-verdeja@lancaster.ac.uk</t>
  </si>
  <si>
    <t>Hernández-Verdeja, Tamara/AAA-3046-2020</t>
  </si>
  <si>
    <t>Hernández-Verdeja, Tamara/0000-0002-2148-3676; Lundgren, Marjorie/0000-0002-2489-3646</t>
  </si>
  <si>
    <t>[MR/T043970/1]</t>
  </si>
  <si>
    <t>ACKNOWLEDGEMENTS M.R.L. is funded by a UKRI (MR/T043970/1).</t>
  </si>
  <si>
    <t>2572-2611</t>
  </si>
  <si>
    <t>Plants People Planet</t>
  </si>
  <si>
    <t>10.1002/ppp3.10412</t>
  </si>
  <si>
    <t>Biodiversity Conservation; Plant Sciences; Ecology</t>
  </si>
  <si>
    <t>Biodiversity &amp; Conservation; Plant Sciences; Environmental Sciences &amp; Ecology</t>
  </si>
  <si>
    <t>N0CF6</t>
  </si>
  <si>
    <t>WOS:001033793600001</t>
  </si>
  <si>
    <t>Jebamani, J; Praneshm, SJ; Shivalingappa, J; Narayanarao, M; Pasha, M; Pawar, C</t>
  </si>
  <si>
    <t>Jebamani, Jesurajan; Praneshm, Shubha Jayachamarajapura; Shivalingappa, Jayadev; Narayanarao, Manjunatha; Pasha, Mussuvir; Pawar, Chandrakant</t>
  </si>
  <si>
    <t>Synthesis and Biological Activities of Novel 1H-Imidazo[4,5-b]pyridine Derivatives</t>
  </si>
  <si>
    <t>aryl bromide; biological activity; imidazo[4; 5-b]pyridine; nickel; Ir catalyst; photo redox</t>
  </si>
  <si>
    <t>PHOTOREDOX CATALYSIS; TRANSITION-METAL; IN-VITRO; ELECTRON; RECEPTORS</t>
  </si>
  <si>
    <t>We describe herein an efficient method for synthesizing novel 7-aryl-1H-imidazo[4,5-b]pyridines 4(a-j) via photocatalytic C(sp(2))-C(sp(2)) cross coupling reaction under mild conditions. We have developed a photocatalytic approach for the synthesis of imidazo[4,5-b]pyridines with simple reaction steps and good yields. The compounds 4(a-j) were evaluated for antimicrobial activity and showed average to good efficacy against the tested microorganisms. Particularly, compounds 4 b and 4 d exhibited significant antimicrobial activity against both antibacterial and antifungal strains.</t>
  </si>
  <si>
    <t>[Jebamani, Jesurajan] Visvesvaraya Technol Univ, Don Bosco Inst Technol, Dept Chem, Bangalore 560074, India; [Praneshm, Shubha Jayachamarajapura] JSS Sci &amp; Technol Univ, Sri Jayachamarajendra Coll Engn, Dept Chem, Mysore 570006, India; [Shivalingappa, Jayadev] Visvesvaraya Technol Univ, SJB Inst Technol, Dept Chem, Bangalore 560060, India; [Narayanarao, Manjunatha] Visvesvaraya Technol Univ, East Point Coll Engn &amp; Technol, Dept Chem, Bangalore 560049, India; [Pasha, Mussuvir] Vijayanagara Sri Krishnadevaraya Univ, Dept Studies &amp; Res Chem, Bellary 583105, India; [Pawar, Chandrakant] Dr Babasaheb Ambedkar Marathwada Univ, Dept Chem Technol, Aurangabad 431004, India</t>
  </si>
  <si>
    <t>Visvesvaraya Technological University; Sri Jayachamarajendra College of Engineering; JSS Science &amp; Technology University; SJB Institute of Technology; Visvesvaraya Technological University; Visvesvaraya Technological University; Dr. Babasaheb Ambedkar Marathwada University (BAMU)</t>
  </si>
  <si>
    <t>Praneshm, SJ (corresponding author), JSS Sci &amp; Technol Univ, Sri Jayachamarajendra Coll Engn, Dept Chem, Mysore 570006, India.</t>
  </si>
  <si>
    <t>shubhapranesh@gmail.com</t>
  </si>
  <si>
    <t>JUL 26</t>
  </si>
  <si>
    <t>e202301239</t>
  </si>
  <si>
    <t>10.1002/slct.202301239</t>
  </si>
  <si>
    <t>N2SB8</t>
  </si>
  <si>
    <t>WOS:001035561800001</t>
  </si>
  <si>
    <t>Lapisatepun, W; Ma, C; Lapisatepun, W; Agopian, V; Wray, C; Xia, VW</t>
  </si>
  <si>
    <t>Lapisatepun, Warangkana; Ma, Christina; Lapisatepun, Worakitti; Agopian, Vatche; Wray, Christopher; Xia, Victor W.</t>
  </si>
  <si>
    <t>Super-massive transfusion during liver transplantation</t>
  </si>
  <si>
    <t>liver transplantation; outcomes; risk factors; super-massive blood transfusion</t>
  </si>
  <si>
    <t>INTRAOPERATIVE TRANSFUSION; ULTRAMASSIVE TRANSFUSION; REQUIREMENTS; PREDICTION</t>
  </si>
  <si>
    <t>Background: Massive hemorrhage and transfusion during liver transplantation ( LT) present great challenges. We aimed to investigate the incidence and risk factors for super-massive transfusion (SMT) and survival outcome and factors that negatively affect survival in patients who received SMT during LT. Study Design and Methods: We included adult patients undergoing LT from 2004 to 2019. SMT was defined as transfusion of &gt;= 50 units of red blood cells (RBC) during LT. Independent risk factors were identified by multivariable logistic regression. Ninety-day survival was recorded and factors that negatively affected survival were analyzed by the Cox survival test. Results: Of 2772 patients, 158 (5.6%) received SMT during LT. Mean RBC transfusion was 72.6 (+/- 23.4) units with a maximum of 168 units. Four variables (MELD-Na score, previous upper abdominal surgery, portal vein thrombosis, and remote retransplant) were independent risk factors for SMT (odds ratio 1.800-8.274, 95% CI 1.008-16.685, all p &lt; .005). The 90-day survival rate in SMT patients was 81.6%. Preoperative pulmonary hypertension and massive postreperfusion transfusion negatively affected 90-day survival (hazard ratio 2.658-4.633, 95% CI 1.144-10.130, and all p &lt; .05). Conclusions: In this large retrospective study, we found that SMT occurred in a small percentage of patients and was associated with relatively satisfactory short-term survival. Identification of preoperative risk factors for SMT and factors that negatively affect survival improve our understanding of this unique LT patient population.</t>
  </si>
  <si>
    <t>[Lapisatepun, Warangkana; Ma, Christina; Wray, Christopher; Xia, Victor W.] UCLA, David Geffen Sch Med, Dept Anesthesiol, Ronald Reagan UCLA Med Ctr, Los Angeles, CA USA; [Lapisatepun, Warangkana] Chiang Mai Univ, Fac Med, Dept Anesthesiol, Chiang Mai, Thailand; [Lapisatepun, Worakitti] Chiang Mai Univ, Fac Med, Dept Surg, Chiang Mai, Thailand; [Agopian, Vatche] UCLA, David Geffen Sch Med, Dept Surg, Ronald Reagan UCLA Med Ctr, Los Angeles, CA USA</t>
  </si>
  <si>
    <t>University of California System; University of California Los Angeles; University of California Los Angeles Medical Center; David Geffen School of Medicine at UCLA; Ronald Reagan UCLA Medical Center; Chiang Mai University; Chiang Mai University; University of California System; University of California Los Angeles; University of California Los Angeles Medical Center; Ronald Reagan UCLA Medical Center; David Geffen School of Medicine at UCLA</t>
  </si>
  <si>
    <t>Xia, VW (corresponding author), Univ Calif Los Angeles, Ronald Reagan UCLA Med Ctr, David Geffen Sch Medicineat UCLA, Dept Anesthesiol &amp; Perioperat Med, 757 Westwood Plaza,Suite 3325, Los Angeles, CA 90095 USA.</t>
  </si>
  <si>
    <t>vxia@mednet.ucla.edu</t>
  </si>
  <si>
    <t>xia, victor/0000-0003-1182-3179</t>
  </si>
  <si>
    <t>10.1111/trf.17496</t>
  </si>
  <si>
    <t>N4VD4</t>
  </si>
  <si>
    <t>WOS:001036998500001</t>
  </si>
  <si>
    <t>Liu, J; Guan, WC; Guo, JR; Li, XF; Xia, Y; Niu, GD; Yao, Y</t>
  </si>
  <si>
    <t>Liu, Jun; Guan, Wenchi; Guo, Jinrui; Li, Xiaofeng; Xia, Yu; Niu, Guodong; Yao, Yan</t>
  </si>
  <si>
    <t>Optimization of superior vena cava isolation with aid of ablation index guidance</t>
  </si>
  <si>
    <t>ablation index; adenosine test; electrical isolation; high-density mapping; superior vena cava</t>
  </si>
  <si>
    <t>ATRIAL-FIBRILLATION; VEIN</t>
  </si>
  <si>
    <t>IntroductionTo investigate the optimal range of quantitative ablation index (AI) value during superior vena cava (SVC) electrical isolation by radiofrequency catheter ablation (RFCA). MethodsFirst, in a development cohort of patients with atrial fibrillation (AF), the RFCA with 40 W was performed to complete SVC isolation guided by the conduction breakthrough point from the right atrium to SVC. Then, the range of AI value was calculated by offline analysis on different segments of SVC. Lastly, for the validation of AF patients, the safety and effectiveness of SVC isolation with the optimized target range of AI value were evaluated with an additional adenosine test. ResultsA total of 101 patients with AF were included in the study (44 patients in the development cohort/57 in the validation cohort). The segmental ablation strategy was applied in 70% of the patients. According to the offline analysis of the AI values in the development cohort, the target AI value range was set as 350-400. The success rate of SVC isolation in the validation cohort was significantly higher than that in the exploration cohort (100% vs. 90.9%, p = .02), and no complications occurred in the exploration cohort. During the adenosine test, the recovery rate of electrical conduction in SVC was significantly lower than that in the pulmonary vein (3.5% vs. 17.5%). ConclusionThe target AI value with a range from 350 to 400 is safe and effective for high-power RFCA to complete SVC isolation.</t>
  </si>
  <si>
    <t>[Liu, Jun; Guan, Wenchi; Li, Xiaofeng; Xia, Yu; Yao, Yan] PUMC &amp; CAMS, Fu Wai Hosp, Ctr Arrhythmia Diag &amp; Treatment, Beijing, Peoples R China; [Guo, Jinrui; Niu, Guodong] Kunming Med Univ, Fuwai Yunnan Cardiovasc Hosp, Dept Cardiac Arrhythmia, Kunming, Peoples R China</t>
  </si>
  <si>
    <t>Chinese Academy of Medical Sciences - Peking Union Medical College; Peking Union Medical College; Fu Wai Hospital - CAMS; Kunming Medical University</t>
  </si>
  <si>
    <t>Liu, J (corresponding author), PUMC &amp; CAMS, Fu Wai Hosp, Ctr Arrhythmia Diag &amp; Treatment, Beijing, Peoples R China.</t>
  </si>
  <si>
    <t>liujundoctor@163.com</t>
  </si>
  <si>
    <t>Guan, Wenchi/JDM-3486-2023</t>
  </si>
  <si>
    <t>niu, guodniu/0000-0001-6424-5179; , liu/0000-0002-9353-4604</t>
  </si>
  <si>
    <t>Chinese National High-level Hospital Clinical Research [2023-GSP-GG-33]</t>
  </si>
  <si>
    <t>Chinese National High-level Hospital Clinical Research</t>
  </si>
  <si>
    <t>Chinese National High-level Hospital Clinical Research, Grant/Award Number: 2023-GSP-GG-33</t>
  </si>
  <si>
    <t>10.1111/jce.16006</t>
  </si>
  <si>
    <t>N3BC1</t>
  </si>
  <si>
    <t>WOS:001035797900001</t>
  </si>
  <si>
    <t>Ma, PP; Cao, Y; Gan, HF</t>
  </si>
  <si>
    <t>Ma, Peipei; Cao, Yun; Gan, Haifeng</t>
  </si>
  <si>
    <t>Metal-free Oxidation of Cyclic Sulfamides to Imines with Dioxygen as an Oxidant</t>
  </si>
  <si>
    <t>sulfamides; sulfonyl imines; dioxygen; metal-free; oxidation</t>
  </si>
  <si>
    <t>CATALYZED ENANTIOSELECTIVE ADDITION; N-SULFONYL KETIMINES; TRANSFER HYDROGENATION; CONSTRUCTION; DERIVATIVES; SULTAMS; DESIGN</t>
  </si>
  <si>
    <t>A novel metal-free oxidation of aryl sulfamides to sulfonyl imines with dioxygen as an oxidant have been realized. The reactions proceeded in moderate to excellent yields. Mechanistic investigation suggests that alcohol compounds A can be the key intermediates for the formation of products 2.</t>
  </si>
  <si>
    <t>[Ma, Peipei; Gan, Haifeng] Nanjing Tech Univ, Coll Biotechnol &amp; Pharmaceut Engn, Nanjing 211800, Jiangsu, Peoples R China; [Cao, Yun] Jinling High Sch, 169 Zhongshan Rd, Nanjing 210005, Jiangsu, Peoples R China</t>
  </si>
  <si>
    <t>Nanjing Tech University</t>
  </si>
  <si>
    <t>Gan, HF (corresponding author), Nanjing Tech Univ, Coll Biotechnol &amp; Pharmaceut Engn, Nanjing 211800, Jiangsu, Peoples R China.</t>
  </si>
  <si>
    <t>ganhaifeng@njtech.edu.cn</t>
  </si>
  <si>
    <t>Gan, Haifeng/0000-0001-9433-0542</t>
  </si>
  <si>
    <t>National Key Research and Development Program of China [2019YFC1906603]; Jiangsu Synergetic Innovation Center for Advanced Bio-Manufacture [XTC1806]; National Natural Science Foundation of China [22078152]; Six Talent Peaks Project in Jiangsu Province [SWYY-030/SWYY-118]</t>
  </si>
  <si>
    <t>National Key Research and Development Program of China; Jiangsu Synergetic Innovation Center for Advanced Bio-Manufacture; National Natural Science Foundation of China(National Natural Science Foundation of China (NSFC)); Six Talent Peaks Project in Jiangsu Province</t>
  </si>
  <si>
    <t>This work was supported by the National Key Research and Development Program of China (2019YFC1906603), The Jiangsu Synergetic Innovation Center for Advanced Bio-Manufacture (XTC1806), the National Natural Science Foundation of China (Grant No. 22078152), and the Six Talent Peaks Project in Jiangsu Province (SWYY-030/SWYY-118).</t>
  </si>
  <si>
    <t>e202302228</t>
  </si>
  <si>
    <t>10.1002/slct.202302228</t>
  </si>
  <si>
    <t>N2SB3</t>
  </si>
  <si>
    <t>WOS:001035561300001</t>
  </si>
  <si>
    <t>Malik, A; Hanson, J; Han, J; Dolezal, B; Bradfield, JS; Boyle, NG; Hsu, JJ</t>
  </si>
  <si>
    <t>Malik, Aneeq; Hanson, Justin; Han, Janet; Dolezal, Brett; Bradfield, Jason S. S.; Boyle, Noel G. G.; Hsu, Jeffrey J. J.</t>
  </si>
  <si>
    <t>Sudden cardiac arrest in athletes and strategies to optimize preparedness</t>
  </si>
  <si>
    <t>AED; athletes; CPR; emergency action planning; preparticipation screening; sudden cardiac arrest; sudden cardiac death</t>
  </si>
  <si>
    <t>AUTOMATED EXTERNAL DEFIBRILLATORS; AMERICAN-HEART-ASSOCIATION; EMERGENCY ACTION PLAN; PHYSICAL-ACTIVITY; BYSTANDER CPR; ELECTROCARDIOGRAPHIC INTERPRETATION; CARDIOPULMONARY-RESUSCITATION; CARDIOVASCULAR-ABNORMALITIES; MYOCARDIAL-INFARCTION; SCIENTIFIC STATEMENT</t>
  </si>
  <si>
    <t>Sudden cardiac arrest (SCA) is the leading cause of death in young athletes. Despite efforts to improve preparedness for cardiac emergencies, the incidence of out-of-hospital cardiac arrests in athletes remains high, and bystander awareness and readiness for SCA support are inadequate. Initiatives such as designing an emergency action plan (EAP) and mandating training in cardiopulmonary resuscitation (CPR) and automated external defibrillator use (AED) for team members and personnel can contribute to improved survival rates in SCA cases. This review provides an overview of SCA in athletes, focusing on identifying populations at the highest risk and evaluating the effectiveness of different screening practices in detecting conditions that may lead to SCA. We summarize current practices and recommendations for improving the response to SCA events, and we highlight the need for ongoing efforts to optimize preparedness through the implementation of EAPs and the training of individuals in CPR and AED use. Additionally, we propose a call to action to increase awareness and training in EAP development, CPR, and AED use for team members and personnel. To improve outcomes of SCA cases in athletes, it is crucial to enhance bystander awareness and preparedness for cardiac emergencies. Implementing EAPs and providing training in CPR and AED use for team members and personnel are essential steps toward improving survival rates in SCA cases.</t>
  </si>
  <si>
    <t>[Malik, Aneeq] Olive View UCLA Med Ctr, Dept Med, Los Angeles, CA USA; [Hanson, Justin; Hsu, Jeffrey J. J.] UCLA, Dept Med, Div Cardiol, David Geffen Sch Med, 100 Med Plaza Suite 630, Los Angeles, CA 90095 USA; [Han, Janet; Hsu, Jeffrey J. J.] Vet Affairs Greater Angeles Healthcare Syst, Dept Med, Div Cardiol, Los Angeles, CA USA; [Han, Janet; Hsu, Jeffrey J. J.] UCLA, Los Angeles, CA 90095 USA; [Dolezal, Brett] UCLA, David Geffen Sch Med, Dept Med, Exercise Physiol Res Lab, Los Angeles, CA 90095 USA; [Dolezal, Brett] UCLA, David Geffen Sch Med, Dept Physiol, Exercise Physiol Res Lab, Los Angeles, CA 90095 USA; [Bradfield, Jason S. S.; Boyle, Noel G. G.] UCLA, David Geffen Sch Med, UCLA Cardiac Arrhythmia Ctr, Los Angeles, CA 90095 USA</t>
  </si>
  <si>
    <t>University of California System; University of California Los Angeles; University of California System; University of California Los Angeles; University of California Los Angeles Medical Center; David Geffen School of Medicine at UCLA; University of California System; University of California Los Angeles; University of California System; University of California Los Angeles; University of California Los Angeles Medical Center; David Geffen School of Medicine at UCLA; University of California System; University of California Los Angeles; University of California Los Angeles Medical Center; David Geffen School of Medicine at UCLA; University of California System; University of California Los Angeles; University of California Los Angeles Medical Center; David Geffen School of Medicine at UCLA</t>
  </si>
  <si>
    <t>Hsu, JJ (corresponding author), UCLA, Dept Med, Div Cardiol, David Geffen Sch Med, 100 Med Plaza Suite 630, Los Angeles, CA 90095 USA.</t>
  </si>
  <si>
    <t>jjhsu@mednet.ucla.edu</t>
  </si>
  <si>
    <t>Hanson, Justin/0000-0002-5647-7954; Malik, Aneeq/0009-0005-9372-1070</t>
  </si>
  <si>
    <t>10.1002/clc.24095</t>
  </si>
  <si>
    <t>N2VI7</t>
  </si>
  <si>
    <t>WOS:001035648200001</t>
  </si>
  <si>
    <t>McCue, D; Mancini, C; Liberati, MR; Stahl, RS</t>
  </si>
  <si>
    <t>McCue, Dana; Mancini, Ceil; Liberati, Michael R.; Stahl, Jr Ralph G.</t>
  </si>
  <si>
    <t>Addressing Uncertainties in Potential Human Dietary Exposure to Mercury in the Watershed of the South River, Virginia, USA</t>
  </si>
  <si>
    <t>Beef; Consumption advisory; Human exposure; Mercury; Poultry; Wildlife</t>
  </si>
  <si>
    <t>FISH CONSUMPTION; SOIL; RISK; POULTRY; LEGACY; WOMEN; MINE; MEAT; AGE</t>
  </si>
  <si>
    <t>Much has been published about the harmful effects to humans when they are exposed to mercury (Hg) in environmental media including their diet. Numerous health advisories around the world, including for the South River, Virginia, USA, warn against consumption of Hg-contaminated fish species. Fewer studies have focused on other dietary sources of Hg and how to advise humans potentially exposed by this route. In undertaking a human health risk assessment for the former DuPont facility in Waynesboro, Virginia, USA, and the nearby South River and surrounding watershed, the available published information on Hg exposure through dietary consumption of nonfish items proved unsuitable for extrapolation purposes. In response, an evaluation of potential Hg exposure to residents who might consume livestock, poultry, and wildlife raised or collected in the South River watershed was conducted to inform the risk-assessment process. The newly collected data on Hg in these dietary items filled an important data gap, suggesting that there was little concern about limiting dietary consumption for most items. These results were communicated to the public through print and electronic platforms, in the form of fact sheets. We describe the studies and actions taken to better explain the potential for human exposures to Hg in nonfish dietary items from a portion of the watershed of the South River. Environ Toxicol Chem 2023;00:1-16. &amp; COPY; 2023 SETAC</t>
  </si>
  <si>
    <t>[McCue, Dana] EHS Support, Northborough, MA 01532 USA; [Mancini, Ceil] EHS Support, Highlands, NJ USA; [Liberati, Michael R.] Corteva Agrisci, Warwick, MD USA; [Stahl, Jr Ralph G.] DuPont Co Inc, Wilmington, DE USA</t>
  </si>
  <si>
    <t>DuPont</t>
  </si>
  <si>
    <t>McCue, D (corresponding author), EHS Support, Northborough, MA 01532 USA.</t>
  </si>
  <si>
    <t>rgstahljr60@gmail.com</t>
  </si>
  <si>
    <t>10.1002/etc.5694</t>
  </si>
  <si>
    <t>N2VA1</t>
  </si>
  <si>
    <t>WOS:001035639600001</t>
  </si>
  <si>
    <t>Mizutani, Y; Nawashiro, K; Ohdake, R; Tatebe, H; Shima, S; Ueda, A; Yoshimoto, J; Ito, M; Tokuda, T; Mutoh, T; Watanabe, H</t>
  </si>
  <si>
    <t>Mizutani, Yasuaki; Nawashiro, Kazuki; Ohdake, Reiko; Tatebe, Harutsugu; Shima, Sayuri; Ueda, Akihiro; Yoshimoto, Junichiro; Ito, Mizuki; Tokuda, Takahiko; Mutoh, Tatsuro; Watanabe, Hirohisa</t>
  </si>
  <si>
    <t>Enzymatic properties and clinical associations of serum alpha-galactosidase A in Parkinson's disease</t>
  </si>
  <si>
    <t>GLUCOCEREBROSIDASE; DEMENTIA; SOCIETY; BRAIN</t>
  </si>
  <si>
    <t>Objective: Recent studies have revealed an association between Parkinson's disease (PD) and Fabry disease, a lysosomal storage disorder; however, the underlying mechanisms remain to be elucidated. This study aimed to investigate the enzymatic properties of serum alpha-galactosidase A (GLA) and compared them with the clinical parameters of PD. Methods: The study participants consisted of 66 sporadic PD patients and 52 controls. We measured serum GLA activity and calculated the apparent Michaelis constant (K-m) and maximal velocity (V-max) by Lineweaver-Burk plot analysis. Serum GLA protein concentration was measured by enzyme-linked immunosorbent assay. We examined the potential correlations between serum GLA activity and GLA protein concentration and clinical features and the plasma neurofilament light chain (NfL) level. Results: Compared to controls, PD patients showed significantly lower serum GLA activity (P &lt; 0.0001) and apparent V-max (P = 0.0131), but no change in the apparent K-m value. Serum GLA protein concentration was lower in the PD group (P = 0.0168) and was positively associated with GLA activity. Serum GLA activity and GLA protein concentration in the PD group showed a negative correlation with age. Additionally, serum GLA activity was negatively correlated with the motor severity score and the level of plasma NfL, and was positively correlated with the score of frontal assessment battery. Interpretation: This study highlights that the lower serum GLA activity in PD is the result of a quantitative decrement of GLA protein in the serum and that it may serve as a biomarker of disease severity.</t>
  </si>
  <si>
    <t>[Mizutani, Yasuaki; Ohdake, Reiko; Shima, Sayuri; Ueda, Akihiro; Ito, Mizuki; Mutoh, Tatsuro; Watanabe, Hirohisa] Fujita Hlth Univ, Dept Neurol, Sch Med, 1-98 Dengakugakugo, Kutsukake Cho, Toyoake, Aichi 4701192, Japan; [Nawashiro, Kazuki] Fujita Hlth Univ, Sch Med, Toyoake, Aichi, Japan; [Tatebe, Harutsugu; Tokuda, Takahiko] Natl Inst Quantum Sci &amp; Technol, Inst Quantum Med Sci, Dept Funct Brain Imaging, Chiba, Japan; [Yoshimoto, Junichiro] Fujita Hlth Univ, Dept Biomed Data Sci, Sch Med, Toyoake, Aichi, Japan; [Mutoh, Tatsuro] Fujita Hlth Univ, Cent Japan Int Airport Clin, Tokoname, Aichi, Japan</t>
  </si>
  <si>
    <t>Fujita Health University; Fujita Health University; National Institutes for Quantum Science &amp; Technology; Fujita Health University</t>
  </si>
  <si>
    <t>Watanabe, H (corresponding author), Fujita Hlth Univ, Dept Neurol, Sch Med, 1-98 Dengakugakugo, Kutsukake Cho, Toyoake, Aichi 4701192, Japan.</t>
  </si>
  <si>
    <t>hirohisa.watanabe@fujita-hu.ac.jp</t>
  </si>
  <si>
    <t>Mutoh, Tatsuro/H-4317-2019</t>
  </si>
  <si>
    <t>Mutoh, Tatsuro/0000-0001-7712-8481; Mizutani, Yasuaki/0000-0002-5709-8526</t>
  </si>
  <si>
    <t>10.1002/acn3.51856</t>
  </si>
  <si>
    <t>N5TQ1</t>
  </si>
  <si>
    <t>WOS:001037638100001</t>
  </si>
  <si>
    <t>Reinsdorf, O; Pellegrin, C; Schmidt, C; Alvear, M; Eränen, K; Murzin, DY; Salmi, T</t>
  </si>
  <si>
    <t>Reinsdorf, Ole; Pellegrin, Camille; Schmidt, Christoph; Alvear, Matias; Eranen, Kari; Murzin, Dmitry Yu; Salmi, Tapio</t>
  </si>
  <si>
    <t>Selective Oxidation of Glucose using Hydrogen Peroxide as an Oxidant: On the Structure Sensitivity of the Apparent Activation Energy</t>
  </si>
  <si>
    <t>gold catalysis; heterogeneous catalysis; hydrogen peroxide; structure sensitivity; sugar oxidation</t>
  </si>
  <si>
    <t>AEROBIC OXIDATION; GOLD CATALYSTS; ACID; EPOXIDATION; KINETICS; TITANIUM; SUPPORTS; SIZE</t>
  </si>
  <si>
    <t>The selective oxidation of glucose to gluconic acid with hydrogen peroxide was studied using different heterogeneous catalysts with alumina (Al2O3) and titanium silicate (TS-1, TiMWW) as supports and different noble (Au, Pd) and non-noble metals (Fe, W) as the catalytically active phases. Supported tungsten oxide catalysts showed a moderate selectivity and activity compared to palladium and iron catalysts. The best performance in the selective oxidation of glucose among the studied catalysts was displayed by gold on alumina. For this kind of catalyst, the structure sensitivity in glucose oxidation was explored, revealing a maximum rate shifted to larger gold particle sizes at higher temperatures in comparison with other studies involving activation of molecular oxygen on gold particles. A significant change in the apparent activation energy was established while changing the particle size of gold. These changes of the activation energy were adequately explained by a theoretical model for the cluster size dependence of the apparent activation energy.</t>
  </si>
  <si>
    <t>[Reinsdorf, Ole; Pellegrin, Camille; Schmidt, Christoph; Alvear, Matias; Eranen, Kari; Murzin, Dmitry Yu; Salmi, Tapio] Abo Akad Univ Turku, Lab Ind Chem &amp; React Engn TKR, FI-20500 Turku, Finland</t>
  </si>
  <si>
    <t>Reinsdorf, O (corresponding author), Abo Akad Univ Turku, Lab Ind Chem &amp; React Engn TKR, FI-20500 Turku, Finland.</t>
  </si>
  <si>
    <t>ole.reinsdorf@abo.fi</t>
  </si>
  <si>
    <t>Reinsdorf, Ole/0000-0001-7335-1360</t>
  </si>
  <si>
    <t>Academy of Finland [319002, 320115, 345053]; Fortum and Neste Foundation; Erasmus program</t>
  </si>
  <si>
    <t>Academy of Finland(Research Council of Finland); Fortum and Neste Foundation; Erasmus program(Erasmus+)</t>
  </si>
  <si>
    <t>This work is a part of the activities financed by Academy of Finland, through the Academy Professor grants 319002, 320115, 345053 (T. Salmi, O. Reinsdorf, M. Alvear). Financial support from Fortum and Neste Foundation (C. Schmidt) and the Erasmus program (C. Pellegrin) is gratefully acknowledged.</t>
  </si>
  <si>
    <t>10.1002/cctc.202300536</t>
  </si>
  <si>
    <t>N2ZA0</t>
  </si>
  <si>
    <t>WOS:001035743800001</t>
  </si>
  <si>
    <t>Sanz-Barrio, PM; Noreen, EE; Gilsanz-Estebaranz, L; Lorenzo-Calvo, J; Martínez-Ferrán, M; Pareja-Galeano, H</t>
  </si>
  <si>
    <t>Sanz-Barrio, Patricia M. M.; Noreen, Eric E. E.; Gilsanz-Estebaranz, Laura; Lorenzo-Calvo, Jorge; Martinez-Ferran, Maria; Pareja-Galeano, Helios</t>
  </si>
  <si>
    <t>Rhodiola rosea supplementation on sports performance: A systematic review of randomized controlled trials</t>
  </si>
  <si>
    <t>ergogenic aid; exercise; roseroot; training</t>
  </si>
  <si>
    <t>C-REACTIVE PROTEIN; MUSCLE DAMAGE; DOUBLE-BLIND; EXERCISE; EXTRACT; STRESS</t>
  </si>
  <si>
    <t>The aim of this systematic review was to determine whether the supplementation with Rhodiola rosea (RR), an herb that has been used for centuries for its various properties, can have an effect on muscle damage and physical performance. The databases PubMed, Web of Science, and Cochrane Library were used to find studies published until March 2023. Randomized controlled trials, healthy participants, and no use of other supplements. The search strategy was conducted by two independent reviewers, and specific information was extracted from the selected studies. Thirteen studies were included with 263 participants (198 men and 65 women between 18 and 65 years old). Two studies followed acute supplementation, 5 chronic, and 6 combined both. The results were heterogenous, having 11 studies with some positive effects, while 2 studies show no effect in variables such as rating of perceive exertion, heart rate, antioxidant capacity, blood lactate, creatine kinase, or C-reactive protein. Two limitations were found, firstly, the difference between supplementation and exercise protocols, and secondly, the existence of unclear or high risk of bias in most of the studies included. Acute supplementation with RR has a positive effect on endurance performance and rating of perceived exertion (RPE). Chronic supplementation has a positive effect on anaerobic exercise performance, but not endurance exercise performance. Chronic supplementation may positively impact muscle damage during exercise. However, more high-quality studies are needed to firmly establish the clinical efficacy of RR.</t>
  </si>
  <si>
    <t>[Sanz-Barrio, Patricia M. M.] Univ Europea Madrid, Fac Sport Sci, Madrid, Spain; [Noreen, Eric E. E.] Gettysburg Coll, Dept Hlth Sci, Gettysburg, PA USA; [Gilsanz-Estebaranz, Laura; Pareja-Galeano, Helios] Univ Autonoma Madrid, Dept Phys Educ Sport &amp; Human Movement, Madrid, Spain; [Lorenzo-Calvo, Jorge] Univ Politecn Madrid, Fac Ciencias Act Fis &amp; Deporte, Dept Sports, Madrid, Spain; [Martinez-Ferran, Maria] Univ Isabel I, Fac Hlth Sci, Fernan Gonzalez 76, Burgos 09003, Spain</t>
  </si>
  <si>
    <t>European University of Madrid; Gettysburg College; Autonomous University of Madrid; Universidad Politecnica de Madrid; Facultad de Ciencias de la Actividad Fisica del Deporte (INEF)</t>
  </si>
  <si>
    <t>Martínez-Ferrán, M (corresponding author), Univ Isabel I, Fac Hlth Sci, Fernan Gonzalez 76, Burgos 09003, Spain.</t>
  </si>
  <si>
    <t>maria.martinez.ferran@ui1.es</t>
  </si>
  <si>
    <t>; Pareja-Galeano, Helios/M-2380-2014</t>
  </si>
  <si>
    <t>LORENZO CALVO, JORGE/0000-0002-5891-9824; Pareja-Galeano, Helios/0000-0002-5780-2712</t>
  </si>
  <si>
    <t>10.1002/ptr.7950</t>
  </si>
  <si>
    <t>N3LN8</t>
  </si>
  <si>
    <t>WOS:001036069700001</t>
  </si>
  <si>
    <t>Seselj, N; Alfaro, SM; Bompolaki, E; Cleemann, LN; Torres, T; Azizi, K</t>
  </si>
  <si>
    <t>Seselj, Nedjeljko; Alfaro, Silvia M. M.; Bompolaki, Eftychia; Cleemann, Lars N. N.; Torres, Tomas; Azizi, Kobra</t>
  </si>
  <si>
    <t>Catalyst Development for High-Temperature Polymer Electrolyte Membrane Fuel Cell (HT-PEMFC) Applications</t>
  </si>
  <si>
    <t>carbon support; degradation; electrocatalyst; fuel cells; polymer electrolyte membrane</t>
  </si>
  <si>
    <t>OXYGEN REDUCTION REACTION; PT-M M; CARBON NANOTUBES; HIGH-PERFORMANCE; ALLOY CATALYSTS; DOPED GRAPHENE; STABLE ELECTROCATALYSTS; PLATINUM UTILIZATION; SUPPORTED PLATINUM; METHANOL OXIDATION</t>
  </si>
  <si>
    <t>A constant increase in global emission standard is causing fuel cell (FC) technology to gain importance. Over the last two decades, a great deal of research has been focused on developing more active catalysts to boost the performance of high-temperature polymer electrolyte membrane fuel cells (HT-PEMFC), as well as their durability. Due to material degradation at high-temperature conditions, catalyst design becomes challenging. Two main approaches are suggested: (i) alloying platinum (Pt) with low-cost transition metals to reduce Pt usage, and (ii) developing novel catalyst support that anchor metal particles more efficiently while inhibiting corrosion phenomena. In this comprehensive review, the most recent platinum group metal (PGM) and platinum group metal free (PGM-free) catalyst development is detailed, as well as the development of alternative carbon (C) supports for HT-PEMFCs.</t>
  </si>
  <si>
    <t>[Seselj, Nedjeljko; Alfaro, Silvia M. M.; Bompolaki, Eftychia; Cleemann, Lars N. N.; Azizi, Kobra] Blue World Technol, Egeskovvej 6C, DK-3490 Kvistgaard, Denmark; [Torres, Tomas] Univ Autonoma Madrid UAM, Inst Adv Res Chem Sci IAdChem, Dept Organ Chem, Campus Cantoblanco, Madrid 28049, Spain; [Torres, Tomas] IMDEA Nanociencia, C-Faraday 9, Ciudad Univ Cantoblanco, Madrid 28049, Spain</t>
  </si>
  <si>
    <t>Azizi, K (corresponding author), Blue World Technol, Egeskovvej 6C, DK-3490 Kvistgaard, Denmark.;Torres, T (corresponding author), Univ Autonoma Madrid UAM, Inst Adv Res Chem Sci IAdChem, Dept Organ Chem, Campus Cantoblanco, Madrid 28049, Spain.</t>
  </si>
  <si>
    <t>tomas.torres@uam.es; kaz@blue.world</t>
  </si>
  <si>
    <t>Torres, Tomas/H-9796-2014</t>
  </si>
  <si>
    <t>Torres, Tomas/0000-0001-9335-6935; Azizi, Kobra/0000-0001-7504-8568</t>
  </si>
  <si>
    <t>Innovation Fund Denmark [2079-00005B]; Energy Technology Development and Demonstration (EUDP) Program [64018-0118]; Spanish MINECO [PID2020- 116490GB-I00]; Comunidad de Madrid; Spanish State through the Recovery, Transformation, and Resilience Plan; European Union through the Next Generation EU funds; Severo Ochoa Programme for Centres of Excellence in Ramp;D (MINECO) [SEV2016-0686]</t>
  </si>
  <si>
    <t>Innovation Fund Denmark; Energy Technology Development and Demonstration (EUDP) Program; Spanish MINECO(Spanish Government); Comunidad de Madrid(Comunidad de Madrid); Spanish State through the Recovery, Transformation, and Resilience Plan; European Union through the Next Generation EU funds; Severo Ochoa Programme for Centres of Excellence in Ramp;D (MINECO)</t>
  </si>
  <si>
    <t>This work was financially supported by the Innovation Fund Denmark (MAKE-FC-LAST, 2079-00005B) and the Energy Technology Development and Demonstration (EUDP) Program (COBRA-Drive and 64018-0118). The authors gratefully acknowledge financial support from the Spanish MINECO through the Project PID2020- 116490GB-I00. The authors also thank financial support from the Comunidad de Madrid and the Spanish State through the Recovery, Transformation, and Resilience Plan [Materiales Disruptivos Bidimensionales (2D) (MAD2D-CM) (UAM1)-MRR Materiales Avanzados], and the European Union through the Next Generation EU funds. IMDEA Nanociencia acknowledges support from the Severo Ochoa Programme for Centres of Excellence in R &amp; D (MINECO, grant SEV2016-0686).</t>
  </si>
  <si>
    <t>10.1002/adma.202302207</t>
  </si>
  <si>
    <t>N3VO4</t>
  </si>
  <si>
    <t>WOS:001036330600001</t>
  </si>
  <si>
    <t>van der Schaar, J; Visser, LNC; Ket, JCF; Groot, C; Pijnenburg, YAL; Scheltens, P; Bredenoord, AL; van den Hoven, MA; van der Flier, WM</t>
  </si>
  <si>
    <t>van der Schaar, Jetske; Visser, Leonie N. C.; Ket, Johannes C. F.; Groot, Colin; Pijnenburg, Yolande A. L.; Scheltens, Philip; Bredenoord, Annelien L.; van den Hoven, Mariette A.; van der Flier, Wiesje M.</t>
  </si>
  <si>
    <t>Impact of sharing Alzheimer's disease biomarkers with individuals without dementia: A systematic review and meta-analysis of empirical data</t>
  </si>
  <si>
    <t>ALZHEIMERS &amp; DEMENTIA</t>
  </si>
  <si>
    <t>Alzheimer's disease; amyloid; biomarkers; diagnosis; disclosure; ethics; preclinical; prodromal; risk; tau</t>
  </si>
  <si>
    <t>DISCLOSURE; SAFETY; CARE; NEURODEGENERATION; PERSPECTIVES; DEFINITION; BEHAVIOR; HISTORY; MCI</t>
  </si>
  <si>
    <t>IntroductionWe conducted a systematic literature review and meta-analysis of empirical evidence on expected and experienced implications of sharing Alzheimer's disease (AD) biomarker results with individuals without dementia. MethodsPubMed, Embase, APA PsycInfo, and Web of Science Core Collection were searched according to Preferred Reporting Items for Systematic Reviews and Meta-Analyses guidelines. Results from included studies were synthesized, and quantitative data on psychosocial impact were meta-analyzed using a random-effects model. ResultsWe included 35 publications. Most personal stakeholders expressed interest in biomarker assessment. Learning negative biomarker results led to relief and sometimes frustration, while positive biomarkers induced anxiety but also clarity. Meta-analysis of five studies including 2012 participants (elevated amyloid = 1324 [66%], asymptomatic = 1855 [92%]) showed short-term psychological impact was not significant (random-effect estimate = 0.10, standard error = 0.23, P = 0.65). Most professional stakeholders valued biomarker testing, although attitudes and practices varied considerably. DiscussionInterest in AD biomarker testing was high and sharing their results did not cause psychological harm. HighlightsMost personal stakeholders expressed interest in Alzheimer's disease biomarker assessment.Personal motivations included gaining insight, improving lifestyle, or preparing for the future.There was no short-term psychological impact of sharing biomarker status, implying it can be safe.Most professional stakeholders valued biomarker testing, believing the benefits outweigh the risk.Harmonized guidelines on biomarker testing and sharing results are required.</t>
  </si>
  <si>
    <t>[van der Schaar, Jetske; Visser, Leonie N. C.; Groot, Colin; Pijnenburg, Yolande A. L.; Scheltens, Philip; van der Flier, Wiesje M.] Vrije Univ Amsterdam, Alzheimer Ctr Amsterdam, Dept Neurol, Amsterdam UMC Locat VUmc, Amsterdam, Netherlands; [van der Schaar, Jetske; Visser, Leonie N. C.; Groot, Colin; Pijnenburg, Yolande A. L.; Scheltens, Philip; van der Flier, Wiesje M.] Amsterdam Neurosci, Neurodegenerat, Amsterdam, Netherlands; [Visser, Leonie N. C.] Univ Amsterdam, Dept Med Psychol, AMC, Amsterdam UMC Locat, Amsterdam, Netherlands; [Visser, Leonie N. C.] Amsterdam Publ Hlth, Qual Care, Amsterdam, Netherlands; [Visser, Leonie N. C.] Karolinska Inst, Ctr Alzheimer Res, Dept Neurobiol Care Sci &amp; Soc, Div Clin Geriatr, Stockholm, Sweden; [Ket, Johannes C. F.] Vrije Univ Amsterdam, Med Lib, Amsterdam, Netherlands; [Scheltens, Philip] EQT Life Sci, Amsterdam, Netherlands; [Bredenoord, Annelien L.] Erasmus Univ, Erasmus Sch Philosophy, Rotterdam, Netherlands; [van den Hoven, Mariette A.] Amsterdam UMC, Dept Eth Law &amp; Humanities, Amsterdam, Netherlands; [van der Flier, Wiesje M.] Vrije Univ Amsterdam, Dept Epidemiol &amp; Data Sci, Amsterdam UMC, Amsterdam, Netherlands; [van der Schaar, Jetske] Amsterdam UMC Locat VUmc, Alzheimer Ctr Amsterdam, Dept Neurol, Boelelaa 1118, NL-1081 HZ Amsterdam, Netherlands</t>
  </si>
  <si>
    <t>Vrije Universiteit Amsterdam; Vrije Universiteit Amsterdam; University of Amsterdam; Academic Medical Center Amsterdam; Karolinska Institutet; Vrije Universiteit Amsterdam; Erasmus University Rotterdam - Excl Erasmus MC; Erasmus University Rotterdam; University of Amsterdam; Vrije Universiteit Amsterdam; University of Amsterdam</t>
  </si>
  <si>
    <t>van der Schaar, J (corresponding author), Amsterdam UMC Locat VUmc, Alzheimer Ctr Amsterdam, Dept Neurol, Boelelaa 1118, NL-1081 HZ Amsterdam, Netherlands.</t>
  </si>
  <si>
    <t>jetske.vanderschaar@amsterdamumc.nl</t>
  </si>
  <si>
    <t>Bredenoord, Annelien L./AGJ-2217-2022; Ket, Johannes C.F./B-7966-2017</t>
  </si>
  <si>
    <t>van der Schaar, Jetske/0000-0002-9155-7490; Visser, Leonie/0000-0003-3487-7938; Ket, Johannes C.F./0000-0002-1909-3150</t>
  </si>
  <si>
    <t>ZonMW [73305095007]; Health~Holland, Topsector Life Sciences amp; Health [LSHM20106]; YOD-MOLECULAR [KICH1.GZ02.20.004]</t>
  </si>
  <si>
    <t>ZonMW(Netherlands Organization for Health Research and Development); Health~Holland, Topsector Life Sciences amp; Health; YOD-MOLECULAR</t>
  </si>
  <si>
    <t>ZonMW, Grant/Award Number: #73305095007; Health~Holland, Topsector Life Sciences &amp; amp; Health, Grant/Award Number: #LSHM20106; YOD-MOLECULAR, Grant/Award Number: #KICH1.GZ02.20.004</t>
  </si>
  <si>
    <t>1552-5260</t>
  </si>
  <si>
    <t>1552-5279</t>
  </si>
  <si>
    <t>ALZHEIMERS DEMENT</t>
  </si>
  <si>
    <t>Alzheimers. Dement.</t>
  </si>
  <si>
    <t>10.1002/alz.13410</t>
  </si>
  <si>
    <t>N3VV0</t>
  </si>
  <si>
    <t>WOS:001036337200001</t>
  </si>
  <si>
    <t>Yang, J; Wang, J; Liu, X; Chen, YM; Liang, Y; Wang, Q; Jiang, SX; Zhang, C</t>
  </si>
  <si>
    <t>Yang, Jing; Wang, Juan; Liu, Xuan; Chen, Yiming; Liang, Yuan; Wang, Qi; Jiang, Shuoxing; Zhang, Cheng</t>
  </si>
  <si>
    <t>Translocation of Proteins through Solid-State Nanopores Using DNA Polyhedral Carriers</t>
  </si>
  <si>
    <t>assisted nanopore translocations; DNA carriers; single molecule detection; solid-state nanopores</t>
  </si>
  <si>
    <t>ENCAPSULATION; NANOSTRUCTURES</t>
  </si>
  <si>
    <t>The detection of biomolecules at the single molecule level has important applications in the fields of biosensing and biomedical diagnosis. The solid-state nanopore (SS nanopore) is a sensitive tool for detecting single molecules because of its unique label-free and low sample consumption properties. SS nanopore translocation of small biomolecules is typically driven by an electronic field force and is thus influenced by the charge, shape, and size of the target molecules. Therefore, it remains challenging to control the translocation of biomolecules through SS nanopores, particularly for different proteins with complex conformations and unique charges. Toward this problem, a DNA polyhedral carrier coating strategy to assist protein translocation through SS nanopores is developed, which facilitates target protein detection. The current signal-to-noise ratios are improved significantly using this DNA carrier loading strategy. The proposed method should aid the detection of proteins, which are difficult to translocate through nanopores. This coating-assisted method offers a wide range of applications for SS nanopore detection and promotes the development of single-molecule detection.</t>
  </si>
  <si>
    <t>[Yang, Jing; Wang, Juan; Liu, Xuan; Liang, Yuan] North China Elect Power Univ, Sch Control &amp; Comp Engn, Beijing 102206, Peoples R China; [Chen, Yiming; Zhang, Cheng] Peking Univ, Sch Elect Engn &amp; Comp Sci, Beijing 100871, Peoples R China; [Wang, Qi; Jiang, Shuoxing] Nanjing Univ, Coll Engn &amp; Appl Sci, Dept Biomed Engn, Nanjing 210023, Jiangsu, Peoples R China</t>
  </si>
  <si>
    <t>North China Electric Power University; Peking University; Nanjing University</t>
  </si>
  <si>
    <t>Yang, J (corresponding author), North China Elect Power Univ, Sch Control &amp; Comp Engn, Beijing 102206, Peoples R China.;Zhang, C (corresponding author), Peking Univ, Sch Elect Engn &amp; Comp Sci, Beijing 100871, Peoples R China.;Jiang, SX (corresponding author), Nanjing Univ, Coll Engn &amp; Appl Sci, Dept Biomed Engn, Nanjing 210023, Jiangsu, Peoples R China.</t>
  </si>
  <si>
    <t>yjzcdd_2000@ncepu.edu.cn; jsx@nju.edu.cn; zhangcheng369@pku.edu.cn</t>
  </si>
  <si>
    <t>Wang, Qi/0009-0009-9693-5655; Yang, Jing/0000-0001-5481-7962</t>
  </si>
  <si>
    <t>National Key Research and Development Program of China [2021YFF1200103, 2017YFE0130600]; National Natural Science Foundation of China [62073133, 62273008, 31511090301]; Zhejiang Lab [2022RD0AB03]</t>
  </si>
  <si>
    <t>National Key Research and Development Program of China; National Natural Science Foundation of China(National Natural Science Foundation of China (NSFC)); Zhejiang Lab</t>
  </si>
  <si>
    <t>J.W. contributed equally to this work. This work was supported by the National Key Research and Development Program of China (2021YFF1200103 and 2017YFE0130600 to C.Z.), the National Natural Science Foundation of China (62073133 and 62273008 to J.Y. and C.Z.), Pre-Research Project (31511090301 to C.Z.), and Zhejiang Lab (no. 2022RD0AB03 to C.Z.).</t>
  </si>
  <si>
    <t>10.1002/smll.202303715</t>
  </si>
  <si>
    <t>N3VC7</t>
  </si>
  <si>
    <t>WOS:001036318900001</t>
  </si>
  <si>
    <t>Yin, XL; Liu, XM; Xiao, XY; Yi, KY; Chen, WG; Han, C; Wang, L; Li, Y; Liu, J</t>
  </si>
  <si>
    <t>Yin, Xiaolin; Liu, Xiumei; Xiao, Xiangyi; Yi, Kaiyu; Chen, Weigong; Han, Chao; Wang, Liang; Li, Ying; Liu, Jing</t>
  </si>
  <si>
    <t>Human neural stem cells repress glioma cell progression in a paracrine manner by downregulating the Wnt/beta-catenin signalling pathway</t>
  </si>
  <si>
    <t>conditioned medium; glioma; human neural stem cells; invasion; proliferation</t>
  </si>
  <si>
    <t>CONDITIONED MEDIUM; BETA-CATENIN; EXPRESSION; DICKKOPF-1; CARCINOMA; INHIBIT; FOXM1; MET</t>
  </si>
  <si>
    <t>Neural stem cells (NSCs) play crucial roles in neurological disorders and tissue injury repair through exerting paracrine effects. However, the effects of NSC-derived factors on glioma progression remain unclear. This study aimed to evaluate the effects of human NSC-conditioned medium (NSC-CM) on the behaviour of glioma cells using an in vitro co-culture system. Cell counting kit-8 and 5-ethynyl-2'-deoxyuridine assays revealed that NSC-CM inhibited glioma cell proliferation and growth in a fetal bovine serum (FBS)-independent manner. In addition, our wound-healing assay demonstrated that NSC-CM repressed glioma cell migration, while results from transwell and 3D spheroid invasion assays indicated that NSC-CM also reduced the invasion capacity of glioma cells. Flow cytometry showed that NSC-CM prevented cell cycle progression from the G1 to S phase and promoted apoptosis. Western blotting was used to show that the expression of Wnt/beta-catenin pathway-related proteins, including beta-catenin, c-Myc, cyclin D1, CD44 and Met, was remarkably decreased in NSC-CM-treated glioma cells. Furthermore, the addition of a Wnt/beta-catenin pathway activator, CHIR99021, significantly induced the expression of beta-catenin and Met and increased the proliferative and invasive capabilities of control medium-treated glioma cells but not those of NSC-CM-treated glioma cells. The use of enzyme-linked immunosorbent assays (ELISA) revealed the secretion of some antitumour factors in human and rat NSCs, including interferon-a and dickkopf-1. Our data suggest that NSC-CM partially inhibits glioma cell progression by downregulating Wnt/beta-catenin signalling. This study may serve as a basis for developing future antiglioma therapies based on NSC derivatives.</t>
  </si>
  <si>
    <t>[Yin, Xiaolin; Xiao, Xiangyi; Yi, Kaiyu; Han, Chao; Wang, Liang; Li, Ying; Liu, Jing] Dalian Med Univ, Affiliated Hosp 1, Stem Cell Clin Res Ctr, Regenerat Med Ctr,Natl Joint Engn Lab, Dalian, Peoples R China; [Liu, Xiumei; Chen, Weigong] Dalian Innovat Inst Stem Cell &amp; Precis Med, Dalian, Peoples R China; [Li, Ying; Liu, Jing] Dalian Med Univ, Affiliated Hosp 1, Stem Cell Clin Res Ctr, Regenerat Med Ctr,Natl Joint Engn Lab, Dalian 116000, Peoples R China; [Li, Ying; Liu, Jing] Dalian Innovat Inst Stem Cell &amp; Precis Med, Dalian 116000, Peoples R China</t>
  </si>
  <si>
    <t>Dalian Medical University; Dalian Medical University</t>
  </si>
  <si>
    <t>Li, Y; Liu, J (corresponding author), Dalian Med Univ, Affiliated Hosp 1, Stem Cell Clin Res Ctr, Regenerat Med Ctr,Natl Joint Engn Lab, Dalian 116000, Peoples R China.;Li, Y; Liu, J (corresponding author), Dalian Innovat Inst Stem Cell &amp; Precis Med, Dalian 116000, Peoples R China.</t>
  </si>
  <si>
    <t>liying_xx@163.com; liujing@dmu.edu.cn</t>
  </si>
  <si>
    <t>han, chao/JCP-2682-2023; wang, KiKi/JFZ-3334-2023</t>
  </si>
  <si>
    <t>han, chao/0000-0003-2593-3934;</t>
  </si>
  <si>
    <t>Program of the China National Health Commission; National Medical Products Administration [CMR-20161129-1003]; Liaoning Province Excellent Talent Program Project [XLYC1902031]; National Natural Science Foundation of China [81802819]</t>
  </si>
  <si>
    <t>Program of the China National Health Commission; National Medical Products Administration; Liaoning Province Excellent Talent Program Project; National Natural Science Foundation of China(National Natural Science Foundation of China (NSFC))</t>
  </si>
  <si>
    <t>The authors thank Dr. Zou Wei at Liaoning Normal University for her help in revising this manuscript. This study was supported by the Program of the China National Health Commission and National Medical Products Administration (No. CMR-20161129-1003), the Liaoning Province Excellent Talent Program Project (no. XLYC1902031) and the National Natural Science Foundation of China (No. 81802819).</t>
  </si>
  <si>
    <t>10.1002/2211-5463.13671</t>
  </si>
  <si>
    <t>WOS:001037392400001</t>
  </si>
  <si>
    <t>Zhang, X; Wang, L; Pan, T; Wu, XX; Shen, JB; Jiang, LW; Tajima, H; Blumwald, E; Qiu, QS</t>
  </si>
  <si>
    <t>Zhang, Xiao; Wang, Lu; Pan, Ting; Wu, Xuexia; Shen, Jinbo; Jiang, Liwen; Tajima, Hiromi; Blumwald, Eduardo; Qiu, Quan-Sheng</t>
  </si>
  <si>
    <t>Plastid KEA-type cation/H+ antiporters are required for vacuolar protein trafficking in Arabidopsis</t>
  </si>
  <si>
    <t>Arabidopsis; K+ homeostasis; plastid antiporters; plastid stromule; pH; protein trafficking</t>
  </si>
  <si>
    <t>ENDOPLASMIC-RETICULUM; STORAGE PROTEINS; SORTING RECEPTOR; PH REGULATION; TRANSPORT; GOLGI; SEED; STROMULES; EXCHANGERS; PATHWAYS</t>
  </si>
  <si>
    <t>Arabidopsis plastid antiporters KEA1 and KEA2 are critical for plastid development, photosynthetic efficiency, and plant development. Here, we show that KEA1 and KEA2 are involved in vacuolar protein trafficking. Genetic analyses found that the kea1 kea2 mutants had short siliques, small seeds, and short seedlings. Molecular and biochemical assays showed that seed storage proteins were missorted out of the cell and the precursor proteins were accumulated in kea1 kea2. Protein storage vacuoles (PSVs) were smaller in kea1 kea2. Further analyses showed that endosomal trafficking in kea1 kea2 was compromised. Vacuolar sorting receptor 1 (VSR1) subcellular localizations, VSR-cargo interactions, and p24 distribution on the endoplasmic reticulum (ER) and Golgi apparatus were affected in kea1 kea2. Moreover, plastid stromule growth was reduced and plastid association with the endomembrane compartments was disrupted in kea1 kea2. Stromule growth was regulated by the cellular pH and K+ homeostasis maintained by KEA1 and KEA2. The organellar pH along the trafficking pathway was altered in kea1 kea2. Overall, KEA1 and KEA2 regulate vacuolar trafficking by controlling the function of plastid stromules via adjusting pH and K+ homeostasis.</t>
  </si>
  <si>
    <t>[Zhang, Xiao; Wang, Lu; Pan, Ting; Wu, Xuexia; Qiu, Quan-Sheng] Lanzhou Univ, Sch Life Sci, MOE Key Lab Cell Act &amp; Stress Adaptat, 73000, Lanzhou, Peoples R China; [Zhang, Xiao; Wang, Lu; Qiu, Quan-Sheng] Qinghai Normal Univ, Acad Plateau Sci &amp; Sustainabil, Sch Life Sci, Xining 810000, Peoples R China; [Zhang, Xiao; Wang, Lu; Qiu, Quan-Sheng] Guangdong Ocean Univ, Coll Coastal Agr Sci, Zhanjiang 524088, Peoples R China; [Wang, Lu; Qiu, Quan-Sheng] Lanzhou Univ, State Key Lab Herbage Improvement &amp; Grassland Agro, Lanzhou 730000, Peoples R China; [Shen, Jinbo] Zhejiang A&amp;F Univ, State Key Lab Subtrop Silviculture, Hangzhou 311300, Peoples R China; [Jiang, Liwen] Chinese Univ Hong Kong, Ctr Cell &amp; Dev Biol, Sch Life Sci, Hong Kong, Peoples R China; [Jiang, Liwen] Chinese Univ Hong Kong, State Key Lab Agrobiotechnol, Hong Kong, Peoples R China; [Tajima, Hiromi; Blumwald, Eduardo] Univ Calif Davis, Dept Plant Sci, Davis, CA 95616 USA</t>
  </si>
  <si>
    <t>Lanzhou University; Qinghai Normal University; Guangdong Ocean University; Lanzhou University; Zhejiang A&amp;F University; Chinese University of Hong Kong; Chinese University of Hong Kong; University of California System; University of California Davis</t>
  </si>
  <si>
    <t>Qiu, QS (corresponding author), Lanzhou Univ, Sch Life Sci, MOE Key Lab Cell Act &amp; Stress Adaptat, 73000, Lanzhou, Peoples R China.;Qiu, QS (corresponding author), Qinghai Normal Univ, Acad Plateau Sci &amp; Sustainabil, Sch Life Sci, Xining 810000, Peoples R China.;Qiu, QS (corresponding author), Guangdong Ocean Univ, Coll Coastal Agr Sci, Zhanjiang 524088, Peoples R China.;Qiu, QS (corresponding author), Lanzhou Univ, State Key Lab Herbage Improvement &amp; Grassland Agro, Lanzhou 730000, Peoples R China.</t>
  </si>
  <si>
    <t>qiuqsh@lzu.edu.cn</t>
  </si>
  <si>
    <t>National Natural Science Foundation of China (NSFC) [31571464, 31371438, 31070222]; National Basic Research Program of China (973) project [2013CB429904]; Research Fund for the Doctoral Program of Higher Education of China (RFDP) [20130211110001]; Research Team of Stress Tolerance Mechanisms and Molecular Breeding of Plateau Plants, Qinghai Province Kunlun Talents.Advanced Innovative and Entrepreneurial Talents Program (2022); Qinghai Provincial Department of Science and Technology Qinghai basic research program [202202]; Independent Research and Development Project of State Key Laboratory of Herbage Improvement and Grassland Agro-ecosystems; Core Facility of School of Life Sciences, Lanzhou University; [2022-ZJ-724]</t>
  </si>
  <si>
    <t>National Natural Science Foundation of China (NSFC)(National Natural Science Foundation of China (NSFC)); National Basic Research Program of China (973) project(National Basic Research Program of China); Research Fund for the Doctoral Program of Higher Education of China (RFDP)(Research Fund for the Doctoral Program of Higher Education of China (RFDP)Specialized Research Fund for the Doctoral Program of Higher Education (SRFDP)); Research Team of Stress Tolerance Mechanisms and Molecular Breeding of Plateau Plants, Qinghai Province Kunlun Talents.Advanced Innovative and Entrepreneurial Talents Program (2022); Qinghai Provincial Department of Science and Technology Qinghai basic research program; Independent Research and Development Project of State Key Laboratory of Herbage Improvement and Grassland Agro-ecosystems; Core Facility of School of Life Sciences, Lanzhou University;</t>
  </si>
  <si>
    <t>We thank Dr. Shigeru Utsumi for the SP-GFP-CT24 plasmid and anti-12S globulin and anti-2S albumin antibodies, Dr. Jia Li for the pBIB-GFP vector, and Wei Shen for technical help. This work was supported by the National Natural Science Foundation of China (NSFC) (31571464, 31371438, 31070222 to Quan-Sheng Qiu), the National Basic Research Program of China (973) project, 2013CB429904 to Quan-Sheng Qiu), the Research Fund for the Doctoral Program of Higher Education of China (RFDP) (20130211110001 to Quan-Sheng Qiu), Research Team of Stress Tolerance Mechanisms and Molecular Breeding of Plateau Plants, Qinghai Province Kunlun Talents.Advanced Innovative and Entrepreneurial Talents Program (2022 to Quan-Sheng Qiu), the Qinghai Provincial Department of Science and Technology Qinghai basic research program (2022-ZJ-724 to Quan-Sheng Qiu), the Independent Research and Development Project of State Key Laboratory of Herbage Improvement and Grassland Agro-ecosystems (202202 to Quan-Sheng Qiu), and the Core Facility of School of Life Sciences, Lanzhou University.</t>
  </si>
  <si>
    <t>10.1111/jipb.13537</t>
  </si>
  <si>
    <t>N2VN6</t>
  </si>
  <si>
    <t>WOS:001035653200001</t>
  </si>
  <si>
    <t>Zhao, FY; Shi, L; Huang, YL; Wang, Y; Yu, MF; Wang, HM</t>
  </si>
  <si>
    <t>Zhao, Feiya; Shi, Lei; Huang, Yilun; Wang, Yu; Yu, Mengfei; Wang, Huiming</t>
  </si>
  <si>
    <t>Adjacent tooth migration after maxillary first molar loss in patients with sinus augmentation: A retrospective research</t>
  </si>
  <si>
    <t>antagonistic teeth; distal adjacent teeth; maxillary posterior edentulous gap; migration rate; tooth migration</t>
  </si>
  <si>
    <t>UNOPPOSED MOLARS; BONE TURNOVER; VOXEL SIZE; ACCURACY; MOVEMENT; POSITION; TEETH; CBCT; RECONSTRUCTIONS; OVERERUPTION</t>
  </si>
  <si>
    <t>PurposeThe objectives of this study are to: (1) investigate the extent of antagonistic and distal neighboring tooth migration in the maxillary posterior single tooth-missing site during the healing period of bone augmentation and implant surgery; (2) identify factors associated with tooth migration. Materials and methodsOne hundred and forty-three cases that lost the maxillary first molar were included, and their CBCT data during the edentulous period were obtained. Dentition models were reconstructed from CBCT, and superimpositions were performed, followed by measuring migration distances and calculating migration rates of antagonistic and distal neighboring teeth. Factors were analyzed using multivariate generalized estimating equations (GEE). ResultsThe mean migration distances were 208 &amp; PLUSMN; 137 &amp; mu;m and 403 &amp; PLUSMN; 605 &amp; mu;m for antagonistic teeth and distal teeth, and the mean migration rates were 26.8 &amp; PLUSMN; 21.2 &amp; mu;m/month and 48.5 &amp; PLUSMN; 76.7 &amp; mu;m/month, respectively. One hundred and nineteen out of 143 distal neighboring teeth migrated toward the edentulous site, and all antagonistic teeth migrated occlusally. Occlusal contact loss and chronic apical periodontitis both significantly accelerated antagonistic tooth migration (p &lt; 0.05), the latter also accelerated distal tooth migration (p &lt; 0.05). Besides, the displacement of the distal teeth was somewhat accelerated by the impacted adjacent third molar and root protrusion into the sinus. ConclusionsThe neighboring teeth tend to migrate toward the edentulous gap in the maxillary posterior region. Occlusal contact loss and chronic apical periodontitis are two significant risk factors for accelerating antagonistic tooth migration, and for distal teeth, chronic apical periodontitis is the risk factor. The impacted adjacent third molar and root protrusion into the sinus are also potential risk factors for accelerating the migration of the maxillary distal tooth. Thus, to prevent maxillary edentulous gap reduction, the factors mentioned above should be taken into consideration when planning treatment flow.</t>
  </si>
  <si>
    <t>[Zhao, Feiya; Shi, Lei; Huang, Yilun; Wang, Yu; Yu, Mengfei; Wang, Huiming] Zhejiang Univ, Canc Ctr, Engn Res Ctr Oral Biomat &amp; Devices Zhejiang Prov, Key Lab Oral Biomed Res Zhejiang Prov,Stomatol Hos, Hangzhou, Peoples R China; [Wang, Yu; Yu, Mengfei] Zhejiang Univ, Stomatol Hosp, Sch Stomatol, Dept Oral Implantol, 166 Qiutaobei Rd, Hangzhou 310017, Zhejiang, Peoples R China</t>
  </si>
  <si>
    <t>Zhejiang University; Zhejiang University</t>
  </si>
  <si>
    <t>Wang, Y; Yu, MF (corresponding author), Zhejiang Univ, Stomatol Hosp, Sch Stomatol, Dept Oral Implantol, 166 Qiutaobei Rd, Hangzhou 310017, Zhejiang, Peoples R China.</t>
  </si>
  <si>
    <t>wangyuzju@zju.edu.cn; yumengfei@zju.edu.cn</t>
  </si>
  <si>
    <t>Zhao, Feiya/0000-0001-7159-1934</t>
  </si>
  <si>
    <t>National Natural Science Foundation of China [8212200044, 82071085, 81800934]; Zhejiang Provincial Natural Science Foundation of China [LR21H140001, LHDMY23H070003]</t>
  </si>
  <si>
    <t>National Natural Science Foundation of China(National Natural Science Foundation of China (NSFC)); Zhejiang Provincial Natural Science Foundation of China(Natural Science Foundation of Zhejiang Province)</t>
  </si>
  <si>
    <t>ACKNOWLEDGMENTS Thanks to Bin Feng for technical instruction; thanks to Xin Ye, Xiaowen Yu and Qi Li for their meaningful discussion and help. This work was financially supported by the following programs: National Natural Science Foundation of China (8212200044, 82071085, 81800934), Zhejiang Provincial Natural Science Foundation of China (LR21H140001, LHDMY23H070003).</t>
  </si>
  <si>
    <t>10.1111/cid.13250</t>
  </si>
  <si>
    <t>N0DH2</t>
  </si>
  <si>
    <t>WOS:001033821200001</t>
  </si>
  <si>
    <t>Barbosa, AFA; de Lima, CO; Antunes, BR; Sassone, LM; Versiani, MA; da Silva, EJNL</t>
  </si>
  <si>
    <t>Barbosa, Ana Flavia Almeida; de Lima, Carolina Oliveira; Antunes, Bernardo Rempto; Sassone, Luciana Moura; Versiani, Marco Aurelio; da Silva, Emmanuel Joao Nogueira Leal</t>
  </si>
  <si>
    <t>Effect of the progressive taper enlargement of buccal root canals of three-rooted maxillary molars: A stepwise micro-CT study</t>
  </si>
  <si>
    <t>AUSTRALIAN ENDODONTIC JOURNAL</t>
  </si>
  <si>
    <t>dentine thickness; maxillary molar; micro-computed tomography; root canal preparation; rotary motion</t>
  </si>
  <si>
    <t>2ND MESIOBUCCAL CANALS; COMPUTED-TOMOGRAPHY; 1ST MOLARS; INSTRUMENTS; PREVALENCE; EFFICACY</t>
  </si>
  <si>
    <t>This study evaluated unprepared canal areas, volume of dentine removal, and dentine thickness after the progressive enlargement of the buccal canals of 22 maxillary molars, with and without the MB2, using instruments with the same tip size (0.25 mm) but 4 different tapers (0.03, 0.05, 0.06 and 0.08 v). Micro-CT scans were performed after each instrument. Data were compared using a general linear mixed model post hoc comparisons with Kenward-Roger for Wald F tests (a = 5%). After each treatment step, it was observed an increase in the percentage volume of removed dentine and a decrease in the unprepared areas and dentine thickness at the pericervical region of all canals (p &lt; 0.05). The percentage reduction of dentine thickness in MB2 canal was higher than in the mesiobuccal and distobuccal canals (p &lt; 0.05). Knowledge of pre-operative dimensions and dentine thickness before enlargement of buccal canals of maxillary molars is an important factor to avoid excessive dentine removal.</t>
  </si>
  <si>
    <t>[Barbosa, Ana Flavia Almeida; de Lima, Carolina Oliveira; da Silva, Emmanuel Joao Nogueira Leal] Univ Estado Rio De Janeiro, Dept Endodont, Rio De Janeiro, Brazil; [Barbosa, Ana Flavia Almeida; Antunes, Bernardo Rempto; da Silva, Emmanuel Joao Nogueira Leal] Grande Rio Univ UNIGRANRIO, Sch Dent, Dept Endodont, Rio De Janeiro, Brazil; [de Lima, Carolina Oliveira] Univ Fed Juiz de Fora, Dept Dent, Governador Valadares, Brazil; [Versiani, Marco Aurelio] Oral Hlth Ctr, Brazilian Mil Police, Belo Horizonte, MG, Brazil; [da Silva, Emmanuel Joao Nogueira Leal] State Univ Rio Janeiro, Dept Endodont, Rua Herotides Oliveira, 61-902, Niteroi, RJ, Brazil</t>
  </si>
  <si>
    <t>Universidade do Estado do Rio de Janeiro; Universidade do Grande Rio; Universidade Federal de Juiz de Fora; Universidade do Estado do Rio de Janeiro</t>
  </si>
  <si>
    <t>da Silva, EJNL (corresponding author), State Univ Rio Janeiro, Dept Endodont, Rua Herotides Oliveira, 61-902, Niteroi, RJ, Brazil.</t>
  </si>
  <si>
    <t>nogueiraemmanuel@hotmail.com</t>
  </si>
  <si>
    <t>Versiani, Marco Aurélio/G-2514-2010; de Lima, Carolina O/J-1330-2017; Silva, Emmanuel J. N. L./E-8603-2013; Sassone, Luciana M/O-6454-2018</t>
  </si>
  <si>
    <t>Versiani, Marco Aurélio/0000-0001-5277-9827; de Lima, Carolina O/0000-0003-2132-4373; Silva, Emmanuel J. N. L./0000-0002-6445-8243; Sassone, Luciana M/0000-0002-6181-7490</t>
  </si>
  <si>
    <t>CAPES [001]</t>
  </si>
  <si>
    <t>CAPES(Coordenacao de Aperfeicoamento de Pessoal de Nivel Superior (CAPES))</t>
  </si>
  <si>
    <t>ACKNOWLEDGEMENTS The authors deny any conflicts of interest related to this study. This study was partially funded by CAPES (n.001).</t>
  </si>
  <si>
    <t>1329-1947</t>
  </si>
  <si>
    <t>1747-4477</t>
  </si>
  <si>
    <t>AUST ENDOD J</t>
  </si>
  <si>
    <t>Aust. Endod. J.</t>
  </si>
  <si>
    <t>2023 JUL 25</t>
  </si>
  <si>
    <t>10.1111/aej.12782</t>
  </si>
  <si>
    <t>M9TZ1</t>
  </si>
  <si>
    <t>WOS:001033578400001</t>
  </si>
  <si>
    <t>Bogota-Gregory, JD; Jenkins, DG; Lima, FCT; Magurran, AE; Crampton, WGR</t>
  </si>
  <si>
    <t>Bogota-Gregory, Juan D. D.; Jenkins, David G. G.; Lima, Flavio C. T.; Magurran, Anne E. E.; Crampton, William G. R.</t>
  </si>
  <si>
    <t>Geomorphological habitat type drives variation in temporal species turnover but not temporal nestedness in Amazonian fish assemblages</t>
  </si>
  <si>
    <t>OIKOS</t>
  </si>
  <si>
    <t>community ecology; beta-deviation; beta-diversity; dispersal; flood pulse; null model</t>
  </si>
  <si>
    <t>DIVERSITY; VARIABILITY; PHYLOGEOGRAPHY; BIOGEOGRAPHY; DISTURBANCE; ABUNDANCE; DYNAMICS; RATES; LAKES</t>
  </si>
  <si>
    <t>Explaining the mechanisms underlying spatial and temporal variation in community composition is a major challenge. Nevertheless, the processes controlling temporal variation at a site (i.e. temporal beta-diversity, including its turnover and nestedness components) are less understood than those affecting variation among sites (i.e. spatial beta-diversity). Short-term temporal turnover (e.g. throughout an annual cycle) is expected to correlate positively with seasonal environmental variability and landscape connectivity, but also species pool size (gamma-diversity). We use the megadiverse Amazonian freshwater ichthyofauna as a model to ask whether seasonality and landscape connectivity drive variation in temporal species turnover among geomorphological habitat types, while accounting for between-habitat variation in gamma-diversity. We collected 11 397 fish representing 260 species during a year-long sampling program from an area containing the lowland Amazon's four major geomorphological habitat types: rivers, floodplains, terra firme streams, and shield streams. River-floodplain systems exhibit strong but predictable seasonality (via a high-amplitude annual flood pulse), high connectivity, and high species richness with many rare species. Terra firme and shield streams exhibit low seasonality, low connectivity, and low species richness with proportionally fewer rare species. Based on these parameters we predicted that river-floodplain systems should have higher temporal turnover than stream systems. Using a null model approach combined with beta-deviation calculations, we confirmed that rivers and floodplains do exhibit higher turnover (but not nestedness) than terra firme and shield streams, even when controlling for the potentially confounding effect of higher species richness in river-floodplain systems. All habitats exhibit low temporal nestedness, indicating that short-term changes in community composition result primarily from temporal species turnover. Our results provide a timely reminder that efforts to conserve the Amazon's threatened aquatic biodiversity should account for the distinct temporal dynamics of habitat types and variation in hydrological seasonality.</t>
  </si>
  <si>
    <t>[Bogota-Gregory, Juan D. D.; Jenkins, David G. G.; Crampton, William G. R.] Univ Cent Florida, Dept Biol, Orlando, FL 32816 USA; [Bogota-Gregory, Juan D. D.] SINCHI Amazonian Sci Res Inst, Aquat Ecosyst Grp, Leticia, Amazonas, Colombia; [Lima, Flavio C. T.] Univ Estadual Campinas, Museu Zool, Cidade Univ, Campinas, SP, Brazil; [Magurran, Anne E. E.] Univ St Andrews, Sch Biol, St Andrews, Fife, Scotland</t>
  </si>
  <si>
    <t>State University System of Florida; University of Central Florida; Universidade Estadual de Campinas; Universidade de Sao Paulo; University of St Andrews</t>
  </si>
  <si>
    <t>Crampton, WGR (corresponding author), Univ Cent Florida, Dept Biol, Orlando, FL 32816 USA.</t>
  </si>
  <si>
    <t>crampton@ucf.edu</t>
  </si>
  <si>
    <t>Magurran, Anne/0000-0002-0036-2795</t>
  </si>
  <si>
    <t>US National Science Foundation [DEB-1146374]; Leverhulme Trust [RPG-2019-402]</t>
  </si>
  <si>
    <t>US National Science Foundation(National Science Foundation (NSF)); Leverhulme Trust(Leverhulme Trust)</t>
  </si>
  <si>
    <t>- This project was funded by US National Science Foundation grant no. DEB-1146374 (Aquatic Faunal Survey of the Lower Amazon) to WGRC. AEM acknowledges support from the Leverhulme Trust (RPG-2019-402).</t>
  </si>
  <si>
    <t>0030-1299</t>
  </si>
  <si>
    <t>1600-0706</t>
  </si>
  <si>
    <t>Oikos</t>
  </si>
  <si>
    <t>e09967</t>
  </si>
  <si>
    <t>10.1111/oik.09967</t>
  </si>
  <si>
    <t>N2VW0</t>
  </si>
  <si>
    <t>WOS:001035661600001</t>
  </si>
  <si>
    <t>Carnes, CM; Deb, P; O'Brien, J</t>
  </si>
  <si>
    <t>Carnes, Christina Matz; Deb, Palash; O'Brien, Jonathan</t>
  </si>
  <si>
    <t>I Want to Marry Rich: Why Cash Makes You a Desirable Partner</t>
  </si>
  <si>
    <t>JOURNAL OF MANAGEMENT STUDIES</t>
  </si>
  <si>
    <t>behavioural uncertainty; cash; exchange hazards; strategic resiliency; transaction costs</t>
  </si>
  <si>
    <t>RESEARCH-AND-DEVELOPMENT; FIRM PERFORMANCE; SLACK RESOURCES; RISK-TAKING; CORPORATE GOVERNANCE; STRATEGIC ALLIANCES; COMPETITIVE ACTION; CAPITAL STRUCTURE; MARKET; UNCERTAINTY</t>
  </si>
  <si>
    <t>Both academics and practitioners frequently argue that 'excessive' firm cash reserves are likely to be squandered and thus may actually be detrimental to firm performance. Contrary to this narrative, we show that large cash reserves can have strong benefits for firms. Specifically, being cash-rich helps firms form more strategic partnerships because cash helps assure potential partners that the focal firm will be able to adapt to unfolding contingencies. This assurance is particularly relevant in industry conditions that make disruptions either more likely or more costly. We explain how such disruptions arise due to uncertainty about partners' behaviours and thereby extend the literature in the area of transaction cost economics by shifting the focus from intentional opportunism to encompass unintentional factors that can impede a firm's ability to honour partnership agreements. This shift highlights a beneficial role of excess cash that is often overshadowed by the popular narrative on its wastefulness.</t>
  </si>
  <si>
    <t>[Carnes, Christina Matz] Indiana Univ, Bloomington, IN USA; [Deb, Palash] North Carolina A&amp;T State Univ, Greensboro, NC USA; [O'Brien, Jonathan] Univ Nebraska, Lincoln, NE USA; [Carnes, Christina Matz] Indiana Univ, Kelley Sch Business, 1309 E 10th St, Bloomington, IN 47405 USA</t>
  </si>
  <si>
    <t>Indiana University System; Indiana University Bloomington; University of North Carolina; North Carolina A&amp;T State University; University of Nebraska System; University of Nebraska Lincoln; Indiana University System; Indiana University Bloomington; IU Kelley School of Business</t>
  </si>
  <si>
    <t>Carnes, CM (corresponding author), Indiana Univ, Kelley Sch Business, 1309 E 10th St, Bloomington, IN 47405 USA.</t>
  </si>
  <si>
    <t>chcarnes@iu.edu</t>
  </si>
  <si>
    <t>Carnes, Christina/0000-0002-5310-8416</t>
  </si>
  <si>
    <t>0022-2380</t>
  </si>
  <si>
    <t>1467-6486</t>
  </si>
  <si>
    <t>J MANAGE STUD</t>
  </si>
  <si>
    <t>J. Manage. Stud.</t>
  </si>
  <si>
    <t>10.1111/joms.12980</t>
  </si>
  <si>
    <t>N1ZY2</t>
  </si>
  <si>
    <t>WOS:001035088300001</t>
  </si>
  <si>
    <t>Chen, XD; Zheng, YX; Wang, G; Wang, YZ; Luo, XR; Pan, QH; Wang, ZG; Ping, WZ</t>
  </si>
  <si>
    <t>Chen, Xiaodong; Zheng, Yongxian; Wang, Guo; Wang, Yanzhi; Luo, Xiangrong; Pan, Qianhong; Wang, Zhiguo; Ping, Wanzhuo</t>
  </si>
  <si>
    <t>Pore structure and fluid mobility of tight carbonate reservoirs in the Western Qaidam Basin, China</t>
  </si>
  <si>
    <t>algal limestone; carbonate reservoir; pore structure; Qaidam Basin; seepage</t>
  </si>
  <si>
    <t>RESIDUAL OIL DISTRIBUTION; NON-DARCY FLOW; SHALE; NMR; PERMEABILITY; PERFORMANCE; CURVES</t>
  </si>
  <si>
    <t>Tight carbonate reservoirs in the Western Qaidam Basin have complex lithologies and pore structures. The oil-water mobility law in reservoirs has not yet been completely determined, restricting the formulation of rational reservoir development methods. To bridge this gap, in this study, we used several test methods, such as casting thin sections, mercury intrusion, and nuclear magnetic resonance, to obtain the pore structure and oil-water displacement characteristics of tight carbonate reservoirs in the Western Qaidam Basin. The pore structures of the reservoirs could be categorized into three types: microfractures + dissolved pores + micropores (MFD), microfractures + micropores (MF), and matrix (M). The characteristics of single-phase oil seepage and water flooding in reservoirs with various pore structures differed evidently. For the MF- and M-types, the water-locking effect caused by the strong capillary force affected oil charging in the micropores. The effect of the pressure drop on the MFD-type algal limestone was less than that on the MF-type limestone (dolomite) because of the occurrence of a non-Darcy flow. The MFD-type, which contained microfractures, had preferential seepage channels, resulting in obvious fluid channeling and low water displacement efficiency. Oil(-)water displacement mainly occurred in the dissolved pores and microfractures, suggesting that starting oil accumulation in the micropores was crucial. This study will assist in efficient development of tight carbonate reservoirs in the Western Qaidam Basin.</t>
  </si>
  <si>
    <t>[Chen, Xiaodong] China Univ Petr, Coll Geosci, Beijing, Peoples R China; [Chen, Xiaodong; Zheng, Yongxian; Wang, Guo; Wang, Yanzhi] PetroChina Qinghai Oilfield Co, Res Inst Explorat &amp; Dev, Qinghai Prov Key Lab Plateau Saline Lacustrine Bas, Dunhuang, Gansu, Peoples R China; [Luo, Xiangrong; Ping, Wanzhuo] Xian Shiyou Univ, Engn Res Ctr Dev &amp; Management Low Extralow Permeab, Shaanxi Key Lab Adv Stimulat Technol Oil &amp; Gas Res, Sch Petr Engn,Minist Educ, Xian, Shaanxi, Peoples R China; [Pan, Qianhong] Xian Changqing Chem Grp Co Ltd, Xian, Peoples R China; [Wang, Zhiguo] Xian Shiyou Univ, New Energy Coll, Xian Key Lab Wellbore Integr Evaluat, Xian, Shaanxi, Peoples R China; [Luo, Xiangrong] Xian Shiyou Univ, Sch Petr Engn, 18 East Sect Second Dianzi Rd, Xian 710065, Shaanxi, Peoples R China</t>
  </si>
  <si>
    <t>China University of Petroleum; China National Petroleum Corporation; Xi'an Shiyou University; Xi'an Shiyou University; Xi'an Shiyou University</t>
  </si>
  <si>
    <t>Luo, XR (corresponding author), Xian Shiyou Univ, Sch Petr Engn, 18 East Sect Second Dianzi Rd, Xian 710065, Shaanxi, Peoples R China.</t>
  </si>
  <si>
    <t>xiangrong_luo@163.com</t>
  </si>
  <si>
    <t>zhan, y/ISA-2807-2023; Wang, Zhiguo/AAD-3483-2020</t>
  </si>
  <si>
    <t>Wang, Zhiguo/0000-0002-3628-8275</t>
  </si>
  <si>
    <t>National Natural Science Foundation of China [51741407, 52074220]; Shaanxi Province Natural Science Basic Research Program [2021JQ-599]; National Major Research Program for Science and Technology of China [2016ZX05050006]</t>
  </si>
  <si>
    <t>National Natural Science Foundation of China(National Natural Science Foundation of China (NSFC)); Shaanxi Province Natural Science Basic Research Program; National Major Research Program for Science and Technology of China</t>
  </si>
  <si>
    <t>ACKNOWLEDGMENTS This research was funded by the National Natural Science Foundation of China (Grant Nos. 51741407 and 52074220), Shaanxi Province Natural Science Basic Research Program (Grant No. 2021JQ-599), and National Major Research Program for Science and Technology of China (Grant No. 2016ZX05050006).</t>
  </si>
  <si>
    <t>10.1002/ese3.1527</t>
  </si>
  <si>
    <t>M7UB0</t>
  </si>
  <si>
    <t>WOS:001032219400001</t>
  </si>
  <si>
    <t>Dixon, AM</t>
  </si>
  <si>
    <t>Dixon, Agnieszka M.</t>
  </si>
  <si>
    <t>The Role of Early Trauma in the Formation of Belief in Reptilian Conspiracy Theories: A Psychoanalytic Perspective</t>
  </si>
  <si>
    <t>PSYCHOANALYTIC THEORY; PSYCHIC RETREAT; OVERVALUED IDEAS; CONSPIRACY THEORIES; REPTILIAN CONSPIRACY</t>
  </si>
  <si>
    <t>This paper investigates whether conspiracy theories arising during the COVID-19 pandemic are linked to early trauma or a specific organization of the mind. Using the Reptilian conspiracy theory as an example, the paper proposes that belief in conspiracy theories can activate unresolved memories of trauma and serve as a mediator between the psyche and intrusive content. Classic psychoanalytic concepts, as well as more modern ideas from Britton and Steiner, are explored to understand the role of early trauma and inner object relations dynamics in the development of Belief in Reptilian Conspiracy Theories (BiCT). The concept of apres-coup is introduced to explain how newer responses to familiar psychic experiences may shape beliefs in conspiracies. Additionally, the paper proposes that belief in conspiracy theories can function as a psychic retreat. Two clinical cases are presented to illustrate these ideas while maintaining anonymity.</t>
  </si>
  <si>
    <t>[Dixon, Agnieszka M.] Tavistock Clin, Tavistock, England; [Dixon, Agnieszka M.] NHS trusts, London, England; [Dixon, Agnieszka M.] Devon Partnership Trust, Exeter, England; [Dixon, Agnieszka M.] Somerset Trust, Somerset, PA USA; [Dixon, Agnieszka M.] NELFT Trust, Ilford, England; [Dixon, Agnieszka M.] Springfield Hosp, Chelmsford, England; [Dixon, Agnieszka M.] Polish Psychologists Assoc, London, England; [Dixon, Agnieszka M.] Exeter Univ, Exeter, England</t>
  </si>
  <si>
    <t>Dixon, AM (corresponding author), Tavistock Clin, Tavistock, England.</t>
  </si>
  <si>
    <t>agdix@icloud.com</t>
  </si>
  <si>
    <t>10.1111/bjp.12856</t>
  </si>
  <si>
    <t>N3ZA0</t>
  </si>
  <si>
    <t>WOS:001036420200001</t>
  </si>
  <si>
    <t>Fan, CF; Gong, K; Liu, BC; Liu, YF; Liu, Q</t>
  </si>
  <si>
    <t>Fan, Chunfeng; Gong, Ke; Liu, Baichao; Liu, Yufang; Liu, Qing</t>
  </si>
  <si>
    <t>Highly-selective microstrip bandpass filters based on new dual-mode fan-shape patch resonators</t>
  </si>
  <si>
    <t>band-pass filters; microstrip filters</t>
  </si>
  <si>
    <t>CAVITY</t>
  </si>
  <si>
    <t>A design method for highly-selective bandpass filters based on novel dual-mode fan-shaped patch resonator (FSPR) is presented in this article. Different from traditional dual-mode patch filters, two higher-order modes TM020 and TM110 are utilised to generate a passband, and the two resonant frequencies can be controlled well by its radius and angle. A dual-mode filter with two transmission zeros (TZs) is implemented by using one FSPR, and locations of TZs can be controlled well. To further improve the selectivity of FSPR filters, four-pole filters based on two identical dual-mode FSPRs with co-directional and reverse-directional cascade are simulated, fabricated and measured. Furthermore, three- and four-pole filters based on dual-mode FSPR and single-mode uniform impedance resonators are proposed, which are also simulated, fabricated, and measured. The later proposed filters not only achieve high selectivity and wide stopband, but also have simple structure and small size.</t>
  </si>
  <si>
    <t>[Fan, Chunfeng; Liu, Baichao; Liu, Yufang] Henan Normal Univ, Sch Phys, Henan Key Lab Infrared Mat Spectrum Measures &amp; App, Xinxiang, Peoples R China; [Fan, Chunfeng; Gong, Ke] Xinyang Normal Univ, Sch Phys &amp; Elect Engn, Xinyang, Peoples R China; [Liu, Qing] PLA Strateg Support Informat Engn Univ, Dept Electromagnet Wave &amp; Antenna Propagat, Zhengzhou, Peoples R China; [Gong, Ke] Xinyang Normal Univ, Sch Phys &amp; Elect Engn, South Lake Rd 237, Xinyang 464000, Peoples R China; [Liu, Yufang] Henan Normal Univ, Sch Phys, Jianshe East Rd 46, Xinxiang 453007, Peoples R China</t>
  </si>
  <si>
    <t>Henan Normal University; Xinyang Normal University; PLA Information Engineering University; Xinyang Normal University; Henan Normal University</t>
  </si>
  <si>
    <t>Gong, K (corresponding author), Xinyang Normal Univ, Sch Phys &amp; Elect Engn, South Lake Rd 237, Xinyang 464000, Peoples R China.;Liu, YF (corresponding author), Henan Normal Univ, Sch Phys, Jianshe East Rd 46, Xinxiang 453007, Peoples R China.</t>
  </si>
  <si>
    <t>gongkexynu@163.com; liuyufang2005@126.com</t>
  </si>
  <si>
    <t>National Natural Science Foundation of China [62201617, 61974127]</t>
  </si>
  <si>
    <t>ACKNOWLEDGEMENTS This work was supported in part by the National Natural Science Foundation of China under Grant 62201617 and 61974127.</t>
  </si>
  <si>
    <t>10.1049/mia2.12395</t>
  </si>
  <si>
    <t>O5ZH3</t>
  </si>
  <si>
    <t>WOS:001032333500001</t>
  </si>
  <si>
    <t>Garg, A; Shukla, AN</t>
  </si>
  <si>
    <t>Garg, Arti; Shukla, Achuta Nand</t>
  </si>
  <si>
    <t>A new hemiparasitic species of Pedicularis (Orobanchaceae) from North Sikkim, India</t>
  </si>
  <si>
    <t>NORDIC JOURNAL OF BOTANY</t>
  </si>
  <si>
    <t>caespitose; Katao; North Sikkim district; novelty; Orobanchaceae; Pedicularis revealiana; rocky soil</t>
  </si>
  <si>
    <t>L.; HIMALAYAS</t>
  </si>
  <si>
    <t>The new species Pedicularis revealiana, is described from Katao in Sikkim Himalaya, India. The new species is hemiparasitic and possesses a combination of characters which makes it unique among all Pedicularis species as it has a perennial caespitose habit, stout and woody stems with decumbent branches and congested internodes, evanescent radical leaves and smaller and fewer cauline leaves with linear pinnae, 3-5 flowered and subcapitate or fascicled inflorescence, pedicillate bracts, minute flowers, hairy calyx with crestate-dentate and recurved lobes, stipitate and arcuate galea with truncate apex and papillose surface, gland-dotted labium with very large lateral lobes, unequal filament pairs inserted near top of the corolla tube, stipitate stigma which is bilobed and woolly and monocolpate pollen grains which are large and fusiform in shape with rugulose-punctate surface. With these combination of characters, it is differentiated from the only allied species Pedicularis gracilis.</t>
  </si>
  <si>
    <t>[Garg, Arti; Shukla, Achuta Nand] Bot Survey India, Cent Reg Ctr, Allahabad, Uttar Pradesh, India</t>
  </si>
  <si>
    <t>Botanical Survey of India (BSI)</t>
  </si>
  <si>
    <t>Garg, A (corresponding author), Bot Survey India, Cent Reg Ctr, Allahabad, Uttar Pradesh, India.</t>
  </si>
  <si>
    <t>artibsi.garg@gmail.com</t>
  </si>
  <si>
    <t>GARG, ARTI/0000-0002-7731-0037</t>
  </si>
  <si>
    <t>0107-055X</t>
  </si>
  <si>
    <t>1756-1051</t>
  </si>
  <si>
    <t>NORD J BOT</t>
  </si>
  <si>
    <t>Nord. J. Bot.</t>
  </si>
  <si>
    <t>10.1111/njb.03966</t>
  </si>
  <si>
    <t>S2QD1</t>
  </si>
  <si>
    <t>WOS:001034551900001</t>
  </si>
  <si>
    <t>Khoong, EC; Sherwin, EB; Harrison, JD; Wheeler, M; Shah, SJ; Mourad, M; Khanna, R</t>
  </si>
  <si>
    <t>Khoong, Elaine C.; Sherwin, Elizabeth B.; Harrison, James D.; Wheeler, Margaret; Shah, Sachin J. J.; Mourad, Michelle; Khanna, Raman</t>
  </si>
  <si>
    <t>Impact of standardized, language-concordant hospital discharge instructions on postdischarge medication questions</t>
  </si>
  <si>
    <t>Written instructions improve patient comprehension of discharge instructions but are often provided only in English even for patients with a non-English language preference (NELP). We implemented standardized written discharge instructions in English, Spanish, and Chinese for hospital medicine patients at an urban academic medical center. Using an interrupted time series analysis, we assessed the impact on medication-related postdischarge questions for patients with English, Spanish, or Chinese language preferences. Of 4013 patients, &amp; SIM;15% had NELP. Preintervention, Chinese-preferring patients had a 5.6 percentage point higher probability of questions (adjusted odds ratio [aOR] = 1.55, 95% confidence interval [CI]: 1.08, 2.21) compared to English-preferring patients; Spanish-preferring and English-preferring patients had similar rates of questions. Postintervention, English-preferring and Spanish-preferring patients had no significant change; Chinese-preferring patients had a significant 10.9 percentage point decrease in the probability of questions (aOR = 0.38, 95% CI: 0.21, 0.69) thereby closing the disparity. Language-concordant written discharge instructions may reduce disparities in medication-related postdischarge questions for patients with NELP.</t>
  </si>
  <si>
    <t>[Khoong, Elaine C.] Univ Calif San Francisco, Div Gen Internal Med, Dept Med, San Francisco Gen Hosp, 2540 23rd St,Room 4708, San Francisco, CA 94110 USA; [Khoong, Elaine C.] Univ Calif San Francisco, UCSF Ctr Vulnerable Populat, San Francisco Gen Hosp, San Francisco, CA 94110 USA; [Sherwin, Elizabeth B.] Univ Calif San Francisco, Dept Epidemiol &amp; Biostat, San Francisco, CA 94110 USA; [Harrison, James D.; Mourad, Michelle; Khanna, Raman] Univ Calif San Francisco, Div Hosp Med, Dept Med, San Francisco, CA 94110 USA; [Wheeler, Margaret] Univ Calif San Francisco, Off Populat Hlth, San Francisco, CA 94110 USA; [Shah, Sachin J. J.] Massachusets Gen Hosp, Div Gen Internal Med, Boston, MA USA; [Shah, Sachin J. J.] Harvard Med Sch, Boston, MA USA</t>
  </si>
  <si>
    <t>San Francisco General Hospital Medical Center; University of California System; University of California San Francisco; University of California System; University of California San Francisco; San Francisco General Hospital Medical Center; University of California System; University of California San Francisco; University of California System; University of California San Francisco; University of California System; University of California San Francisco; Harvard University; Massachusetts General Hospital; Harvard University; Harvard Medical School</t>
  </si>
  <si>
    <t>Khoong, EC (corresponding author), Univ Calif San Francisco, Div Gen Internal Med, Dept Med, San Francisco Gen Hosp, 2540 23rd St,Room 4708, San Francisco, CA 94110 USA.</t>
  </si>
  <si>
    <t>elaine.khoong@ucsf.edu</t>
  </si>
  <si>
    <t>Mourad, Michelle/0000-0002-4299-0802; Harrison, James/0000-0002-7761-7039</t>
  </si>
  <si>
    <t>National Center for Advancing Translational Sciences [KL2TR001870, T32HP19025]; National Heart Lung and Blood Institute of the NIH under Award [K23HL157750]; National Institute Of Aging of the National Institutes of Health under Award [K01AG073533]</t>
  </si>
  <si>
    <t>National Center for Advancing Translational Sciences(United States Department of Health &amp; Human ServicesNational Institutes of Health (NIH) - USANIH National Center for Advancing Translational Sciences (NCATS)); National Heart Lung and Blood Institute of the NIH under Award; National Institute Of Aging of the National Institutes of Health under Award</t>
  </si>
  <si>
    <t>National Center for Advancing Translational Sciences, Grant/Award Numbers:KL2TR001870, T32HP19025; National Heart Lung and Blood Institute of the NIH under Award, Grant/Award Number: K23HL157750;National Institute Of Aging of the National Institutes of Health under Award, Grant/Award Number: K01AG073533</t>
  </si>
  <si>
    <t>10.1002/jhm.13172</t>
  </si>
  <si>
    <t>WOS:001035200200001</t>
  </si>
  <si>
    <t>Liu, DG; Xu, ZY; Yu, HZ; Fu, Y</t>
  </si>
  <si>
    <t>Liu, DeGuang; Xu, ZheYuan; Yu, HaiZhu; Fu, Yao</t>
  </si>
  <si>
    <t>Recent DFT Calculations on the Mechanism of Transition-Metal-Catalyzed C-O Activation of Alcohols</t>
  </si>
  <si>
    <t>DFT; C-O bond activation; alcohols; transition metal catalysis; mechanistic study</t>
  </si>
  <si>
    <t>ALLYLIC ALCOHOLS; NONCOVALENT INTERACTIONS; PROPARGYLIC ALCOHOLS; ALPHA-ALLYLATION; PHOSPHORIC-ACID; PALLADIUM; AMINATION; RADICALS; ESTERS; WATER</t>
  </si>
  <si>
    <t>In recent decades, density functional theory (DFT) calculations have been extensively employed to investigate the mechanism of transition metal-catalyzed C-O activation reactions. These studies provide valuable insights into the structure-reactivity/selectivity correlations via theoretical simulations and energy profile analysis. Alcohols, a category of molecules that are readily available from biomass and are low cost, represent one of the most extensively studied compounds in organic synthesis. In this review, we provide a brief overview of the DFT studies conducted since 2017 on the C-OH bond activation of alcohols catalyzed by transition metals. Specifically, the activation can be mainly divided into four categories: free radical cleavage, metal insertion, nucleophilic attack, and &amp; beta;-OH elimination. We will also cover some promising strategies and give a perspective regarding future research directions in this field.</t>
  </si>
  <si>
    <t>[Liu, DeGuang; Xu, ZheYuan; Fu, Yao] Univ Sci &amp; Technol China, Hefei Comprehens Natl Sci Ctr, Hefei Natl Lab Phys Sci Microscale, CAS Key Lab Urban Pollutant Convers,Anhui Prov Key, Hefei 230026, Peoples R China; [Yu, HaiZhu] Anhui Univ, Ctr Atom Engn Adv Mat, Dept Chem, Anhui Provence Key Lab Chem Inorgan Organ Hybrid F, Hefei 230601, Peoples R China</t>
  </si>
  <si>
    <t>Chinese Academy of Sciences; University of Science &amp; Technology of China, CAS; Anhui University</t>
  </si>
  <si>
    <t>Fu, Y (corresponding author), Univ Sci &amp; Technol China, Hefei Comprehens Natl Sci Ctr, Hefei Natl Lab Phys Sci Microscale, CAS Key Lab Urban Pollutant Convers,Anhui Prov Key, Hefei 230026, Peoples R China.;Yu, HZ (corresponding author), Anhui Univ, Ctr Atom Engn Adv Mat, Dept Chem, Anhui Provence Key Lab Chem Inorgan Organ Hybrid F, Hefei 230601, Peoples R China.</t>
  </si>
  <si>
    <t>yuhaizhu@ahu.edu.cn; fuyao@ustc.edu.cn</t>
  </si>
  <si>
    <t>Yu, Haizhu/0000-0001-8259-6466; Liu, De-Guang/0000-0003-1249-7280</t>
  </si>
  <si>
    <t>National Natural Science Foundation of China [21732006, 51821006, 21927814]; CAS Collaborative Innovation Program of Hefei Science Center [2021HSC-CIP004]; University Synergy Innovation Program of Anhui Province [GXXT-2021-023]</t>
  </si>
  <si>
    <t>National Natural Science Foundation of China(National Natural Science Foundation of China (NSFC)); CAS Collaborative Innovation Program of Hefei Science Center; University Synergy Innovation Program of Anhui Province</t>
  </si>
  <si>
    <t>Acknowledgments Financial support was received from the National Natural Science Foundation of China (21732006, 51821006, and 21927814) and the CAS Collaborative Innovation Program of Hefei Science Center (2021HSC-CIP004). The University Synergy Innovation Program of Anhui Province (GXXT-2021-023).</t>
  </si>
  <si>
    <t>10.1002/cctc.202300589</t>
  </si>
  <si>
    <t>M8DV3</t>
  </si>
  <si>
    <t>WOS:001032475200001</t>
  </si>
  <si>
    <t>Luna-Flores, CH; Weng, YL; Wang, ALXD; Chen, XJ; Peng, BY; Zhao, CX; Navone, L; von Hellens, J; Speight, RE</t>
  </si>
  <si>
    <t>Luna-Flores, Carlos H. H.; Weng, Yilun; Wang, Alexander; Chen, Xiaojing; Peng, Bingyin; Zhao, Chun-Xia; Navone, Laura; von Hellens, Juhani; Speight, Robert E. E.</t>
  </si>
  <si>
    <t>Improving phytase production in Pichia pastoris fermentations through de-repression and methanol induction optimization</t>
  </si>
  <si>
    <t>BIOTECHNOLOGY AND BIOENGINEERING</t>
  </si>
  <si>
    <t>bidirectional promoter; continuous culture; fed-batch; kinetic model</t>
  </si>
  <si>
    <t>GROWTH-RATE; PROTEIN-PRODUCTION; EXPRESSION; THERMOSTABILITY; GENE; APPA; STABILITY; SECRETION; CULTURE; SITE</t>
  </si>
  <si>
    <t>Pichia pastoris (Komagataella phaffii) is a fast-growing methylotrophic yeast with the ability to assimilate several carbon sources such as methanol, glucose, or glycerol. It has been shown to have outstanding secretion capability with a variety of heterologous proteins. In previous studies, we engineered P. pastoris to co-express Escherichia coli AppA phytase and the HAC1 transcriptional activator using a bidirectional promoter. Phytase production was characterized in shake flasks and did not reflect industrial conditions. In the present study, phytase expression was explored and optimized using instrumented fermenters in continuous and fed-batch modes. First, the production of phytase was investigated under glucose de-repression in continuous culture at three dilution factors, 0.5 d(-1), 1 d(-1), and 1.5 d(-1). The fermenter parameters of these cultures were used to inform a kinetic model in batch and fed-batch modes for growth and phytase production. The kinetic model developed aided to design the glucose-feeding profile of a fed-batch culture. Kinetic model simulations under glucose de-repression and fed-batch conditions identified optimal phytase productivity at the specific growth rate of 0.041 h(-1). Validation of the model simulation with experimental data confirmed the feasibility of the model to predict phytase production in our newly engineered strain. Methanol was used only to induce the expression of phytase at high cell densities. Our results showed that high phytase production required two stages, the first stage used glucose under de-repression conditions to generate biomass while expressing phytase, and stage two used methanol to induce phytase expression. The production of phytase was improved 3.5-fold by methanol induction compared to the expression with glucose alone under de-repression conditions to a final phytase activity of 12.65 MU/L. This final volumetric phytase production represented an approximate 36-fold change compared to the flask fermentations. Finally, the phytase protein produced was assayed to confirm its molecular weight, and pH and temperature profiles. This study highlights the importance of optimizing protein production in P. pastoris when using novel promoters and presents a general approach to performing bioprocess optimization in this important production host.</t>
  </si>
  <si>
    <t>[Luna-Flores, Carlos H. H.; Peng, Bingyin; Navone, Laura; Speight, Robert E. E.] Queensland Univ Technol QUT, Fac Sci, Brisbane, Qld, Australia; [Weng, Yilun; Zhao, Chun-Xia] Univ Queensland UQ, Australian Inst Bioengn &amp; Nanotechnol, Brisbane, Qld, Australia; [Wang, Alexander; Chen, Xiaojing; von Hellens, Juhani] Bioproton Pty Ltd, Brisbane, Qld, Australia; [Peng, Bingyin; Speight, Robert E. E.] Queensland Univ Technol QUT, ARC Ctr Excellence Synthet Biol, Brisbane, Qld, Australia; [Zhao, Chun-Xia] Univ Adelaide, Sch Chem Engn &amp; Adv Mat, Adelaide, SA, Australia; [Luna-Flores, Carlos H. H.] Queensalnd Univ Technol QUT, Brisbane, Qld 4000, Australia</t>
  </si>
  <si>
    <t>Queensland University of Technology (QUT); University of Queensland; Queensland University of Technology (QUT); University of Adelaide</t>
  </si>
  <si>
    <t>Luna-Flores, CH (corresponding author), Queensalnd Univ Technol QUT, Brisbane, Qld 4000, Australia.</t>
  </si>
  <si>
    <t>lunaflor@qut.edu.au</t>
  </si>
  <si>
    <t>Zhao, Chun-Xia/0000-0002-3365-3759; Weng, Yilun/0000-0003-4115-3735</t>
  </si>
  <si>
    <t>Advance Queensland Innovation Partnership Program; Ridley Agri Products Pty Ltd; Bioproton Pty Ltd; Kennedy Creek LimePty Ltd</t>
  </si>
  <si>
    <t>0006-3592</t>
  </si>
  <si>
    <t>1097-0290</t>
  </si>
  <si>
    <t>BIOTECHNOL BIOENG</t>
  </si>
  <si>
    <t>Biotechnol. Bioeng.</t>
  </si>
  <si>
    <t>10.1002/bit.28510</t>
  </si>
  <si>
    <t>Biotechnology &amp; Applied Microbiology</t>
  </si>
  <si>
    <t>N2CJ4</t>
  </si>
  <si>
    <t>WOS:001035151700001</t>
  </si>
  <si>
    <t>Luo, QZ; Xie, Y; Bao, YY; Wei, Y; Lin, CJ; Zhang, N; Ling, TY; Chen, K; Pan, WQ; Wu, LQ; Jin, Q</t>
  </si>
  <si>
    <t>Luo, Qingzhi; Xie, Yun; Bao, Yangyang; Wei, Yue; Lin, Changjian; Zhang, Ning; Ling, Tianyou; Chen, Kang; Pan, Wenqi; Wu, Liqun; Jin, Qi</t>
  </si>
  <si>
    <t>Different electrophysiological characteristics of cavo-tricuspid isthmus dependent atrial flutter guided by robotic magnetic navigation in patients with and without prior cardiac surgery</t>
  </si>
  <si>
    <t>atrial flutter; cardiac surgery; catheter ablation; cavotricuspid isthmus; robotic magnetic navigation</t>
  </si>
  <si>
    <t>CYCLE LENGTH; ABLATION; ARRHYTHMIAS; FIBRILLATION; TACHYCARDIA; MECHANISMS</t>
  </si>
  <si>
    <t>BackgroudCavo- tricuspid isthmus dependent atrial flutter (CTI- AFL) is a common atrial arrhythmia in patients with prior cardiac surgery (postsurgical AFL) and without prior cardiac surgery (nonsurgical AFL). However, there is only limited data regarding the eletrophysiological differences between the CTI- AFL in the postsurgical patients and the nonsurgical patients. HypothesisWe aimed to investigate the differences in clinical and electrophysiological characteristics between the postsurgical group and nonsurgical group and to evaluate the acute and long-term outcomes after ablation guided by robotic magnetic navigation (RMN) in both the groups. Methods Fourty-two consecutive patients with nonsurgical AFL and 21 with postsurgical AFL were retrospectively analyzed in our center. Electrocardiographic (ECG) analysis and three-dimensional electrophysiological study were performed in all the patients. ResultsThe results revealed that only 55.6% of postsurgical patients with proven counterclockwise (CCW) AFL presented with a typical ECG suggesting this mechanism. In contrast, 86.1% of nonsurgical patients demonstrated a typical ECG pattern for CCW AFL. In addition, we employed a reverse U-curve to facilitate radiofrequency delivery when ablating near the inferior vena cava ostium in the present study. Compared with the nonsurgical group, electroanatomical mapping showed the mean AFL cycle length was significantly longer (253.3 &amp; PLUSMN; 40.4 vs. 234.1 &amp; PLUSMN; 24.2 ms, p = 0.03) and the right atrium volume was larger (114.8 &amp; PLUSMN; 26.0 vs. 97.5 &amp; PLUSMN; 19.1 mL, p = 0.004) in the postsurgical group. Additionally, the procedural time (75.9 &amp; PLUSMN; 21.3 vs. 61.6 &amp; PLUSMN; 26.6 minutes, p = 0.03) and ablation time (53.0 &amp; PLUSMN; 21.4 vs. 36.7 &amp; PLUSMN; 25.6 minutes, p = 0.02) are much longer in the postsurgical group. However, the navigation index in the postsurgical group was significantly smaller (0.35 &amp; PLUSMN; 0.08 vs. 0.43 &amp; PLUSMN; 0.13, p = 0.01). Moreover, the acute and long-term success rates were comparable between the two groups. ConclusionsCatheter ablation of CTI-AFL with and without prior cardiac surgery guided by RMN are associated with high acute and long-term success rates, despite the procedural and ablation times are much longer in the postsurgical patients. However, ECG characteristics of the tachycardia may be misleading as they are more often atypical in patients after cardiac surgery.</t>
  </si>
  <si>
    <t>[Luo, Qingzhi; Xie, Yun; Bao, Yangyang; Wei, Yue; Lin, Changjian; Zhang, Ning; Ling, Tianyou; Chen, Kang; Pan, Wenqi; Wu, Liqun; Jin, Qi] Shanghai Jiao Tong Univ, Ruijin Hosp, Dept Cardiovasc Med, Sch Med, Shanghai, Peoples R China; [Jin, Qi] Ruijin Hosp, Dept Cardiovasc Med, 197 Ruijin Er Rd, Shanghai 200025, Peoples R China</t>
  </si>
  <si>
    <t>Jin, Q (corresponding author), Ruijin Hosp, Dept Cardiovasc Med, 197 Ruijin Er Rd, Shanghai 200025, Peoples R China.</t>
  </si>
  <si>
    <t>jinqi127@163.com</t>
  </si>
  <si>
    <t>Clinical Research Plan for Shanghai Hospital Development Center [SHD2020CR4096]</t>
  </si>
  <si>
    <t>Clinical Research Plan for Shanghai Hospital Development Center</t>
  </si>
  <si>
    <t>ACKNOWLEDGMENTS This work was supported by Clinical Research Plan for Shanghai Hospital Development Center (SHD2020CR4096) (to Dr. Jin).</t>
  </si>
  <si>
    <t>10.1002/clc.24098</t>
  </si>
  <si>
    <t>M8HC3</t>
  </si>
  <si>
    <t>WOS:001032560900001</t>
  </si>
  <si>
    <t>Mattia, D; Matney, C; Loeb, S; Neale, M; Lindblade, C; McLaughlin, ES; Rao, RS</t>
  </si>
  <si>
    <t>Mattia, Donald; Matney, Chelsea; Loeb, Sophie; Neale, Morgan; Lindblade, Christopher; Scheller McLaughlin, Ericka; Rao, Rashmi</t>
  </si>
  <si>
    <t>Prenatal detection of congenital heart disease: Recent experience across the state of Arizona</t>
  </si>
  <si>
    <t>PRENATAL DIAGNOSIS</t>
  </si>
  <si>
    <t>IMPACT</t>
  </si>
  <si>
    <t>ObjectiveTo determine the prenatal detection rate (PDR) of congenital heart disease (CHD) in Arizona as well as describe various factors that may influence detection rates. MethodsThis was a retrospective chart review using the Society of Thoracic Surgeons and Phoenix Children's Fetal Cardiology databases. We included all cases of CHD requiring surgery &lt;1 year of age between 2013 and 2018. A total of 1137 patients met the criteria, and various demographic, socioeconomic, and patient outcome data were collected. ResultsThe overall PDR was 58% with an improving detection rate over the course of our study, with the final year having a PDR of 67%. Over time, PDR improved in urban communities, but this was not seen in rural communities. Rural address, public insurance, and Native American ethnicity were associated with lower PDR. Postnatal outcomes, including Apgars, initial pH, and lactate, did not differ with the presence of a prenatal diagnosis. Diagnoses typically identified with the outflow tract and 3-vessel views on the fetal echocardiogram were less likely to be detected prenatally. ConclusionsThe PDR of CHD continues to improve with evolving technologies and guidelines. We highlight a discrepancy between urban, rural, and Native American populations. Additionally, by supplying descriptors of missed diagnosis and associated echocardiography views, we hope to provide data for future interventions.</t>
  </si>
  <si>
    <t>[Mattia, Donald; Matney, Chelsea; Loeb, Sophie; Neale, Morgan; Lindblade, Christopher; Scheller McLaughlin, Ericka; Rao, Rashmi] Phoenix Childrens Ctr Heart Care, Phoenix, AZ USA; [Lindblade, Christopher; Scheller McLaughlin, Ericka; Rao, Rashmi] Univ Arizona, Coll Med, Phoenix, AZ USA; [Rao, Rashmi] Cleveland Clin, Dept Pediat Cardiol, Cleveland, OH USA; [Mattia, Donald] 1919 E Thomas Rd, Phoenix, AZ 85016 USA</t>
  </si>
  <si>
    <t>University of Arizona; Cleveland Clinic Foundation</t>
  </si>
  <si>
    <t>Mattia, D (corresponding author), 1919 E Thomas Rd, Phoenix, AZ 85016 USA.</t>
  </si>
  <si>
    <t>djmattia14@gmail.com</t>
  </si>
  <si>
    <t>Mattia, Donald/0000-0002-0440-6249</t>
  </si>
  <si>
    <t>0197-3851</t>
  </si>
  <si>
    <t>1097-0223</t>
  </si>
  <si>
    <t>PRENATAL DIAG</t>
  </si>
  <si>
    <t>Prenat. Diagn.</t>
  </si>
  <si>
    <t>10.1002/pd.6409</t>
  </si>
  <si>
    <t>Genetics &amp; Heredity; Obstetrics &amp; Gynecology</t>
  </si>
  <si>
    <t>M8GS5</t>
  </si>
  <si>
    <t>WOS:001032551000001</t>
  </si>
  <si>
    <t>Nicholson, E; McDonnell, T; Conlon, C; De Brún, A; Doherty, E; Collins, C; Bury, G; McAuliffe, E</t>
  </si>
  <si>
    <t>Nicholson, Emma; McDonnell, Therese; Conlon, Ciara; De Brun, Aoife; Doherty, Edel; Collins, Claire; Bury, Gerard; McAuliffe, Eilish</t>
  </si>
  <si>
    <t>Factors that affect GP referral of a child with intellectual disability for a mild illness: A discrete choice experiment</t>
  </si>
  <si>
    <t>JOURNAL OF APPLIED RESEARCH IN INTELLECTUAL DISABILITIES</t>
  </si>
  <si>
    <t>children; emergency department; intellectual disabilities; primary care</t>
  </si>
  <si>
    <t>HEALTH-CARE; PEOPLE; INDIVIDUALS; DISPARITIES; ADMISSIONS; RATES</t>
  </si>
  <si>
    <t>BackgroundGeneral practitioners (GP) report multiple challenges when treating individuals with intellectual disabilities which may influence referral rates. The study aimed to establish factors that influence GP's decision-making when referring a child with intellectual disabilities to the emergency department. MethodDiscrete choice experiments (DCEs) are increasingly used in health research to further understand complex decision making. A DCE was designed to assess the relative importance of factors that may influence a GP's (N = 157) decision to refer. ResultsA random parameters model indicated that perceived limited parental capacity to manage an illness was the most important factor in the decision to refer a child to the ED, followed by a repeat visit, a referral request from the parent, and a Friday afternoon appointment. ConclusionUnderstanding the factors that influence referral is important for service improvement and to strengthen primary care provision for this population and their families.</t>
  </si>
  <si>
    <t>[Nicholson, Emma] Dublin City Univ, Sch Psychol, Dublin, Ireland; [Nicholson, Emma; McDonnell, Therese; Conlon, Ciara; De Brun, Aoife; McAuliffe, Eilish] Univ Coll Dublin, UCD Coll Hlth &amp; Agr Sci, UCD Ctr Interdisciplinary Res, UCD Sch Nursing Midwifery &amp; Hlth Syst,Educ &amp; Innov, Dublin, Ireland; [Doherty, Edel] Natl Univ Ireland Galway, JE Cairnes Sch Business &amp; Econ, Galway, Ireland; [Collins, Claire] Irish Coll Gen Practitioners, Dublin, Ireland; [Bury, Gerard] Univ Coll Dublin, UCD Coll Hlth &amp; Agr Sci, UCD Sch Med, Dublin, Ireland; [Conlon, Ciara] Univ Dublin, Trinity Coll Dublin, Acad Affairs Off, Dublin, Ireland; [Nicholson, Emma] Dublin City Univ, Sch Psychol, Glasnevin Campus, Dublin, Ireland</t>
  </si>
  <si>
    <t>Dublin City University; University College Dublin; Ollscoil na Gaillimhe-University of Galway; University College Dublin; Trinity College Dublin; Dublin City University</t>
  </si>
  <si>
    <t>Nicholson, E (corresponding author), Dublin City Univ, Sch Psychol, Glasnevin Campus, Dublin, Ireland.</t>
  </si>
  <si>
    <t>emma.nicholson@dcu.ie</t>
  </si>
  <si>
    <t>McAuliffe, Eilish/0000-0002-9714-5040</t>
  </si>
  <si>
    <t>1360-2322</t>
  </si>
  <si>
    <t>1468-3148</t>
  </si>
  <si>
    <t>J APPL RES INTELLECT</t>
  </si>
  <si>
    <t>J. Appl. Res. Intellect. Disabil.</t>
  </si>
  <si>
    <t>10.1111/jar.13143</t>
  </si>
  <si>
    <t>Psychology, Educational; Rehabilitation</t>
  </si>
  <si>
    <t>Psychology; Rehabilitation</t>
  </si>
  <si>
    <t>M8EN8</t>
  </si>
  <si>
    <t>WOS:001032493800001</t>
  </si>
  <si>
    <t>Osman, M; Koneru, G; Weber, A</t>
  </si>
  <si>
    <t>Osman, Marcus; Koneru, Gopala; Weber, Andrea</t>
  </si>
  <si>
    <t>Integrated care models for co-occurring alcohol use disorders and alcohol-associated liver disease in rural communities: Telehealth considerations and opportunities</t>
  </si>
  <si>
    <t>alcohol; integrated delivery system; liver disease; telehealth</t>
  </si>
  <si>
    <t>Alcohol use disorders (AUD) and alcohol-associated liver disease (ALD) have growing impacts on public health, yet many do not receive evidence-based care. People with co-occurring AUD and ALD, especially those in rural communities with less access to specialty care, are most in need of novel integrated care models. The use of telehealth to facilitate co-location within an integrated care model may help to improve access to AUD and ALD care while reducing barriers and improving recovery outcomes for both the substance use disorder and liver disease.</t>
  </si>
  <si>
    <t>[Osman, Marcus; Koneru, Gopala; Weber, Andrea] Univ Iowa, Dept Internal Med, Iowa City, IA USA; [Koneru, Gopala] Univ Iowa, Dept Gastroenterol &amp; Hepatol, Iowa City, IA USA; [Weber, Andrea] Univ Iowa, Dept Psychiat, Iowa City, IA USA; [Weber, Andrea] 500 Newton Rd,1-308 MEB, Iowa City, IA 52242 USA</t>
  </si>
  <si>
    <t>University of Iowa; University of Iowa; University of Iowa</t>
  </si>
  <si>
    <t>Weber, A (corresponding author), 500 Newton Rd,1-308 MEB, Iowa City, IA 52242 USA.</t>
  </si>
  <si>
    <t>andrea-n-weber@uiowa.edu</t>
  </si>
  <si>
    <t>Weber, Andrea/0000-0002-7124-776X</t>
  </si>
  <si>
    <t>Substance Abuse and Mental Health Services Administration (SAMHSA) [H79TI085118]</t>
  </si>
  <si>
    <t>Substance Abuse and Mental Health Services Administration (SAMHSA)(United States Department of Health &amp; Human Services)</t>
  </si>
  <si>
    <t>ACKNOWLEDGMENTS Support was provided by the Substance Abuse and Mental Health Services Administration (SAMHSA), H79TI085118, in the development of this commentary.</t>
  </si>
  <si>
    <t>10.1111/jrh.12784</t>
  </si>
  <si>
    <t>M9NT3</t>
  </si>
  <si>
    <t>WOS:001033415000001</t>
  </si>
  <si>
    <t>Pereira, S; Katzmarzyk, PT; Hedeker, D; Barreira, TV; Garganta, R; Farias, C; Garbeloto, F; Tani, G; Chaput, JP; Stodden, DF; Maia, J</t>
  </si>
  <si>
    <t>Pereira, Sara; Katzmarzyk, Peter T.; Hedeker, Donald; Barreira, Tiago V.; Garganta, Rui; Farias, Claudio; Garbeloto, Fernando; Tani, Go; Chaput, Jean-Philippe; Stodden, David F.; Maia, Jose</t>
  </si>
  <si>
    <t>Background, rationale, and methodological overview of the REACT project-return-to-action on growth, motor development, and health after the COVID-19 pandemic in primary school children</t>
  </si>
  <si>
    <t>AMERICAN JOURNAL OF HUMAN BIOLOGY</t>
  </si>
  <si>
    <t>AGED CHILDREN</t>
  </si>
  <si>
    <t>ObjectivesThe REACT project was designed around two main aims: (1) to assess children's growth and motor development after the COVID-19 pandemic and (2) to follow their fundamental movement skills' developmental trajectories over 18 months using a novel technological device (Meu Educativo &amp; REG;) in their physical education classes. In this introductory article, the first of the Journal's special issue dedicated to REACT, our goal was to present the project rationale, its methodology, training and certification of the team, statistical approach, quality control, governance, and study management. MethodsWe sampled 1000 children (6-10 years of age) from 25 of the 32 primary schools in Matosinhos, northern Portugal. The protocol included a set of variables clustered around the child (growth, physical fitness, fundamental movement skills, and health behaviors), family (demographics, socioeconomic status, parental support for sports participation and physical activity), school (policies and practices for health behaviors, infrastructure for physical education and sports practices), and neighborhood and home environments (safety, sidewalks, sports facilities, as well as children electronic devices and play equipment at home). A set of standard protocols were implemented in REACT together with a rigorous system of training and certification of all members of the research team. This was complemented with a pilot study to assess, in loco, the quality of data acquisition, data entry, and control. DiscussionResults from REACT will provide school administrators and teachers with novel and far-reaching information related to children's growth and motor development as well as health behaviors after the COVID-19 pandemic. It will also provide city-hall education officials with insight regarding children's physical fitness, fundamental movement skills, and sports practices that will be of great importance in devising novel intervention programs to increase health-enhancing physical activity, and combat sedentariness and obesity. Finally, it will offer parents a wealth of information regarding their children's growth, motor development, and health.</t>
  </si>
  <si>
    <t>[Pereira, Sara; Garganta, Rui; Farias, Claudio; Garbeloto, Fernando; Maia, Jose] Univ Porto, Fac Sport, Ctr Res Educ Innovat &amp; Intervent Sport CIFI2D, Porto, Portugal; [Pereira, Sara] Lusofona Univ, Fac Phys Educ &amp; Sports, Res Ctr Sport Phys Educ &amp; Exercise &amp; Hlth CIDEFES, Lisbon, Portugal; [Katzmarzyk, Peter T.] Pennington Biomed Res Ctr, Baton Rouge, LA USA; [Hedeker, Donald] Univ Chicago, Dept Publ Hlth Sci, Chicago, IL USA; [Barreira, Tiago V.] Syracuse Univ, Dept Exercise Sci, Syracuse, NY USA; [Tani, Go] Univ Sao Paulo, Sch Phys Educ &amp; Sports, Motor Behav Lab, Sao Paulo, Brazil; [Chaput, Jean-Philippe] Childrens Hosp Eastern Ontario Res Inst, Hlth Act Living &amp; Obes Res Grp, Ottawa, ON, Canada; [Stodden, David F.] Univ South Carolina, Dept Phys Educ, Columbia, SC USA; [Pereira, Sara] Univ Porto, Fac Sport, Ctr Res Educ Innovat &amp; Intervent Sport CIFI2D, P-4200450 Porto, Portugal</t>
  </si>
  <si>
    <t>Universidade do Porto; Lusofona University; Louisiana State University System; Louisiana State University; Pennington Biomedical Research Center; University of Chicago; Syracuse University; Universidade de Sao Paulo; University of Ottawa; Children's Hospital of Eastern Ontario; University of South Carolina System; University of South Carolina Columbia; Universidade do Porto</t>
  </si>
  <si>
    <t>Pereira, S (corresponding author), Univ Porto, Fac Sport, Ctr Res Educ Innovat &amp; Intervent Sport CIFI2D, P-4200450 Porto, Portugal.</t>
  </si>
  <si>
    <t>sarasp@fade.up.pt</t>
  </si>
  <si>
    <t>; Katzmarzyk, Peter/N-1974-2017</t>
  </si>
  <si>
    <t>Hedeker, Donald/0000-0001-8134-6094; Farias, Claudio/0000-0002-1364-0539; Barreira, Tiago/0000-0001-7108-3374; Katzmarzyk, Peter/0000-0002-9280-6022; Chaput, Jean-Philippe/0000-0002-5607-5736; Pereira, Sara/0000-0002-4661-3879</t>
  </si>
  <si>
    <t>1042-0533</t>
  </si>
  <si>
    <t>1520-6300</t>
  </si>
  <si>
    <t>AM J HUM BIOL</t>
  </si>
  <si>
    <t>Am. J. Hum. Biol.</t>
  </si>
  <si>
    <t>10.1002/ajhb.23968</t>
  </si>
  <si>
    <t>Anthropology; Biology</t>
  </si>
  <si>
    <t>Anthropology; Life Sciences &amp; Biomedicine - Other Topics</t>
  </si>
  <si>
    <t>M8GR9</t>
  </si>
  <si>
    <t>WOS:001032550400001</t>
  </si>
  <si>
    <t>Platjouw, FM; Nesheim, I; Enge, C</t>
  </si>
  <si>
    <t>Platjouw, Froukje Maria; Nesheim, Ingrid; Enge, Caroline</t>
  </si>
  <si>
    <t>Policy coherence for the protection of water resources against agricultural pollution in the EU and Norway</t>
  </si>
  <si>
    <t>REVIEW OF EUROPEAN COMPARATIVE &amp; INTERNATIONAL ENVIRONMENTAL LAW</t>
  </si>
  <si>
    <t>Throughout the European Union (EU), agricultural practices contribute significantly to the pollution of water resources by nitrates, phosphorus and pesticides. This article sheds light on the degree of horizontal legal coherence between the main EU legal and policy instruments applicable to the protection of water resources from agricultural pollution. After identifying key coherence challenges at the EU level, the article thoroughly assesses the regulatory and governance approach in Norway. The key question is how certain EU-level coherence challenges could be mitigated at a national level through mechanisms aimed at facilitating cross-sectoral coordination and policy coherence. Three types of mechanisms have been selected for this purpose: (i) legal mechanisms, including cross-referencing and joint institutional responsibility for implementation; (ii) the establishment of platforms for cross-sectoral policy coordination or actor participation; and (iii) the establishment of monitoring and reporting processes that ensure access to information and data sharing.</t>
  </si>
  <si>
    <t>[Platjouw, Froukje Maria; Nesheim, Ingrid; Enge, Caroline] Society, Norwegian Inst Water Res, Sect Water, Oslo, Norway</t>
  </si>
  <si>
    <t>Norwegian Institute for Water Research (NIVA)</t>
  </si>
  <si>
    <t>Platjouw, FM (corresponding author), Society, Norwegian Inst Water Res, Sect Water, Oslo, Norway.</t>
  </si>
  <si>
    <t>froukje.platjouw@niva.no</t>
  </si>
  <si>
    <t>Platjouw, Froukje Maria/0000-0001-9258-9235</t>
  </si>
  <si>
    <t>[727984]; [862756]</t>
  </si>
  <si>
    <t>;</t>
  </si>
  <si>
    <t>ACKNOWLEDGEMENTS This manuscript was based on research in the H2020 FAIRWAY project: Farm systems management and governance for producing good water quality for drinking water supplies (No. 727984). We also acknowledge the H2020 project OPTAIN (OPtimal strategies to retAIN and re-use water and nutrients in small agricultural catchments across different soil-climatic regions in Europe) (No. 862756). We thank all the informants for contributing with knowledge and for taking part in interviews and surveys.</t>
  </si>
  <si>
    <t>2050-0386</t>
  </si>
  <si>
    <t>2050-0394</t>
  </si>
  <si>
    <t>REV EUR COMP INT ENV</t>
  </si>
  <si>
    <t>Rev. Eur. Comp. Int. Environ.</t>
  </si>
  <si>
    <t>10.1111/reel.12509</t>
  </si>
  <si>
    <t>Environmental Studies; Law</t>
  </si>
  <si>
    <t>Environmental Sciences &amp; Ecology; Government &amp; Law</t>
  </si>
  <si>
    <t>M8RA0</t>
  </si>
  <si>
    <t>WOS:001032820700001</t>
  </si>
  <si>
    <t>Rao, Q; Yu, H; Li, RC; He, B; Wang, YX; Guo, XH; Zhao, G; Wu, FH</t>
  </si>
  <si>
    <t>Rao, Qi; Yu, He; Li, Ruochan; He, Bin; Wang, Yuxue; Guo, Xiaohong; Zhao, Gang; Wu, Fenghua</t>
  </si>
  <si>
    <t>Dihydroartemisinin inhibits angiogenesis in breast cancer via regulating VEGF and MMP-2/-9</t>
  </si>
  <si>
    <t>FUNDAMENTAL &amp; CLINICAL PHARMACOLOGY</t>
  </si>
  <si>
    <t>angiogenesis; dihydroartemisinin; MDA-MB-231; MMP-2/-9; NF-kappa B; VEGF</t>
  </si>
  <si>
    <t>TUMOR ANGIOGENESIS; GROWTH; METASTASIS; MODEL</t>
  </si>
  <si>
    <t>Background: Dihydroartemisinin (DHA) is an artemisinin derivative known for its antimalarial properties. It has also shown potential as an anti-tumor and anti-angiogenic agent. However, its specific role in inhibiting angiogenesis in breast cancer is not well understood. Objectives: We aimed to investigate the anti-angiogenesis effect of DHA on breast cancer and explore its potential as a therapeutic drug. Our objectives were to assess the impact of DHA on neovascularization induced by MDA-MB-231 cells, evaluate its effects on vessel sprout and tube-formation in vascular endothelial cells, and analyze the expression of key angiogenesis-related proteins. Methods: Using a chicken chorioallantoic membrane (CAM) model, we cultured MDA-MB-231 cells and treated them with DHA. We assessed neovascularization and cultured vascular endothelial cells with DHA-treated cell media to evaluate vessel sprout and tube-formation. Protein expression levels of VEGF, MMP-2, and MMP-9 were analyzed using Western blotting. Results: DHA significantly attenuated neovascularization induced by MDAMB-231 cells. It also suppressed vessel sprout and tube-formation of HUVEC cells when exposed to DHA-treated cell media. Furthermore, DHA downregulated the expression of VEGF, MMP-2, and MMP-9 proteins. Mechanistically, DHA inhibited the phosphorylation of PI3K, AKT, ERK, and NF-.B proteins in tumor cells. Conclusions: Our study provides evidence of the inhibitory effect of DHA on breast cancer angiogenesis. These findings support the potential of DHA as an anti-breast cancer drug and warrant further investigation for its therapeutic applications.</t>
  </si>
  <si>
    <t>[Rao, Qi; Yu, He; Li, Ruochan; He, Bin; Wang, Yuxue; Guo, Xiaohong; Zhao, Gang; Wu, Fenghua] Hubei Univ Chinese Med, Sch Basic Med, Wuhan, Hubei, Peoples R China; [Zhao, Gang; Wu, Fenghua] Hubei Univ Chinese Med, Sch Basic Med, 16 Huangjiahu West Rd, Wuhan 430065, Hubei, Peoples R China</t>
  </si>
  <si>
    <t>Hubei University of Chinese Medicine; Hubei University of Chinese Medicine</t>
  </si>
  <si>
    <t>Zhao, G; Wu, FH (corresponding author), Hubei Univ Chinese Med, Sch Basic Med, 16 Huangjiahu West Rd, Wuhan 430065, Hubei, Peoples R China.</t>
  </si>
  <si>
    <t>zgcc66@163.com; wfh0101@163.com</t>
  </si>
  <si>
    <t>National Science Foundation of China [81702920, 82174020]</t>
  </si>
  <si>
    <t>National Science Foundation of China(National Natural Science Foundation of China (NSFC))</t>
  </si>
  <si>
    <t>National Science Foundation of China, Grant/Award Numbers: 81702920, 82174020</t>
  </si>
  <si>
    <t>0767-3981</t>
  </si>
  <si>
    <t>1472-8206</t>
  </si>
  <si>
    <t>FUND CLIN PHARMACOL</t>
  </si>
  <si>
    <t>Fundam. Clin. Pharmacol.</t>
  </si>
  <si>
    <t>10.1111/fcp.12941</t>
  </si>
  <si>
    <t>N3RA1</t>
  </si>
  <si>
    <t>WOS:001036212000001</t>
  </si>
  <si>
    <t>Solomon, CT; Dugan, HA; Hintz, WD; Jones, SE</t>
  </si>
  <si>
    <t>Solomon, Christopher T.; Dugan, Hilary A.; Hintz, William D.; Jones, Stuart E.</t>
  </si>
  <si>
    <t>Upper limits for road salt pollution in lakes</t>
  </si>
  <si>
    <t>LIMNOLOGY AND OCEANOGRAPHY LETTERS</t>
  </si>
  <si>
    <t>FRESH-WATER; SALINIZATION; SALINITY; INCREASE; IMPACTS</t>
  </si>
  <si>
    <t>Widespread and increasing use of road deicing salt is a major driver of increasing lake chloride concentrations, which can negatively impact aquatic organisms and ecosystems. We used a simple model to explore the controls on road salt concentrations and predict equilibrium concentrations in lakes across the contiguous United States. The model suggests that equilibrium salt concentration depends on three quantities: salt application rate, road density, and runoff (precipitation minus evapotranspiration). High application combined with high road density leads to high equilibrium salt concentrations regardless of runoff. Yet if application can be held at current rates or reduced, concentrations in many lakes situated in lightly to moderately urbanized watersheds should equilibrate at levels below currently recommended thresholds. In particular, our model predicts that, given 2010-2015 road salt application rates, equilibrium chloride concentrations in the contiguous United States will exceed the current regulatory chronic exposure threshold of 230 mg L-1 in over 2000 lakes; will exceed 120 mg L-1 in over 9000 lakes; and will be below 120 mg L-1 in hundreds of thousands of lakes. Our analysis helps to contextualize current trends in road salt pollution of lakes, and suggests that stabilization of equilibrium chloride concentrations below thresholds designed to protect aquatic organisms should be an achievable goal.</t>
  </si>
  <si>
    <t>[Solomon, Christopher T.] Cary Inst Ecosyst Studies, Millbrook, NY 12545 USA; [Dugan, Hilary A.] Univ Wisconsin, Ctr Limnol, Madison, WI USA; [Hintz, William D.] Univ Toledo, Dept Environm Sci, Toledo, OH USA; [Hintz, William D.] Univ Toledo, Lake Erie Ctr, Toledo, OH USA; [Jones, Stuart E.] Univ Notre Dame, Dept Biol, Notre Dame, IN USA</t>
  </si>
  <si>
    <t>Cary Institute of Ecosystem Studies; University of Wisconsin System; University of Wisconsin Madison; University System of Ohio; University of Toledo; University System of Ohio; University of Toledo; University of Notre Dame</t>
  </si>
  <si>
    <t>Solomon, CT (corresponding author), Cary Inst Ecosyst Studies, Millbrook, NY 12545 USA.</t>
  </si>
  <si>
    <t>solomonc@caryinstitute.org</t>
  </si>
  <si>
    <t>; Solomon, Christopher/E-6284-2014</t>
  </si>
  <si>
    <t>Jones, Stuart/0000-0003-4740-6721; Hintz, William/0000-0002-9755-5314; Solomon, Christopher/0000-0002-2850-4257</t>
  </si>
  <si>
    <t>National Science Foundation [1637685, 1754363, 1754561, 1907683, 2144750]</t>
  </si>
  <si>
    <t>Acknowledgments Suggestions and critiques from Emily Bernhardt, Vicky Kelly, Gene Likens, Emma Rosi, and Kathie Weathers improved our thinking. This material is based on work supported in part by the National Science Foundation under grants 1637685, 1754363, 1754561, 1907683, and 2144750.</t>
  </si>
  <si>
    <t>2378-2242</t>
  </si>
  <si>
    <t>LIMNOL OCEANOGR LETT</t>
  </si>
  <si>
    <t>Limnol. Oceanogr. Lett.</t>
  </si>
  <si>
    <t>10.1002/lol2.10339</t>
  </si>
  <si>
    <t>Limnology; Marine &amp; Freshwater Biology; Oceanography</t>
  </si>
  <si>
    <t>M9WX9</t>
  </si>
  <si>
    <t>WOS:001033655200001</t>
  </si>
  <si>
    <t>Sun, D; Hua, XQ; Wang, LJ; Liu, DQ; Ma, N</t>
  </si>
  <si>
    <t>Sun, Dong; Hua, Xiuqin; Wang, Lijun; Liu, Daqing; Ma, Ning</t>
  </si>
  <si>
    <t>Temperature-Adaptive Modulation of Transverse Magnetic Intrinsic Graphene Plasmons</t>
  </si>
  <si>
    <t>PHYSICA STATUS SOLIDI B-BASIC SOLID STATE PHYSICS</t>
  </si>
  <si>
    <t>graphene plasmons; intrinsic graphene; temperature adaptive</t>
  </si>
  <si>
    <t>SURFACE-PLASMON; RESONANCE; POLARITONS; WAVES; GAP</t>
  </si>
  <si>
    <t>A method for modulating transverse magnetic intrinsic graphene plasmons by temperature is proposed. In contrast to existing 2D or 3D infinite graphene structures, an intrinsic graphene 3D finite structure with periodicity in all three directions is designed. At the matching point, where the dispersion curve of the intrinsic graphene plasmons intersects with that of electromagnetic radiation, the intrinsic graphene plasmons and electromagnetic radiation can be excited by each other; in other words, the plasmon can be excited by light without additional mechanisms. Furthermore, the influence of environment temperature on the matching point is shown. The study reveals that the plasmon modulation is adaptive to the temperature. These results are beneficial for the design of compact graphene-based optoelectronic devices.</t>
  </si>
  <si>
    <t>[Sun, Dong; Hua, Xiuqin; Wang, Lijun; Liu, Daqing] Changzhou Univ, Sch Microelect &amp; Control Engn, Changzhou 213164, Peoples R China; [Ma, Ning] Taiyuan Univ Technol, Coll Phys, Taiyuan 030024, Peoples R China</t>
  </si>
  <si>
    <t>Changzhou University; Taiyuan University of Technology</t>
  </si>
  <si>
    <t>Liu, DQ (corresponding author), Changzhou Univ, Sch Microelect &amp; Control Engn, Changzhou 213164, Peoples R China.</t>
  </si>
  <si>
    <t>liudq@cczu.edu.cn</t>
  </si>
  <si>
    <t>National Natural Science Foundation of China [21773181]</t>
  </si>
  <si>
    <t>Acknowledgements The National Natural Science Foundation of China (21773181) has financially supported this work.</t>
  </si>
  <si>
    <t>0370-1972</t>
  </si>
  <si>
    <t>1521-3951</t>
  </si>
  <si>
    <t>PHYS STATUS SOLIDI B</t>
  </si>
  <si>
    <t>Phys. Status Solidi B-Basic Solid State Phys.</t>
  </si>
  <si>
    <t>10.1002/pssb.202300256</t>
  </si>
  <si>
    <t>Physics, Condensed Matter</t>
  </si>
  <si>
    <t>M8QY8</t>
  </si>
  <si>
    <t>WOS:001032819400001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</si>
</sst>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1"/>
  <sheetViews>
    <sheetView tabSelected="1" workbookViewId="0"/>
  </sheetViews>
  <sheetFormatPr baseColWidth="10" defaultRowHeight="13" x14ac:dyDescent="0.15"/>
  <cols>
    <col min="1" max="256" width="8.83203125" customWidth="1"/>
  </cols>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74</v>
      </c>
      <c r="V2" t="s">
        <v>81</v>
      </c>
      <c r="W2" t="s">
        <v>82</v>
      </c>
      <c r="X2" t="s">
        <v>83</v>
      </c>
      <c r="Y2" t="s">
        <v>84</v>
      </c>
      <c r="Z2" t="s">
        <v>85</v>
      </c>
      <c r="AA2" t="s">
        <v>74</v>
      </c>
      <c r="AB2" t="s">
        <v>86</v>
      </c>
      <c r="AC2" t="s">
        <v>74</v>
      </c>
      <c r="AD2" t="s">
        <v>74</v>
      </c>
      <c r="AE2" t="s">
        <v>74</v>
      </c>
      <c r="AF2" t="s">
        <v>74</v>
      </c>
      <c r="AG2">
        <v>10</v>
      </c>
      <c r="AH2">
        <v>0</v>
      </c>
      <c r="AI2">
        <v>0</v>
      </c>
      <c r="AJ2">
        <v>2</v>
      </c>
      <c r="AK2">
        <v>2</v>
      </c>
      <c r="AL2" t="s">
        <v>87</v>
      </c>
      <c r="AM2" t="s">
        <v>88</v>
      </c>
      <c r="AN2" t="s">
        <v>89</v>
      </c>
      <c r="AO2" t="s">
        <v>90</v>
      </c>
      <c r="AP2" t="s">
        <v>74</v>
      </c>
      <c r="AQ2" t="s">
        <v>74</v>
      </c>
      <c r="AR2" t="s">
        <v>77</v>
      </c>
      <c r="AS2" t="s">
        <v>91</v>
      </c>
      <c r="AT2" t="s">
        <v>92</v>
      </c>
      <c r="AU2">
        <v>2024</v>
      </c>
      <c r="AV2">
        <v>4</v>
      </c>
      <c r="AW2">
        <v>1</v>
      </c>
      <c r="AX2" t="s">
        <v>74</v>
      </c>
      <c r="AY2" t="s">
        <v>74</v>
      </c>
      <c r="AZ2" t="s">
        <v>74</v>
      </c>
      <c r="BA2" t="s">
        <v>74</v>
      </c>
      <c r="BB2" t="s">
        <v>74</v>
      </c>
      <c r="BC2" t="s">
        <v>74</v>
      </c>
      <c r="BD2" t="s">
        <v>93</v>
      </c>
      <c r="BE2" t="s">
        <v>94</v>
      </c>
      <c r="BF2" t="str">
        <f>HYPERLINK("http://dx.doi.org/10.1002/deo2.260","http://dx.doi.org/10.1002/deo2.260")</f>
        <v>http://dx.doi.org/10.1002/deo2.260</v>
      </c>
      <c r="BG2" t="s">
        <v>74</v>
      </c>
      <c r="BH2" t="s">
        <v>74</v>
      </c>
      <c r="BI2">
        <v>6</v>
      </c>
      <c r="BJ2" t="s">
        <v>95</v>
      </c>
      <c r="BK2" t="s">
        <v>96</v>
      </c>
      <c r="BL2" t="s">
        <v>95</v>
      </c>
      <c r="BM2" t="s">
        <v>97</v>
      </c>
      <c r="BN2">
        <v>37409322</v>
      </c>
      <c r="BO2" t="s">
        <v>98</v>
      </c>
      <c r="BP2" t="s">
        <v>74</v>
      </c>
      <c r="BQ2" t="s">
        <v>74</v>
      </c>
      <c r="BR2" t="s">
        <v>99</v>
      </c>
      <c r="BS2" t="s">
        <v>100</v>
      </c>
      <c r="BT2" t="str">
        <f>HYPERLINK("https%3A%2F%2Fwww.webofscience.com%2Fwos%2Fwoscc%2Ffull-record%2FWOS:001018702900001","View Full Record in Web of Science")</f>
        <v>View Full Record in Web of Science</v>
      </c>
    </row>
    <row r="3" spans="1:72" x14ac:dyDescent="0.15">
      <c r="A3" t="s">
        <v>72</v>
      </c>
      <c r="B3" t="s">
        <v>101</v>
      </c>
      <c r="C3" t="s">
        <v>74</v>
      </c>
      <c r="D3" t="s">
        <v>74</v>
      </c>
      <c r="E3" t="s">
        <v>74</v>
      </c>
      <c r="F3" t="s">
        <v>102</v>
      </c>
      <c r="G3" t="s">
        <v>74</v>
      </c>
      <c r="H3" t="s">
        <v>74</v>
      </c>
      <c r="I3" t="s">
        <v>103</v>
      </c>
      <c r="J3" t="s">
        <v>104</v>
      </c>
      <c r="K3" t="s">
        <v>74</v>
      </c>
      <c r="L3" t="s">
        <v>74</v>
      </c>
      <c r="M3" t="s">
        <v>78</v>
      </c>
      <c r="N3" t="s">
        <v>79</v>
      </c>
      <c r="O3" t="s">
        <v>74</v>
      </c>
      <c r="P3" t="s">
        <v>74</v>
      </c>
      <c r="Q3" t="s">
        <v>74</v>
      </c>
      <c r="R3" t="s">
        <v>74</v>
      </c>
      <c r="S3" t="s">
        <v>74</v>
      </c>
      <c r="T3" t="s">
        <v>105</v>
      </c>
      <c r="U3" t="s">
        <v>106</v>
      </c>
      <c r="V3" t="s">
        <v>107</v>
      </c>
      <c r="W3" t="s">
        <v>108</v>
      </c>
      <c r="X3" t="s">
        <v>109</v>
      </c>
      <c r="Y3" t="s">
        <v>110</v>
      </c>
      <c r="Z3" t="s">
        <v>111</v>
      </c>
      <c r="AA3" t="s">
        <v>74</v>
      </c>
      <c r="AB3" t="s">
        <v>74</v>
      </c>
      <c r="AC3" t="s">
        <v>74</v>
      </c>
      <c r="AD3" t="s">
        <v>74</v>
      </c>
      <c r="AE3" t="s">
        <v>74</v>
      </c>
      <c r="AF3" t="s">
        <v>74</v>
      </c>
      <c r="AG3">
        <v>22</v>
      </c>
      <c r="AH3">
        <v>0</v>
      </c>
      <c r="AI3">
        <v>0</v>
      </c>
      <c r="AJ3">
        <v>5</v>
      </c>
      <c r="AK3">
        <v>6</v>
      </c>
      <c r="AL3" t="s">
        <v>87</v>
      </c>
      <c r="AM3" t="s">
        <v>88</v>
      </c>
      <c r="AN3" t="s">
        <v>89</v>
      </c>
      <c r="AO3" t="s">
        <v>112</v>
      </c>
      <c r="AP3" t="s">
        <v>74</v>
      </c>
      <c r="AQ3" t="s">
        <v>74</v>
      </c>
      <c r="AR3" t="s">
        <v>113</v>
      </c>
      <c r="AS3" t="s">
        <v>114</v>
      </c>
      <c r="AT3" t="s">
        <v>115</v>
      </c>
      <c r="AU3">
        <v>2023</v>
      </c>
      <c r="AV3">
        <v>12</v>
      </c>
      <c r="AW3">
        <v>1</v>
      </c>
      <c r="AX3" t="s">
        <v>74</v>
      </c>
      <c r="AY3" t="s">
        <v>74</v>
      </c>
      <c r="AZ3" t="s">
        <v>74</v>
      </c>
      <c r="BA3" t="s">
        <v>74</v>
      </c>
      <c r="BB3" t="s">
        <v>74</v>
      </c>
      <c r="BC3" t="s">
        <v>74</v>
      </c>
      <c r="BD3" t="s">
        <v>116</v>
      </c>
      <c r="BE3" t="s">
        <v>117</v>
      </c>
      <c r="BF3" t="str">
        <f>HYPERLINK("http://dx.doi.org/10.1002/sta4.544","http://dx.doi.org/10.1002/sta4.544")</f>
        <v>http://dx.doi.org/10.1002/sta4.544</v>
      </c>
      <c r="BG3" t="s">
        <v>74</v>
      </c>
      <c r="BH3" t="s">
        <v>74</v>
      </c>
      <c r="BI3">
        <v>16</v>
      </c>
      <c r="BJ3" t="s">
        <v>118</v>
      </c>
      <c r="BK3" t="s">
        <v>119</v>
      </c>
      <c r="BL3" t="s">
        <v>120</v>
      </c>
      <c r="BM3" t="s">
        <v>121</v>
      </c>
      <c r="BN3" t="s">
        <v>74</v>
      </c>
      <c r="BO3" t="s">
        <v>122</v>
      </c>
      <c r="BP3" t="s">
        <v>74</v>
      </c>
      <c r="BQ3" t="s">
        <v>74</v>
      </c>
      <c r="BR3" t="s">
        <v>99</v>
      </c>
      <c r="BS3" t="s">
        <v>123</v>
      </c>
      <c r="BT3" t="str">
        <f>HYPERLINK("https%3A%2F%2Fwww.webofscience.com%2Fwos%2Fwoscc%2Ffull-record%2FWOS:000929966000001","View Full Record in Web of Science")</f>
        <v>View Full Record in Web of Science</v>
      </c>
    </row>
    <row r="4" spans="1:72" x14ac:dyDescent="0.15">
      <c r="A4" t="s">
        <v>72</v>
      </c>
      <c r="B4" t="s">
        <v>124</v>
      </c>
      <c r="C4" t="s">
        <v>74</v>
      </c>
      <c r="D4" t="s">
        <v>74</v>
      </c>
      <c r="E4" t="s">
        <v>74</v>
      </c>
      <c r="F4" t="s">
        <v>125</v>
      </c>
      <c r="G4" t="s">
        <v>74</v>
      </c>
      <c r="H4" t="s">
        <v>74</v>
      </c>
      <c r="I4" t="s">
        <v>126</v>
      </c>
      <c r="J4" t="s">
        <v>104</v>
      </c>
      <c r="K4" t="s">
        <v>74</v>
      </c>
      <c r="L4" t="s">
        <v>74</v>
      </c>
      <c r="M4" t="s">
        <v>78</v>
      </c>
      <c r="N4" t="s">
        <v>79</v>
      </c>
      <c r="O4" t="s">
        <v>74</v>
      </c>
      <c r="P4" t="s">
        <v>74</v>
      </c>
      <c r="Q4" t="s">
        <v>74</v>
      </c>
      <c r="R4" t="s">
        <v>74</v>
      </c>
      <c r="S4" t="s">
        <v>74</v>
      </c>
      <c r="T4" t="s">
        <v>127</v>
      </c>
      <c r="U4" t="s">
        <v>128</v>
      </c>
      <c r="V4" t="s">
        <v>129</v>
      </c>
      <c r="W4" t="s">
        <v>130</v>
      </c>
      <c r="X4" t="s">
        <v>131</v>
      </c>
      <c r="Y4" t="s">
        <v>132</v>
      </c>
      <c r="Z4" t="s">
        <v>133</v>
      </c>
      <c r="AA4" t="s">
        <v>134</v>
      </c>
      <c r="AB4" t="s">
        <v>135</v>
      </c>
      <c r="AC4" t="s">
        <v>136</v>
      </c>
      <c r="AD4" t="s">
        <v>137</v>
      </c>
      <c r="AE4" t="s">
        <v>138</v>
      </c>
      <c r="AF4" t="s">
        <v>74</v>
      </c>
      <c r="AG4">
        <v>28</v>
      </c>
      <c r="AH4">
        <v>0</v>
      </c>
      <c r="AI4">
        <v>0</v>
      </c>
      <c r="AJ4">
        <v>12</v>
      </c>
      <c r="AK4">
        <v>17</v>
      </c>
      <c r="AL4" t="s">
        <v>87</v>
      </c>
      <c r="AM4" t="s">
        <v>88</v>
      </c>
      <c r="AN4" t="s">
        <v>89</v>
      </c>
      <c r="AO4" t="s">
        <v>112</v>
      </c>
      <c r="AP4" t="s">
        <v>74</v>
      </c>
      <c r="AQ4" t="s">
        <v>74</v>
      </c>
      <c r="AR4" t="s">
        <v>113</v>
      </c>
      <c r="AS4" t="s">
        <v>114</v>
      </c>
      <c r="AT4" t="s">
        <v>115</v>
      </c>
      <c r="AU4">
        <v>2023</v>
      </c>
      <c r="AV4">
        <v>12</v>
      </c>
      <c r="AW4">
        <v>1</v>
      </c>
      <c r="AX4" t="s">
        <v>74</v>
      </c>
      <c r="AY4" t="s">
        <v>74</v>
      </c>
      <c r="AZ4" t="s">
        <v>74</v>
      </c>
      <c r="BA4" t="s">
        <v>74</v>
      </c>
      <c r="BB4" t="s">
        <v>74</v>
      </c>
      <c r="BC4" t="s">
        <v>74</v>
      </c>
      <c r="BD4" t="s">
        <v>139</v>
      </c>
      <c r="BE4" t="s">
        <v>140</v>
      </c>
      <c r="BF4" t="str">
        <f>HYPERLINK("http://dx.doi.org/10.1002/sta4.520","http://dx.doi.org/10.1002/sta4.520")</f>
        <v>http://dx.doi.org/10.1002/sta4.520</v>
      </c>
      <c r="BG4" t="s">
        <v>74</v>
      </c>
      <c r="BH4" t="s">
        <v>74</v>
      </c>
      <c r="BI4">
        <v>13</v>
      </c>
      <c r="BJ4" t="s">
        <v>118</v>
      </c>
      <c r="BK4" t="s">
        <v>119</v>
      </c>
      <c r="BL4" t="s">
        <v>120</v>
      </c>
      <c r="BM4" t="s">
        <v>141</v>
      </c>
      <c r="BN4" t="s">
        <v>74</v>
      </c>
      <c r="BO4" t="s">
        <v>74</v>
      </c>
      <c r="BP4" t="s">
        <v>74</v>
      </c>
      <c r="BQ4" t="s">
        <v>74</v>
      </c>
      <c r="BR4" t="s">
        <v>99</v>
      </c>
      <c r="BS4" t="s">
        <v>142</v>
      </c>
      <c r="BT4" t="str">
        <f>HYPERLINK("https%3A%2F%2Fwww.webofscience.com%2Fwos%2Fwoscc%2Ffull-record%2FWOS:000911192200001","View Full Record in Web of Science")</f>
        <v>View Full Record in Web of Science</v>
      </c>
    </row>
    <row r="5" spans="1:72" x14ac:dyDescent="0.15">
      <c r="A5" t="s">
        <v>72</v>
      </c>
      <c r="B5" t="s">
        <v>143</v>
      </c>
      <c r="C5" t="s">
        <v>74</v>
      </c>
      <c r="D5" t="s">
        <v>74</v>
      </c>
      <c r="E5" t="s">
        <v>74</v>
      </c>
      <c r="F5" t="s">
        <v>144</v>
      </c>
      <c r="G5" t="s">
        <v>74</v>
      </c>
      <c r="H5" t="s">
        <v>74</v>
      </c>
      <c r="I5" t="s">
        <v>145</v>
      </c>
      <c r="J5" t="s">
        <v>146</v>
      </c>
      <c r="K5" t="s">
        <v>74</v>
      </c>
      <c r="L5" t="s">
        <v>74</v>
      </c>
      <c r="M5" t="s">
        <v>78</v>
      </c>
      <c r="N5" t="s">
        <v>79</v>
      </c>
      <c r="O5" t="s">
        <v>74</v>
      </c>
      <c r="P5" t="s">
        <v>74</v>
      </c>
      <c r="Q5" t="s">
        <v>74</v>
      </c>
      <c r="R5" t="s">
        <v>74</v>
      </c>
      <c r="S5" t="s">
        <v>74</v>
      </c>
      <c r="T5" t="s">
        <v>147</v>
      </c>
      <c r="U5" t="s">
        <v>148</v>
      </c>
      <c r="V5" t="s">
        <v>149</v>
      </c>
      <c r="W5" t="s">
        <v>150</v>
      </c>
      <c r="X5" t="s">
        <v>151</v>
      </c>
      <c r="Y5" t="s">
        <v>152</v>
      </c>
      <c r="Z5" t="s">
        <v>153</v>
      </c>
      <c r="AA5" t="s">
        <v>154</v>
      </c>
      <c r="AB5" t="s">
        <v>155</v>
      </c>
      <c r="AC5" t="s">
        <v>156</v>
      </c>
      <c r="AD5" t="s">
        <v>157</v>
      </c>
      <c r="AE5" t="s">
        <v>158</v>
      </c>
      <c r="AF5" t="s">
        <v>74</v>
      </c>
      <c r="AG5">
        <v>130</v>
      </c>
      <c r="AH5">
        <v>0</v>
      </c>
      <c r="AI5">
        <v>0</v>
      </c>
      <c r="AJ5">
        <v>3</v>
      </c>
      <c r="AK5">
        <v>3</v>
      </c>
      <c r="AL5" t="s">
        <v>87</v>
      </c>
      <c r="AM5" t="s">
        <v>88</v>
      </c>
      <c r="AN5" t="s">
        <v>89</v>
      </c>
      <c r="AO5" t="s">
        <v>159</v>
      </c>
      <c r="AP5" t="s">
        <v>160</v>
      </c>
      <c r="AQ5" t="s">
        <v>74</v>
      </c>
      <c r="AR5" t="s">
        <v>161</v>
      </c>
      <c r="AS5" t="s">
        <v>162</v>
      </c>
      <c r="AT5" t="s">
        <v>163</v>
      </c>
      <c r="AU5">
        <v>2023</v>
      </c>
      <c r="AV5">
        <v>65</v>
      </c>
      <c r="AW5">
        <v>7</v>
      </c>
      <c r="AX5" t="s">
        <v>74</v>
      </c>
      <c r="AY5" t="s">
        <v>74</v>
      </c>
      <c r="AZ5" t="s">
        <v>74</v>
      </c>
      <c r="BA5" t="s">
        <v>74</v>
      </c>
      <c r="BB5" t="s">
        <v>74</v>
      </c>
      <c r="BC5" t="s">
        <v>74</v>
      </c>
      <c r="BD5" t="s">
        <v>164</v>
      </c>
      <c r="BE5" t="s">
        <v>165</v>
      </c>
      <c r="BF5" t="str">
        <f>HYPERLINK("http://dx.doi.org/10.1002/dev.22422","http://dx.doi.org/10.1002/dev.22422")</f>
        <v>http://dx.doi.org/10.1002/dev.22422</v>
      </c>
      <c r="BG5" t="s">
        <v>74</v>
      </c>
      <c r="BH5" t="s">
        <v>74</v>
      </c>
      <c r="BI5">
        <v>16</v>
      </c>
      <c r="BJ5" t="s">
        <v>166</v>
      </c>
      <c r="BK5" t="s">
        <v>119</v>
      </c>
      <c r="BL5" t="s">
        <v>166</v>
      </c>
      <c r="BM5" t="s">
        <v>167</v>
      </c>
      <c r="BN5">
        <v>37796476</v>
      </c>
      <c r="BO5" t="s">
        <v>122</v>
      </c>
      <c r="BP5" t="s">
        <v>74</v>
      </c>
      <c r="BQ5" t="s">
        <v>74</v>
      </c>
      <c r="BR5" t="s">
        <v>99</v>
      </c>
      <c r="BS5" t="s">
        <v>168</v>
      </c>
      <c r="BT5" t="str">
        <f>HYPERLINK("https%3A%2F%2Fwww.webofscience.com%2Fwos%2Fwoscc%2Ffull-record%2FWOS:001058329500001","View Full Record in Web of Science")</f>
        <v>View Full Record in Web of Science</v>
      </c>
    </row>
    <row r="6" spans="1:72" x14ac:dyDescent="0.15">
      <c r="A6" t="s">
        <v>72</v>
      </c>
      <c r="B6" t="s">
        <v>169</v>
      </c>
      <c r="C6" t="s">
        <v>74</v>
      </c>
      <c r="D6" t="s">
        <v>74</v>
      </c>
      <c r="E6" t="s">
        <v>74</v>
      </c>
      <c r="F6" t="s">
        <v>170</v>
      </c>
      <c r="G6" t="s">
        <v>74</v>
      </c>
      <c r="H6" t="s">
        <v>74</v>
      </c>
      <c r="I6" t="s">
        <v>171</v>
      </c>
      <c r="J6" t="s">
        <v>172</v>
      </c>
      <c r="K6" t="s">
        <v>74</v>
      </c>
      <c r="L6" t="s">
        <v>74</v>
      </c>
      <c r="M6" t="s">
        <v>78</v>
      </c>
      <c r="N6" t="s">
        <v>79</v>
      </c>
      <c r="O6" t="s">
        <v>74</v>
      </c>
      <c r="P6" t="s">
        <v>74</v>
      </c>
      <c r="Q6" t="s">
        <v>74</v>
      </c>
      <c r="R6" t="s">
        <v>74</v>
      </c>
      <c r="S6" t="s">
        <v>74</v>
      </c>
      <c r="T6" t="s">
        <v>173</v>
      </c>
      <c r="U6" t="s">
        <v>174</v>
      </c>
      <c r="V6" t="s">
        <v>175</v>
      </c>
      <c r="W6" t="s">
        <v>176</v>
      </c>
      <c r="X6" t="s">
        <v>177</v>
      </c>
      <c r="Y6" t="s">
        <v>178</v>
      </c>
      <c r="Z6" t="s">
        <v>179</v>
      </c>
      <c r="AA6" t="s">
        <v>74</v>
      </c>
      <c r="AB6" t="s">
        <v>74</v>
      </c>
      <c r="AC6" t="s">
        <v>180</v>
      </c>
      <c r="AD6" t="s">
        <v>180</v>
      </c>
      <c r="AE6" t="s">
        <v>180</v>
      </c>
      <c r="AF6" t="s">
        <v>74</v>
      </c>
      <c r="AG6">
        <v>48</v>
      </c>
      <c r="AH6">
        <v>0</v>
      </c>
      <c r="AI6">
        <v>0</v>
      </c>
      <c r="AJ6">
        <v>0</v>
      </c>
      <c r="AK6">
        <v>0</v>
      </c>
      <c r="AL6" t="s">
        <v>87</v>
      </c>
      <c r="AM6" t="s">
        <v>88</v>
      </c>
      <c r="AN6" t="s">
        <v>89</v>
      </c>
      <c r="AO6" t="s">
        <v>181</v>
      </c>
      <c r="AP6" t="s">
        <v>182</v>
      </c>
      <c r="AQ6" t="s">
        <v>74</v>
      </c>
      <c r="AR6" t="s">
        <v>183</v>
      </c>
      <c r="AS6" t="s">
        <v>184</v>
      </c>
      <c r="AT6" t="s">
        <v>185</v>
      </c>
      <c r="AU6">
        <v>2023</v>
      </c>
      <c r="AV6">
        <v>28</v>
      </c>
      <c r="AW6">
        <v>10</v>
      </c>
      <c r="AX6" t="s">
        <v>74</v>
      </c>
      <c r="AY6" t="s">
        <v>74</v>
      </c>
      <c r="AZ6" t="s">
        <v>74</v>
      </c>
      <c r="BA6" t="s">
        <v>74</v>
      </c>
      <c r="BB6" t="s">
        <v>74</v>
      </c>
      <c r="BC6" t="s">
        <v>74</v>
      </c>
      <c r="BD6" t="s">
        <v>186</v>
      </c>
      <c r="BE6" t="s">
        <v>187</v>
      </c>
      <c r="BF6" t="str">
        <f>HYPERLINK("http://dx.doi.org/10.1111/adb.13335","http://dx.doi.org/10.1111/adb.13335")</f>
        <v>http://dx.doi.org/10.1111/adb.13335</v>
      </c>
      <c r="BG6" t="s">
        <v>74</v>
      </c>
      <c r="BH6" t="s">
        <v>74</v>
      </c>
      <c r="BI6">
        <v>10</v>
      </c>
      <c r="BJ6" t="s">
        <v>188</v>
      </c>
      <c r="BK6" t="s">
        <v>119</v>
      </c>
      <c r="BL6" t="s">
        <v>188</v>
      </c>
      <c r="BM6" t="s">
        <v>189</v>
      </c>
      <c r="BN6">
        <v>37753560</v>
      </c>
      <c r="BO6" t="s">
        <v>122</v>
      </c>
      <c r="BP6" t="s">
        <v>74</v>
      </c>
      <c r="BQ6" t="s">
        <v>74</v>
      </c>
      <c r="BR6" t="s">
        <v>99</v>
      </c>
      <c r="BS6" t="s">
        <v>190</v>
      </c>
      <c r="BT6" t="str">
        <f>HYPERLINK("https%3A%2F%2Fwww.webofscience.com%2Fwos%2Fwoscc%2Ffull-record%2FWOS:001067322100001","View Full Record in Web of Science")</f>
        <v>View Full Record in Web of Science</v>
      </c>
    </row>
    <row r="7" spans="1:72" x14ac:dyDescent="0.15">
      <c r="A7" t="s">
        <v>72</v>
      </c>
      <c r="B7" t="s">
        <v>191</v>
      </c>
      <c r="C7" t="s">
        <v>74</v>
      </c>
      <c r="D7" t="s">
        <v>74</v>
      </c>
      <c r="E7" t="s">
        <v>74</v>
      </c>
      <c r="F7" t="s">
        <v>192</v>
      </c>
      <c r="G7" t="s">
        <v>74</v>
      </c>
      <c r="H7" t="s">
        <v>74</v>
      </c>
      <c r="I7" t="s">
        <v>193</v>
      </c>
      <c r="J7" t="s">
        <v>194</v>
      </c>
      <c r="K7" t="s">
        <v>74</v>
      </c>
      <c r="L7" t="s">
        <v>74</v>
      </c>
      <c r="M7" t="s">
        <v>78</v>
      </c>
      <c r="N7" t="s">
        <v>79</v>
      </c>
      <c r="O7" t="s">
        <v>74</v>
      </c>
      <c r="P7" t="s">
        <v>74</v>
      </c>
      <c r="Q7" t="s">
        <v>74</v>
      </c>
      <c r="R7" t="s">
        <v>74</v>
      </c>
      <c r="S7" t="s">
        <v>74</v>
      </c>
      <c r="T7" t="s">
        <v>195</v>
      </c>
      <c r="U7" t="s">
        <v>196</v>
      </c>
      <c r="V7" t="s">
        <v>197</v>
      </c>
      <c r="W7" t="s">
        <v>198</v>
      </c>
      <c r="X7" t="s">
        <v>199</v>
      </c>
      <c r="Y7" t="s">
        <v>200</v>
      </c>
      <c r="Z7" t="s">
        <v>201</v>
      </c>
      <c r="AA7" t="s">
        <v>74</v>
      </c>
      <c r="AB7" t="s">
        <v>202</v>
      </c>
      <c r="AC7" t="s">
        <v>203</v>
      </c>
      <c r="AD7" t="s">
        <v>204</v>
      </c>
      <c r="AE7" t="s">
        <v>205</v>
      </c>
      <c r="AF7" t="s">
        <v>74</v>
      </c>
      <c r="AG7">
        <v>92</v>
      </c>
      <c r="AH7">
        <v>0</v>
      </c>
      <c r="AI7">
        <v>0</v>
      </c>
      <c r="AJ7">
        <v>0</v>
      </c>
      <c r="AK7">
        <v>0</v>
      </c>
      <c r="AL7" t="s">
        <v>87</v>
      </c>
      <c r="AM7" t="s">
        <v>88</v>
      </c>
      <c r="AN7" t="s">
        <v>89</v>
      </c>
      <c r="AO7" t="s">
        <v>206</v>
      </c>
      <c r="AP7" t="s">
        <v>207</v>
      </c>
      <c r="AQ7" t="s">
        <v>74</v>
      </c>
      <c r="AR7" t="s">
        <v>208</v>
      </c>
      <c r="AS7" t="s">
        <v>209</v>
      </c>
      <c r="AT7" t="s">
        <v>185</v>
      </c>
      <c r="AU7">
        <v>2023</v>
      </c>
      <c r="AV7">
        <v>32</v>
      </c>
      <c r="AW7">
        <v>10</v>
      </c>
      <c r="AX7" t="s">
        <v>74</v>
      </c>
      <c r="AY7" t="s">
        <v>74</v>
      </c>
      <c r="AZ7" t="s">
        <v>74</v>
      </c>
      <c r="BA7" t="s">
        <v>74</v>
      </c>
      <c r="BB7" t="s">
        <v>74</v>
      </c>
      <c r="BC7" t="s">
        <v>74</v>
      </c>
      <c r="BD7" t="s">
        <v>210</v>
      </c>
      <c r="BE7" t="s">
        <v>211</v>
      </c>
      <c r="BF7" t="str">
        <f>HYPERLINK("http://dx.doi.org/10.1002/pro.4770","http://dx.doi.org/10.1002/pro.4770")</f>
        <v>http://dx.doi.org/10.1002/pro.4770</v>
      </c>
      <c r="BG7" t="s">
        <v>74</v>
      </c>
      <c r="BH7" t="s">
        <v>74</v>
      </c>
      <c r="BI7">
        <v>16</v>
      </c>
      <c r="BJ7" t="s">
        <v>212</v>
      </c>
      <c r="BK7" t="s">
        <v>119</v>
      </c>
      <c r="BL7" t="s">
        <v>212</v>
      </c>
      <c r="BM7" t="s">
        <v>213</v>
      </c>
      <c r="BN7">
        <v>37632831</v>
      </c>
      <c r="BO7" t="s">
        <v>74</v>
      </c>
      <c r="BP7" t="s">
        <v>74</v>
      </c>
      <c r="BQ7" t="s">
        <v>74</v>
      </c>
      <c r="BR7" t="s">
        <v>99</v>
      </c>
      <c r="BS7" t="s">
        <v>214</v>
      </c>
      <c r="BT7" t="str">
        <f>HYPERLINK("https%3A%2F%2Fwww.webofscience.com%2Fwos%2Fwoscc%2Ffull-record%2FWOS:001068816500001","View Full Record in Web of Science")</f>
        <v>View Full Record in Web of Science</v>
      </c>
    </row>
    <row r="8" spans="1:72" x14ac:dyDescent="0.15">
      <c r="A8" t="s">
        <v>72</v>
      </c>
      <c r="B8" t="s">
        <v>215</v>
      </c>
      <c r="C8" t="s">
        <v>74</v>
      </c>
      <c r="D8" t="s">
        <v>74</v>
      </c>
      <c r="E8" t="s">
        <v>74</v>
      </c>
      <c r="F8" t="s">
        <v>216</v>
      </c>
      <c r="G8" t="s">
        <v>74</v>
      </c>
      <c r="H8" t="s">
        <v>74</v>
      </c>
      <c r="I8" t="s">
        <v>217</v>
      </c>
      <c r="J8" t="s">
        <v>218</v>
      </c>
      <c r="K8" t="s">
        <v>74</v>
      </c>
      <c r="L8" t="s">
        <v>74</v>
      </c>
      <c r="M8" t="s">
        <v>78</v>
      </c>
      <c r="N8" t="s">
        <v>79</v>
      </c>
      <c r="O8" t="s">
        <v>74</v>
      </c>
      <c r="P8" t="s">
        <v>74</v>
      </c>
      <c r="Q8" t="s">
        <v>74</v>
      </c>
      <c r="R8" t="s">
        <v>74</v>
      </c>
      <c r="S8" t="s">
        <v>74</v>
      </c>
      <c r="T8" t="s">
        <v>219</v>
      </c>
      <c r="U8" t="s">
        <v>220</v>
      </c>
      <c r="V8" t="s">
        <v>221</v>
      </c>
      <c r="W8" t="s">
        <v>222</v>
      </c>
      <c r="X8" t="s">
        <v>223</v>
      </c>
      <c r="Y8" t="s">
        <v>224</v>
      </c>
      <c r="Z8" t="s">
        <v>225</v>
      </c>
      <c r="AA8" t="s">
        <v>74</v>
      </c>
      <c r="AB8" t="s">
        <v>74</v>
      </c>
      <c r="AC8" t="s">
        <v>226</v>
      </c>
      <c r="AD8" t="s">
        <v>226</v>
      </c>
      <c r="AE8" t="s">
        <v>226</v>
      </c>
      <c r="AF8" t="s">
        <v>74</v>
      </c>
      <c r="AG8">
        <v>48</v>
      </c>
      <c r="AH8">
        <v>0</v>
      </c>
      <c r="AI8">
        <v>0</v>
      </c>
      <c r="AJ8">
        <v>0</v>
      </c>
      <c r="AK8">
        <v>0</v>
      </c>
      <c r="AL8" t="s">
        <v>87</v>
      </c>
      <c r="AM8" t="s">
        <v>88</v>
      </c>
      <c r="AN8" t="s">
        <v>89</v>
      </c>
      <c r="AO8" t="s">
        <v>74</v>
      </c>
      <c r="AP8" t="s">
        <v>227</v>
      </c>
      <c r="AQ8" t="s">
        <v>74</v>
      </c>
      <c r="AR8" t="s">
        <v>218</v>
      </c>
      <c r="AS8" t="s">
        <v>228</v>
      </c>
      <c r="AT8" t="s">
        <v>185</v>
      </c>
      <c r="AU8">
        <v>2023</v>
      </c>
      <c r="AV8">
        <v>4</v>
      </c>
      <c r="AW8">
        <v>5</v>
      </c>
      <c r="AX8" t="s">
        <v>74</v>
      </c>
      <c r="AY8" t="s">
        <v>74</v>
      </c>
      <c r="AZ8" t="s">
        <v>74</v>
      </c>
      <c r="BA8" t="s">
        <v>74</v>
      </c>
      <c r="BB8" t="s">
        <v>74</v>
      </c>
      <c r="BC8" t="s">
        <v>74</v>
      </c>
      <c r="BD8" t="s">
        <v>229</v>
      </c>
      <c r="BE8" t="s">
        <v>230</v>
      </c>
      <c r="BF8" t="str">
        <f>HYPERLINK("http://dx.doi.org/10.1002/mco2.362","http://dx.doi.org/10.1002/mco2.362")</f>
        <v>http://dx.doi.org/10.1002/mco2.362</v>
      </c>
      <c r="BG8" t="s">
        <v>74</v>
      </c>
      <c r="BH8" t="s">
        <v>74</v>
      </c>
      <c r="BI8">
        <v>10</v>
      </c>
      <c r="BJ8" t="s">
        <v>231</v>
      </c>
      <c r="BK8" t="s">
        <v>96</v>
      </c>
      <c r="BL8" t="s">
        <v>232</v>
      </c>
      <c r="BM8" t="s">
        <v>233</v>
      </c>
      <c r="BN8">
        <v>37692108</v>
      </c>
      <c r="BO8" t="s">
        <v>234</v>
      </c>
      <c r="BP8" t="s">
        <v>74</v>
      </c>
      <c r="BQ8" t="s">
        <v>74</v>
      </c>
      <c r="BR8" t="s">
        <v>99</v>
      </c>
      <c r="BS8" t="s">
        <v>235</v>
      </c>
      <c r="BT8" t="str">
        <f>HYPERLINK("https%3A%2F%2Fwww.webofscience.com%2Fwos%2Fwoscc%2Ffull-record%2FWOS:001063050800001","View Full Record in Web of Science")</f>
        <v>View Full Record in Web of Science</v>
      </c>
    </row>
    <row r="9" spans="1:72" x14ac:dyDescent="0.15">
      <c r="A9" t="s">
        <v>72</v>
      </c>
      <c r="B9" t="s">
        <v>236</v>
      </c>
      <c r="C9" t="s">
        <v>74</v>
      </c>
      <c r="D9" t="s">
        <v>74</v>
      </c>
      <c r="E9" t="s">
        <v>74</v>
      </c>
      <c r="F9" t="s">
        <v>237</v>
      </c>
      <c r="G9" t="s">
        <v>74</v>
      </c>
      <c r="H9" t="s">
        <v>74</v>
      </c>
      <c r="I9" t="s">
        <v>238</v>
      </c>
      <c r="J9" t="s">
        <v>239</v>
      </c>
      <c r="K9" t="s">
        <v>74</v>
      </c>
      <c r="L9" t="s">
        <v>74</v>
      </c>
      <c r="M9" t="s">
        <v>78</v>
      </c>
      <c r="N9" t="s">
        <v>79</v>
      </c>
      <c r="O9" t="s">
        <v>74</v>
      </c>
      <c r="P9" t="s">
        <v>74</v>
      </c>
      <c r="Q9" t="s">
        <v>74</v>
      </c>
      <c r="R9" t="s">
        <v>74</v>
      </c>
      <c r="S9" t="s">
        <v>74</v>
      </c>
      <c r="T9" t="s">
        <v>240</v>
      </c>
      <c r="U9" t="s">
        <v>241</v>
      </c>
      <c r="V9" t="s">
        <v>242</v>
      </c>
      <c r="W9" t="s">
        <v>243</v>
      </c>
      <c r="X9" t="s">
        <v>244</v>
      </c>
      <c r="Y9" t="s">
        <v>245</v>
      </c>
      <c r="Z9" t="s">
        <v>246</v>
      </c>
      <c r="AA9" t="s">
        <v>74</v>
      </c>
      <c r="AB9" t="s">
        <v>247</v>
      </c>
      <c r="AC9" t="s">
        <v>248</v>
      </c>
      <c r="AD9" t="s">
        <v>249</v>
      </c>
      <c r="AE9" t="s">
        <v>250</v>
      </c>
      <c r="AF9" t="s">
        <v>74</v>
      </c>
      <c r="AG9">
        <v>46</v>
      </c>
      <c r="AH9">
        <v>0</v>
      </c>
      <c r="AI9">
        <v>0</v>
      </c>
      <c r="AJ9">
        <v>0</v>
      </c>
      <c r="AK9">
        <v>0</v>
      </c>
      <c r="AL9" t="s">
        <v>87</v>
      </c>
      <c r="AM9" t="s">
        <v>88</v>
      </c>
      <c r="AN9" t="s">
        <v>89</v>
      </c>
      <c r="AO9" t="s">
        <v>251</v>
      </c>
      <c r="AP9" t="s">
        <v>252</v>
      </c>
      <c r="AQ9" t="s">
        <v>74</v>
      </c>
      <c r="AR9" t="s">
        <v>253</v>
      </c>
      <c r="AS9" t="s">
        <v>254</v>
      </c>
      <c r="AT9" t="s">
        <v>185</v>
      </c>
      <c r="AU9">
        <v>2023</v>
      </c>
      <c r="AV9">
        <v>37</v>
      </c>
      <c r="AW9">
        <v>10</v>
      </c>
      <c r="AX9" t="s">
        <v>74</v>
      </c>
      <c r="AY9" t="s">
        <v>74</v>
      </c>
      <c r="AZ9" t="s">
        <v>74</v>
      </c>
      <c r="BA9" t="s">
        <v>74</v>
      </c>
      <c r="BB9" t="s">
        <v>74</v>
      </c>
      <c r="BC9" t="s">
        <v>74</v>
      </c>
      <c r="BD9" t="s">
        <v>255</v>
      </c>
      <c r="BE9" t="s">
        <v>256</v>
      </c>
      <c r="BF9" t="str">
        <f>HYPERLINK("http://dx.doi.org/10.1096/fj.202300486R","http://dx.doi.org/10.1096/fj.202300486R")</f>
        <v>http://dx.doi.org/10.1096/fj.202300486R</v>
      </c>
      <c r="BG9" t="s">
        <v>74</v>
      </c>
      <c r="BH9" t="s">
        <v>74</v>
      </c>
      <c r="BI9">
        <v>16</v>
      </c>
      <c r="BJ9" t="s">
        <v>257</v>
      </c>
      <c r="BK9" t="s">
        <v>119</v>
      </c>
      <c r="BL9" t="s">
        <v>258</v>
      </c>
      <c r="BM9" t="s">
        <v>259</v>
      </c>
      <c r="BN9">
        <v>37702880</v>
      </c>
      <c r="BO9" t="s">
        <v>74</v>
      </c>
      <c r="BP9" t="s">
        <v>74</v>
      </c>
      <c r="BQ9" t="s">
        <v>74</v>
      </c>
      <c r="BR9" t="s">
        <v>99</v>
      </c>
      <c r="BS9" t="s">
        <v>260</v>
      </c>
      <c r="BT9" t="str">
        <f>HYPERLINK("https%3A%2F%2Fwww.webofscience.com%2Fwos%2Fwoscc%2Ffull-record%2FWOS:001066260200001","View Full Record in Web of Science")</f>
        <v>View Full Record in Web of Science</v>
      </c>
    </row>
    <row r="10" spans="1:72" x14ac:dyDescent="0.15">
      <c r="A10" t="s">
        <v>72</v>
      </c>
      <c r="B10" t="s">
        <v>261</v>
      </c>
      <c r="C10" t="s">
        <v>74</v>
      </c>
      <c r="D10" t="s">
        <v>74</v>
      </c>
      <c r="E10" t="s">
        <v>74</v>
      </c>
      <c r="F10" t="s">
        <v>262</v>
      </c>
      <c r="G10" t="s">
        <v>74</v>
      </c>
      <c r="H10" t="s">
        <v>74</v>
      </c>
      <c r="I10" t="s">
        <v>263</v>
      </c>
      <c r="J10" t="s">
        <v>264</v>
      </c>
      <c r="K10" t="s">
        <v>74</v>
      </c>
      <c r="L10" t="s">
        <v>74</v>
      </c>
      <c r="M10" t="s">
        <v>78</v>
      </c>
      <c r="N10" t="s">
        <v>79</v>
      </c>
      <c r="O10" t="s">
        <v>74</v>
      </c>
      <c r="P10" t="s">
        <v>74</v>
      </c>
      <c r="Q10" t="s">
        <v>74</v>
      </c>
      <c r="R10" t="s">
        <v>74</v>
      </c>
      <c r="S10" t="s">
        <v>74</v>
      </c>
      <c r="T10" t="s">
        <v>265</v>
      </c>
      <c r="U10" t="s">
        <v>266</v>
      </c>
      <c r="V10" t="s">
        <v>267</v>
      </c>
      <c r="W10" t="s">
        <v>268</v>
      </c>
      <c r="X10" t="s">
        <v>269</v>
      </c>
      <c r="Y10" t="s">
        <v>270</v>
      </c>
      <c r="Z10" t="s">
        <v>271</v>
      </c>
      <c r="AA10" t="s">
        <v>74</v>
      </c>
      <c r="AB10" t="s">
        <v>74</v>
      </c>
      <c r="AC10" t="s">
        <v>272</v>
      </c>
      <c r="AD10" t="s">
        <v>273</v>
      </c>
      <c r="AE10" t="s">
        <v>274</v>
      </c>
      <c r="AF10" t="s">
        <v>74</v>
      </c>
      <c r="AG10">
        <v>93</v>
      </c>
      <c r="AH10">
        <v>0</v>
      </c>
      <c r="AI10">
        <v>0</v>
      </c>
      <c r="AJ10">
        <v>0</v>
      </c>
      <c r="AK10">
        <v>0</v>
      </c>
      <c r="AL10" t="s">
        <v>87</v>
      </c>
      <c r="AM10" t="s">
        <v>88</v>
      </c>
      <c r="AN10" t="s">
        <v>89</v>
      </c>
      <c r="AO10" t="s">
        <v>275</v>
      </c>
      <c r="AP10" t="s">
        <v>276</v>
      </c>
      <c r="AQ10" t="s">
        <v>74</v>
      </c>
      <c r="AR10" t="s">
        <v>277</v>
      </c>
      <c r="AS10" t="s">
        <v>278</v>
      </c>
      <c r="AT10" t="s">
        <v>185</v>
      </c>
      <c r="AU10">
        <v>2023</v>
      </c>
      <c r="AV10">
        <v>284</v>
      </c>
      <c r="AW10">
        <v>10</v>
      </c>
      <c r="AX10" t="s">
        <v>74</v>
      </c>
      <c r="AY10" t="s">
        <v>74</v>
      </c>
      <c r="AZ10" t="s">
        <v>74</v>
      </c>
      <c r="BA10" t="s">
        <v>74</v>
      </c>
      <c r="BB10" t="s">
        <v>74</v>
      </c>
      <c r="BC10" t="s">
        <v>74</v>
      </c>
      <c r="BD10" t="s">
        <v>279</v>
      </c>
      <c r="BE10" t="s">
        <v>280</v>
      </c>
      <c r="BF10" t="str">
        <f>HYPERLINK("http://dx.doi.org/10.1002/jmor.21642","http://dx.doi.org/10.1002/jmor.21642")</f>
        <v>http://dx.doi.org/10.1002/jmor.21642</v>
      </c>
      <c r="BG10" t="s">
        <v>74</v>
      </c>
      <c r="BH10" t="s">
        <v>74</v>
      </c>
      <c r="BI10">
        <v>32</v>
      </c>
      <c r="BJ10" t="s">
        <v>281</v>
      </c>
      <c r="BK10" t="s">
        <v>119</v>
      </c>
      <c r="BL10" t="s">
        <v>281</v>
      </c>
      <c r="BM10" t="s">
        <v>282</v>
      </c>
      <c r="BN10" t="s">
        <v>74</v>
      </c>
      <c r="BO10" t="s">
        <v>122</v>
      </c>
      <c r="BP10" t="s">
        <v>74</v>
      </c>
      <c r="BQ10" t="s">
        <v>74</v>
      </c>
      <c r="BR10" t="s">
        <v>99</v>
      </c>
      <c r="BS10" t="s">
        <v>283</v>
      </c>
      <c r="BT10" t="str">
        <f>HYPERLINK("https%3A%2F%2Fwww.webofscience.com%2Fwos%2Fwoscc%2Ffull-record%2FWOS:001067781200001","View Full Record in Web of Science")</f>
        <v>View Full Record in Web of Science</v>
      </c>
    </row>
    <row r="11" spans="1:72" x14ac:dyDescent="0.15">
      <c r="A11" t="s">
        <v>72</v>
      </c>
      <c r="B11" t="s">
        <v>284</v>
      </c>
      <c r="C11" t="s">
        <v>74</v>
      </c>
      <c r="D11" t="s">
        <v>74</v>
      </c>
      <c r="E11" t="s">
        <v>74</v>
      </c>
      <c r="F11" t="s">
        <v>285</v>
      </c>
      <c r="G11" t="s">
        <v>74</v>
      </c>
      <c r="H11" t="s">
        <v>74</v>
      </c>
      <c r="I11" t="s">
        <v>286</v>
      </c>
      <c r="J11" t="s">
        <v>287</v>
      </c>
      <c r="K11" t="s">
        <v>74</v>
      </c>
      <c r="L11" t="s">
        <v>74</v>
      </c>
      <c r="M11" t="s">
        <v>78</v>
      </c>
      <c r="N11" t="s">
        <v>288</v>
      </c>
      <c r="O11" t="s">
        <v>74</v>
      </c>
      <c r="P11" t="s">
        <v>74</v>
      </c>
      <c r="Q11" t="s">
        <v>74</v>
      </c>
      <c r="R11" t="s">
        <v>74</v>
      </c>
      <c r="S11" t="s">
        <v>74</v>
      </c>
      <c r="T11" t="s">
        <v>289</v>
      </c>
      <c r="U11" t="s">
        <v>74</v>
      </c>
      <c r="V11" t="s">
        <v>74</v>
      </c>
      <c r="W11" t="s">
        <v>290</v>
      </c>
      <c r="X11" t="s">
        <v>291</v>
      </c>
      <c r="Y11" t="s">
        <v>292</v>
      </c>
      <c r="Z11" t="s">
        <v>293</v>
      </c>
      <c r="AA11" t="s">
        <v>74</v>
      </c>
      <c r="AB11" t="s">
        <v>74</v>
      </c>
      <c r="AC11" t="s">
        <v>74</v>
      </c>
      <c r="AD11" t="s">
        <v>74</v>
      </c>
      <c r="AE11" t="s">
        <v>74</v>
      </c>
      <c r="AF11" t="s">
        <v>74</v>
      </c>
      <c r="AG11">
        <v>9</v>
      </c>
      <c r="AH11">
        <v>0</v>
      </c>
      <c r="AI11">
        <v>0</v>
      </c>
      <c r="AJ11">
        <v>0</v>
      </c>
      <c r="AK11">
        <v>0</v>
      </c>
      <c r="AL11" t="s">
        <v>87</v>
      </c>
      <c r="AM11" t="s">
        <v>88</v>
      </c>
      <c r="AN11" t="s">
        <v>89</v>
      </c>
      <c r="AO11" t="s">
        <v>294</v>
      </c>
      <c r="AP11" t="s">
        <v>295</v>
      </c>
      <c r="AQ11" t="s">
        <v>74</v>
      </c>
      <c r="AR11" t="s">
        <v>296</v>
      </c>
      <c r="AS11" t="s">
        <v>297</v>
      </c>
      <c r="AT11" t="s">
        <v>185</v>
      </c>
      <c r="AU11">
        <v>2023</v>
      </c>
      <c r="AV11">
        <v>63</v>
      </c>
      <c r="AW11">
        <v>10</v>
      </c>
      <c r="AX11" t="s">
        <v>74</v>
      </c>
      <c r="AY11" t="s">
        <v>74</v>
      </c>
      <c r="AZ11" t="s">
        <v>74</v>
      </c>
      <c r="BA11" t="s">
        <v>74</v>
      </c>
      <c r="BB11">
        <v>1169</v>
      </c>
      <c r="BC11">
        <v>1170</v>
      </c>
      <c r="BD11" t="s">
        <v>74</v>
      </c>
      <c r="BE11" t="s">
        <v>298</v>
      </c>
      <c r="BF11" t="str">
        <f>HYPERLINK("http://dx.doi.org/10.1002/jcph.2324","http://dx.doi.org/10.1002/jcph.2324")</f>
        <v>http://dx.doi.org/10.1002/jcph.2324</v>
      </c>
      <c r="BG11" t="s">
        <v>74</v>
      </c>
      <c r="BH11" t="s">
        <v>74</v>
      </c>
      <c r="BI11">
        <v>2</v>
      </c>
      <c r="BJ11" t="s">
        <v>299</v>
      </c>
      <c r="BK11" t="s">
        <v>119</v>
      </c>
      <c r="BL11" t="s">
        <v>299</v>
      </c>
      <c r="BM11" t="s">
        <v>300</v>
      </c>
      <c r="BN11">
        <v>37504515</v>
      </c>
      <c r="BO11" t="s">
        <v>301</v>
      </c>
      <c r="BP11" t="s">
        <v>74</v>
      </c>
      <c r="BQ11" t="s">
        <v>74</v>
      </c>
      <c r="BR11" t="s">
        <v>99</v>
      </c>
      <c r="BS11" t="s">
        <v>302</v>
      </c>
      <c r="BT11" t="str">
        <f>HYPERLINK("https%3A%2F%2Fwww.webofscience.com%2Fwos%2Fwoscc%2Ffull-record%2FWOS:001065282400011","View Full Record in Web of Science")</f>
        <v>View Full Record in Web of Science</v>
      </c>
    </row>
    <row r="12" spans="1:72" x14ac:dyDescent="0.15">
      <c r="A12" t="s">
        <v>72</v>
      </c>
      <c r="B12" t="s">
        <v>303</v>
      </c>
      <c r="C12" t="s">
        <v>74</v>
      </c>
      <c r="D12" t="s">
        <v>74</v>
      </c>
      <c r="E12" t="s">
        <v>74</v>
      </c>
      <c r="F12" t="s">
        <v>304</v>
      </c>
      <c r="G12" t="s">
        <v>74</v>
      </c>
      <c r="H12" t="s">
        <v>74</v>
      </c>
      <c r="I12" t="s">
        <v>305</v>
      </c>
      <c r="J12" t="s">
        <v>306</v>
      </c>
      <c r="K12" t="s">
        <v>74</v>
      </c>
      <c r="L12" t="s">
        <v>74</v>
      </c>
      <c r="M12" t="s">
        <v>78</v>
      </c>
      <c r="N12" t="s">
        <v>307</v>
      </c>
      <c r="O12" t="s">
        <v>74</v>
      </c>
      <c r="P12" t="s">
        <v>74</v>
      </c>
      <c r="Q12" t="s">
        <v>74</v>
      </c>
      <c r="R12" t="s">
        <v>74</v>
      </c>
      <c r="S12" t="s">
        <v>74</v>
      </c>
      <c r="T12" t="s">
        <v>74</v>
      </c>
      <c r="U12" t="s">
        <v>74</v>
      </c>
      <c r="V12" t="s">
        <v>74</v>
      </c>
      <c r="W12" t="s">
        <v>74</v>
      </c>
      <c r="X12" t="s">
        <v>74</v>
      </c>
      <c r="Y12" t="s">
        <v>74</v>
      </c>
      <c r="Z12" t="s">
        <v>308</v>
      </c>
      <c r="AA12" t="s">
        <v>74</v>
      </c>
      <c r="AB12" t="s">
        <v>74</v>
      </c>
      <c r="AC12" t="s">
        <v>74</v>
      </c>
      <c r="AD12" t="s">
        <v>74</v>
      </c>
      <c r="AE12" t="s">
        <v>74</v>
      </c>
      <c r="AF12" t="s">
        <v>74</v>
      </c>
      <c r="AG12">
        <v>54</v>
      </c>
      <c r="AH12">
        <v>0</v>
      </c>
      <c r="AI12">
        <v>0</v>
      </c>
      <c r="AJ12">
        <v>0</v>
      </c>
      <c r="AK12">
        <v>0</v>
      </c>
      <c r="AL12" t="s">
        <v>87</v>
      </c>
      <c r="AM12" t="s">
        <v>88</v>
      </c>
      <c r="AN12" t="s">
        <v>89</v>
      </c>
      <c r="AO12" t="s">
        <v>309</v>
      </c>
      <c r="AP12" t="s">
        <v>310</v>
      </c>
      <c r="AQ12" t="s">
        <v>74</v>
      </c>
      <c r="AR12" t="s">
        <v>311</v>
      </c>
      <c r="AS12" t="s">
        <v>312</v>
      </c>
      <c r="AT12" t="s">
        <v>185</v>
      </c>
      <c r="AU12">
        <v>2023</v>
      </c>
      <c r="AV12">
        <v>39</v>
      </c>
      <c r="AW12">
        <v>5</v>
      </c>
      <c r="AX12" t="s">
        <v>74</v>
      </c>
      <c r="AY12" t="s">
        <v>74</v>
      </c>
      <c r="AZ12" t="s">
        <v>74</v>
      </c>
      <c r="BA12" t="s">
        <v>74</v>
      </c>
      <c r="BB12">
        <v>399</v>
      </c>
      <c r="BC12">
        <v>402</v>
      </c>
      <c r="BD12" t="s">
        <v>74</v>
      </c>
      <c r="BE12" t="s">
        <v>313</v>
      </c>
      <c r="BF12" t="str">
        <f>HYPERLINK("http://dx.doi.org/10.1111/edt.12885","http://dx.doi.org/10.1111/edt.12885")</f>
        <v>http://dx.doi.org/10.1111/edt.12885</v>
      </c>
      <c r="BG12" t="s">
        <v>74</v>
      </c>
      <c r="BH12" t="s">
        <v>74</v>
      </c>
      <c r="BI12">
        <v>4</v>
      </c>
      <c r="BJ12" t="s">
        <v>314</v>
      </c>
      <c r="BK12" t="s">
        <v>119</v>
      </c>
      <c r="BL12" t="s">
        <v>314</v>
      </c>
      <c r="BM12" t="s">
        <v>315</v>
      </c>
      <c r="BN12">
        <v>37688524</v>
      </c>
      <c r="BO12" t="s">
        <v>74</v>
      </c>
      <c r="BP12" t="s">
        <v>74</v>
      </c>
      <c r="BQ12" t="s">
        <v>74</v>
      </c>
      <c r="BR12" t="s">
        <v>99</v>
      </c>
      <c r="BS12" t="s">
        <v>316</v>
      </c>
      <c r="BT12" t="str">
        <f>HYPERLINK("https%3A%2F%2Fwww.webofscience.com%2Fwos%2Fwoscc%2Ffull-record%2FWOS:001065271900001","View Full Record in Web of Science")</f>
        <v>View Full Record in Web of Science</v>
      </c>
    </row>
    <row r="13" spans="1:72" x14ac:dyDescent="0.15">
      <c r="A13" t="s">
        <v>72</v>
      </c>
      <c r="B13" t="s">
        <v>317</v>
      </c>
      <c r="C13" t="s">
        <v>74</v>
      </c>
      <c r="D13" t="s">
        <v>74</v>
      </c>
      <c r="E13" t="s">
        <v>74</v>
      </c>
      <c r="F13" t="s">
        <v>318</v>
      </c>
      <c r="G13" t="s">
        <v>74</v>
      </c>
      <c r="H13" t="s">
        <v>74</v>
      </c>
      <c r="I13" t="s">
        <v>319</v>
      </c>
      <c r="J13" t="s">
        <v>239</v>
      </c>
      <c r="K13" t="s">
        <v>74</v>
      </c>
      <c r="L13" t="s">
        <v>74</v>
      </c>
      <c r="M13" t="s">
        <v>78</v>
      </c>
      <c r="N13" t="s">
        <v>79</v>
      </c>
      <c r="O13" t="s">
        <v>74</v>
      </c>
      <c r="P13" t="s">
        <v>74</v>
      </c>
      <c r="Q13" t="s">
        <v>74</v>
      </c>
      <c r="R13" t="s">
        <v>74</v>
      </c>
      <c r="S13" t="s">
        <v>74</v>
      </c>
      <c r="T13" t="s">
        <v>74</v>
      </c>
      <c r="U13" t="s">
        <v>320</v>
      </c>
      <c r="V13" t="s">
        <v>321</v>
      </c>
      <c r="W13" t="s">
        <v>322</v>
      </c>
      <c r="X13" t="s">
        <v>323</v>
      </c>
      <c r="Y13" t="s">
        <v>324</v>
      </c>
      <c r="Z13" t="s">
        <v>325</v>
      </c>
      <c r="AA13" t="s">
        <v>74</v>
      </c>
      <c r="AB13" t="s">
        <v>326</v>
      </c>
      <c r="AC13" t="s">
        <v>327</v>
      </c>
      <c r="AD13" t="s">
        <v>328</v>
      </c>
      <c r="AE13" t="s">
        <v>329</v>
      </c>
      <c r="AF13" t="s">
        <v>74</v>
      </c>
      <c r="AG13">
        <v>33</v>
      </c>
      <c r="AH13">
        <v>0</v>
      </c>
      <c r="AI13">
        <v>0</v>
      </c>
      <c r="AJ13">
        <v>0</v>
      </c>
      <c r="AK13">
        <v>0</v>
      </c>
      <c r="AL13" t="s">
        <v>87</v>
      </c>
      <c r="AM13" t="s">
        <v>88</v>
      </c>
      <c r="AN13" t="s">
        <v>89</v>
      </c>
      <c r="AO13" t="s">
        <v>251</v>
      </c>
      <c r="AP13" t="s">
        <v>252</v>
      </c>
      <c r="AQ13" t="s">
        <v>74</v>
      </c>
      <c r="AR13" t="s">
        <v>253</v>
      </c>
      <c r="AS13" t="s">
        <v>254</v>
      </c>
      <c r="AT13" t="s">
        <v>185</v>
      </c>
      <c r="AU13">
        <v>2023</v>
      </c>
      <c r="AV13">
        <v>37</v>
      </c>
      <c r="AW13">
        <v>10</v>
      </c>
      <c r="AX13" t="s">
        <v>74</v>
      </c>
      <c r="AY13" t="s">
        <v>74</v>
      </c>
      <c r="AZ13" t="s">
        <v>74</v>
      </c>
      <c r="BA13" t="s">
        <v>74</v>
      </c>
      <c r="BB13" t="s">
        <v>74</v>
      </c>
      <c r="BC13" t="s">
        <v>74</v>
      </c>
      <c r="BD13" t="s">
        <v>330</v>
      </c>
      <c r="BE13" t="s">
        <v>331</v>
      </c>
      <c r="BF13" t="str">
        <f>HYPERLINK("http://dx.doi.org/10.1096/fj.202300982R","http://dx.doi.org/10.1096/fj.202300982R")</f>
        <v>http://dx.doi.org/10.1096/fj.202300982R</v>
      </c>
      <c r="BG13" t="s">
        <v>74</v>
      </c>
      <c r="BH13" t="s">
        <v>74</v>
      </c>
      <c r="BI13">
        <v>8</v>
      </c>
      <c r="BJ13" t="s">
        <v>257</v>
      </c>
      <c r="BK13" t="s">
        <v>119</v>
      </c>
      <c r="BL13" t="s">
        <v>258</v>
      </c>
      <c r="BM13" t="s">
        <v>332</v>
      </c>
      <c r="BN13">
        <v>37732618</v>
      </c>
      <c r="BO13" t="s">
        <v>122</v>
      </c>
      <c r="BP13" t="s">
        <v>74</v>
      </c>
      <c r="BQ13" t="s">
        <v>74</v>
      </c>
      <c r="BR13" t="s">
        <v>99</v>
      </c>
      <c r="BS13" t="s">
        <v>333</v>
      </c>
      <c r="BT13" t="str">
        <f>HYPERLINK("https%3A%2F%2Fwww.webofscience.com%2Fwos%2Fwoscc%2Ffull-record%2FWOS:001071440500001","View Full Record in Web of Science")</f>
        <v>View Full Record in Web of Science</v>
      </c>
    </row>
    <row r="14" spans="1:72" x14ac:dyDescent="0.15">
      <c r="A14" t="s">
        <v>72</v>
      </c>
      <c r="B14" t="s">
        <v>334</v>
      </c>
      <c r="C14" t="s">
        <v>74</v>
      </c>
      <c r="D14" t="s">
        <v>74</v>
      </c>
      <c r="E14" t="s">
        <v>74</v>
      </c>
      <c r="F14" t="s">
        <v>335</v>
      </c>
      <c r="G14" t="s">
        <v>74</v>
      </c>
      <c r="H14" t="s">
        <v>74</v>
      </c>
      <c r="I14" t="s">
        <v>336</v>
      </c>
      <c r="J14" t="s">
        <v>337</v>
      </c>
      <c r="K14" t="s">
        <v>74</v>
      </c>
      <c r="L14" t="s">
        <v>74</v>
      </c>
      <c r="M14" t="s">
        <v>78</v>
      </c>
      <c r="N14" t="s">
        <v>338</v>
      </c>
      <c r="O14" t="s">
        <v>74</v>
      </c>
      <c r="P14" t="s">
        <v>74</v>
      </c>
      <c r="Q14" t="s">
        <v>74</v>
      </c>
      <c r="R14" t="s">
        <v>74</v>
      </c>
      <c r="S14" t="s">
        <v>74</v>
      </c>
      <c r="T14" t="s">
        <v>339</v>
      </c>
      <c r="U14" t="s">
        <v>340</v>
      </c>
      <c r="V14" t="s">
        <v>341</v>
      </c>
      <c r="W14" t="s">
        <v>342</v>
      </c>
      <c r="X14" t="s">
        <v>343</v>
      </c>
      <c r="Y14" t="s">
        <v>344</v>
      </c>
      <c r="Z14" t="s">
        <v>345</v>
      </c>
      <c r="AA14" t="s">
        <v>74</v>
      </c>
      <c r="AB14" t="s">
        <v>74</v>
      </c>
      <c r="AC14" t="s">
        <v>346</v>
      </c>
      <c r="AD14" t="s">
        <v>346</v>
      </c>
      <c r="AE14" t="s">
        <v>346</v>
      </c>
      <c r="AF14" t="s">
        <v>74</v>
      </c>
      <c r="AG14">
        <v>30</v>
      </c>
      <c r="AH14">
        <v>0</v>
      </c>
      <c r="AI14">
        <v>0</v>
      </c>
      <c r="AJ14">
        <v>0</v>
      </c>
      <c r="AK14">
        <v>0</v>
      </c>
      <c r="AL14" t="s">
        <v>87</v>
      </c>
      <c r="AM14" t="s">
        <v>88</v>
      </c>
      <c r="AN14" t="s">
        <v>89</v>
      </c>
      <c r="AO14" t="s">
        <v>347</v>
      </c>
      <c r="AP14" t="s">
        <v>348</v>
      </c>
      <c r="AQ14" t="s">
        <v>74</v>
      </c>
      <c r="AR14" t="s">
        <v>349</v>
      </c>
      <c r="AS14" t="s">
        <v>350</v>
      </c>
      <c r="AT14" t="s">
        <v>351</v>
      </c>
      <c r="AU14">
        <v>2023</v>
      </c>
      <c r="AV14" t="s">
        <v>74</v>
      </c>
      <c r="AW14" t="s">
        <v>74</v>
      </c>
      <c r="AX14" t="s">
        <v>74</v>
      </c>
      <c r="AY14" t="s">
        <v>74</v>
      </c>
      <c r="AZ14" t="s">
        <v>74</v>
      </c>
      <c r="BA14" t="s">
        <v>74</v>
      </c>
      <c r="BB14" t="s">
        <v>74</v>
      </c>
      <c r="BC14" t="s">
        <v>74</v>
      </c>
      <c r="BD14" t="s">
        <v>74</v>
      </c>
      <c r="BE14" t="s">
        <v>352</v>
      </c>
      <c r="BF14" t="str">
        <f>HYPERLINK("http://dx.doi.org/10.1111/eve.13895","http://dx.doi.org/10.1111/eve.13895")</f>
        <v>http://dx.doi.org/10.1111/eve.13895</v>
      </c>
      <c r="BG14" t="s">
        <v>74</v>
      </c>
      <c r="BH14" t="s">
        <v>353</v>
      </c>
      <c r="BI14">
        <v>6</v>
      </c>
      <c r="BJ14" t="s">
        <v>354</v>
      </c>
      <c r="BK14" t="s">
        <v>119</v>
      </c>
      <c r="BL14" t="s">
        <v>354</v>
      </c>
      <c r="BM14" t="s">
        <v>355</v>
      </c>
      <c r="BN14" t="s">
        <v>74</v>
      </c>
      <c r="BO14" t="s">
        <v>122</v>
      </c>
      <c r="BP14" t="s">
        <v>74</v>
      </c>
      <c r="BQ14" t="s">
        <v>74</v>
      </c>
      <c r="BR14" t="s">
        <v>99</v>
      </c>
      <c r="BS14" t="s">
        <v>356</v>
      </c>
      <c r="BT14" t="str">
        <f>HYPERLINK("https%3A%2F%2Fwww.webofscience.com%2Fwos%2Fwoscc%2Ffull-record%2FWOS:001073255400001","View Full Record in Web of Science")</f>
        <v>View Full Record in Web of Science</v>
      </c>
    </row>
    <row r="15" spans="1:72" x14ac:dyDescent="0.15">
      <c r="A15" t="s">
        <v>72</v>
      </c>
      <c r="B15" t="s">
        <v>357</v>
      </c>
      <c r="C15" t="s">
        <v>74</v>
      </c>
      <c r="D15" t="s">
        <v>74</v>
      </c>
      <c r="E15" t="s">
        <v>74</v>
      </c>
      <c r="F15" t="s">
        <v>358</v>
      </c>
      <c r="G15" t="s">
        <v>74</v>
      </c>
      <c r="H15" t="s">
        <v>74</v>
      </c>
      <c r="I15" t="s">
        <v>359</v>
      </c>
      <c r="J15" t="s">
        <v>239</v>
      </c>
      <c r="K15" t="s">
        <v>74</v>
      </c>
      <c r="L15" t="s">
        <v>74</v>
      </c>
      <c r="M15" t="s">
        <v>78</v>
      </c>
      <c r="N15" t="s">
        <v>79</v>
      </c>
      <c r="O15" t="s">
        <v>74</v>
      </c>
      <c r="P15" t="s">
        <v>74</v>
      </c>
      <c r="Q15" t="s">
        <v>74</v>
      </c>
      <c r="R15" t="s">
        <v>74</v>
      </c>
      <c r="S15" t="s">
        <v>74</v>
      </c>
      <c r="T15" t="s">
        <v>360</v>
      </c>
      <c r="U15" t="s">
        <v>361</v>
      </c>
      <c r="V15" t="s">
        <v>362</v>
      </c>
      <c r="W15" t="s">
        <v>363</v>
      </c>
      <c r="X15" t="s">
        <v>364</v>
      </c>
      <c r="Y15" t="s">
        <v>365</v>
      </c>
      <c r="Z15" t="s">
        <v>366</v>
      </c>
      <c r="AA15" t="s">
        <v>74</v>
      </c>
      <c r="AB15" t="s">
        <v>74</v>
      </c>
      <c r="AC15" t="s">
        <v>367</v>
      </c>
      <c r="AD15" t="s">
        <v>367</v>
      </c>
      <c r="AE15" t="s">
        <v>367</v>
      </c>
      <c r="AF15" t="s">
        <v>74</v>
      </c>
      <c r="AG15">
        <v>44</v>
      </c>
      <c r="AH15">
        <v>0</v>
      </c>
      <c r="AI15">
        <v>0</v>
      </c>
      <c r="AJ15">
        <v>1</v>
      </c>
      <c r="AK15">
        <v>1</v>
      </c>
      <c r="AL15" t="s">
        <v>87</v>
      </c>
      <c r="AM15" t="s">
        <v>88</v>
      </c>
      <c r="AN15" t="s">
        <v>89</v>
      </c>
      <c r="AO15" t="s">
        <v>251</v>
      </c>
      <c r="AP15" t="s">
        <v>252</v>
      </c>
      <c r="AQ15" t="s">
        <v>74</v>
      </c>
      <c r="AR15" t="s">
        <v>253</v>
      </c>
      <c r="AS15" t="s">
        <v>254</v>
      </c>
      <c r="AT15" t="s">
        <v>185</v>
      </c>
      <c r="AU15">
        <v>2023</v>
      </c>
      <c r="AV15">
        <v>37</v>
      </c>
      <c r="AW15">
        <v>10</v>
      </c>
      <c r="AX15" t="s">
        <v>74</v>
      </c>
      <c r="AY15" t="s">
        <v>74</v>
      </c>
      <c r="AZ15" t="s">
        <v>74</v>
      </c>
      <c r="BA15" t="s">
        <v>74</v>
      </c>
      <c r="BB15" t="s">
        <v>74</v>
      </c>
      <c r="BC15" t="s">
        <v>74</v>
      </c>
      <c r="BD15" t="s">
        <v>368</v>
      </c>
      <c r="BE15" t="s">
        <v>369</v>
      </c>
      <c r="BF15" t="str">
        <f>HYPERLINK("http://dx.doi.org/10.1096/fj.202300505RR","http://dx.doi.org/10.1096/fj.202300505RR")</f>
        <v>http://dx.doi.org/10.1096/fj.202300505RR</v>
      </c>
      <c r="BG15" t="s">
        <v>74</v>
      </c>
      <c r="BH15" t="s">
        <v>74</v>
      </c>
      <c r="BI15">
        <v>14</v>
      </c>
      <c r="BJ15" t="s">
        <v>257</v>
      </c>
      <c r="BK15" t="s">
        <v>119</v>
      </c>
      <c r="BL15" t="s">
        <v>258</v>
      </c>
      <c r="BM15" t="s">
        <v>370</v>
      </c>
      <c r="BN15">
        <v>37651092</v>
      </c>
      <c r="BO15" t="s">
        <v>74</v>
      </c>
      <c r="BP15" t="s">
        <v>74</v>
      </c>
      <c r="BQ15" t="s">
        <v>74</v>
      </c>
      <c r="BR15" t="s">
        <v>99</v>
      </c>
      <c r="BS15" t="s">
        <v>371</v>
      </c>
      <c r="BT15" t="str">
        <f>HYPERLINK("https%3A%2F%2Fwww.webofscience.com%2Fwos%2Fwoscc%2Ffull-record%2FWOS:001059122300001","View Full Record in Web of Science")</f>
        <v>View Full Record in Web of Science</v>
      </c>
    </row>
    <row r="16" spans="1:72" x14ac:dyDescent="0.15">
      <c r="A16" t="s">
        <v>72</v>
      </c>
      <c r="B16" t="s">
        <v>372</v>
      </c>
      <c r="C16" t="s">
        <v>74</v>
      </c>
      <c r="D16" t="s">
        <v>74</v>
      </c>
      <c r="E16" t="s">
        <v>74</v>
      </c>
      <c r="F16" t="s">
        <v>373</v>
      </c>
      <c r="G16" t="s">
        <v>74</v>
      </c>
      <c r="H16" t="s">
        <v>74</v>
      </c>
      <c r="I16" t="s">
        <v>374</v>
      </c>
      <c r="J16" t="s">
        <v>239</v>
      </c>
      <c r="K16" t="s">
        <v>74</v>
      </c>
      <c r="L16" t="s">
        <v>74</v>
      </c>
      <c r="M16" t="s">
        <v>78</v>
      </c>
      <c r="N16" t="s">
        <v>79</v>
      </c>
      <c r="O16" t="s">
        <v>74</v>
      </c>
      <c r="P16" t="s">
        <v>74</v>
      </c>
      <c r="Q16" t="s">
        <v>74</v>
      </c>
      <c r="R16" t="s">
        <v>74</v>
      </c>
      <c r="S16" t="s">
        <v>74</v>
      </c>
      <c r="T16" t="s">
        <v>375</v>
      </c>
      <c r="U16" t="s">
        <v>376</v>
      </c>
      <c r="V16" t="s">
        <v>377</v>
      </c>
      <c r="W16" t="s">
        <v>378</v>
      </c>
      <c r="X16" t="s">
        <v>379</v>
      </c>
      <c r="Y16" t="s">
        <v>380</v>
      </c>
      <c r="Z16" t="s">
        <v>381</v>
      </c>
      <c r="AA16" t="s">
        <v>74</v>
      </c>
      <c r="AB16" t="s">
        <v>382</v>
      </c>
      <c r="AC16" t="s">
        <v>383</v>
      </c>
      <c r="AD16" t="s">
        <v>383</v>
      </c>
      <c r="AE16" t="s">
        <v>384</v>
      </c>
      <c r="AF16" t="s">
        <v>74</v>
      </c>
      <c r="AG16">
        <v>92</v>
      </c>
      <c r="AH16">
        <v>0</v>
      </c>
      <c r="AI16">
        <v>0</v>
      </c>
      <c r="AJ16">
        <v>12</v>
      </c>
      <c r="AK16">
        <v>12</v>
      </c>
      <c r="AL16" t="s">
        <v>87</v>
      </c>
      <c r="AM16" t="s">
        <v>88</v>
      </c>
      <c r="AN16" t="s">
        <v>89</v>
      </c>
      <c r="AO16" t="s">
        <v>251</v>
      </c>
      <c r="AP16" t="s">
        <v>252</v>
      </c>
      <c r="AQ16" t="s">
        <v>74</v>
      </c>
      <c r="AR16" t="s">
        <v>253</v>
      </c>
      <c r="AS16" t="s">
        <v>254</v>
      </c>
      <c r="AT16" t="s">
        <v>185</v>
      </c>
      <c r="AU16">
        <v>2023</v>
      </c>
      <c r="AV16">
        <v>37</v>
      </c>
      <c r="AW16">
        <v>10</v>
      </c>
      <c r="AX16" t="s">
        <v>74</v>
      </c>
      <c r="AY16" t="s">
        <v>74</v>
      </c>
      <c r="AZ16" t="s">
        <v>74</v>
      </c>
      <c r="BA16" t="s">
        <v>74</v>
      </c>
      <c r="BB16" t="s">
        <v>74</v>
      </c>
      <c r="BC16" t="s">
        <v>74</v>
      </c>
      <c r="BD16" t="s">
        <v>385</v>
      </c>
      <c r="BE16" t="s">
        <v>386</v>
      </c>
      <c r="BF16" t="str">
        <f>HYPERLINK("http://dx.doi.org/10.1096/fj.202300457RR","http://dx.doi.org/10.1096/fj.202300457RR")</f>
        <v>http://dx.doi.org/10.1096/fj.202300457RR</v>
      </c>
      <c r="BG16" t="s">
        <v>74</v>
      </c>
      <c r="BH16" t="s">
        <v>74</v>
      </c>
      <c r="BI16">
        <v>30</v>
      </c>
      <c r="BJ16" t="s">
        <v>257</v>
      </c>
      <c r="BK16" t="s">
        <v>119</v>
      </c>
      <c r="BL16" t="s">
        <v>258</v>
      </c>
      <c r="BM16" t="s">
        <v>387</v>
      </c>
      <c r="BN16">
        <v>37651093</v>
      </c>
      <c r="BO16" t="s">
        <v>74</v>
      </c>
      <c r="BP16" t="s">
        <v>74</v>
      </c>
      <c r="BQ16" t="s">
        <v>74</v>
      </c>
      <c r="BR16" t="s">
        <v>99</v>
      </c>
      <c r="BS16" t="s">
        <v>388</v>
      </c>
      <c r="BT16" t="str">
        <f>HYPERLINK("https%3A%2F%2Fwww.webofscience.com%2Fwos%2Fwoscc%2Ffull-record%2FWOS:001059107100001","View Full Record in Web of Science")</f>
        <v>View Full Record in Web of Science</v>
      </c>
    </row>
    <row r="17" spans="1:72" x14ac:dyDescent="0.15">
      <c r="A17" t="s">
        <v>72</v>
      </c>
      <c r="B17" t="s">
        <v>389</v>
      </c>
      <c r="C17" t="s">
        <v>74</v>
      </c>
      <c r="D17" t="s">
        <v>74</v>
      </c>
      <c r="E17" t="s">
        <v>74</v>
      </c>
      <c r="F17" t="s">
        <v>390</v>
      </c>
      <c r="G17" t="s">
        <v>74</v>
      </c>
      <c r="H17" t="s">
        <v>74</v>
      </c>
      <c r="I17" t="s">
        <v>391</v>
      </c>
      <c r="J17" t="s">
        <v>392</v>
      </c>
      <c r="K17" t="s">
        <v>74</v>
      </c>
      <c r="L17" t="s">
        <v>74</v>
      </c>
      <c r="M17" t="s">
        <v>78</v>
      </c>
      <c r="N17" t="s">
        <v>338</v>
      </c>
      <c r="O17" t="s">
        <v>74</v>
      </c>
      <c r="P17" t="s">
        <v>74</v>
      </c>
      <c r="Q17" t="s">
        <v>74</v>
      </c>
      <c r="R17" t="s">
        <v>74</v>
      </c>
      <c r="S17" t="s">
        <v>74</v>
      </c>
      <c r="T17" t="s">
        <v>393</v>
      </c>
      <c r="U17" t="s">
        <v>74</v>
      </c>
      <c r="V17" t="s">
        <v>394</v>
      </c>
      <c r="W17" t="s">
        <v>395</v>
      </c>
      <c r="X17" t="s">
        <v>396</v>
      </c>
      <c r="Y17" t="s">
        <v>397</v>
      </c>
      <c r="Z17" t="s">
        <v>398</v>
      </c>
      <c r="AA17" t="s">
        <v>74</v>
      </c>
      <c r="AB17" t="s">
        <v>74</v>
      </c>
      <c r="AC17" t="s">
        <v>399</v>
      </c>
      <c r="AD17" t="s">
        <v>400</v>
      </c>
      <c r="AE17" t="s">
        <v>401</v>
      </c>
      <c r="AF17" t="s">
        <v>74</v>
      </c>
      <c r="AG17">
        <v>0</v>
      </c>
      <c r="AH17">
        <v>0</v>
      </c>
      <c r="AI17">
        <v>0</v>
      </c>
      <c r="AJ17">
        <v>0</v>
      </c>
      <c r="AK17">
        <v>0</v>
      </c>
      <c r="AL17" t="s">
        <v>87</v>
      </c>
      <c r="AM17" t="s">
        <v>88</v>
      </c>
      <c r="AN17" t="s">
        <v>89</v>
      </c>
      <c r="AO17" t="s">
        <v>402</v>
      </c>
      <c r="AP17" t="s">
        <v>403</v>
      </c>
      <c r="AQ17" t="s">
        <v>74</v>
      </c>
      <c r="AR17" t="s">
        <v>392</v>
      </c>
      <c r="AS17" t="s">
        <v>404</v>
      </c>
      <c r="AT17" t="s">
        <v>405</v>
      </c>
      <c r="AU17">
        <v>2023</v>
      </c>
      <c r="AV17" t="s">
        <v>74</v>
      </c>
      <c r="AW17" t="s">
        <v>74</v>
      </c>
      <c r="AX17" t="s">
        <v>74</v>
      </c>
      <c r="AY17" t="s">
        <v>74</v>
      </c>
      <c r="AZ17" t="s">
        <v>74</v>
      </c>
      <c r="BA17" t="s">
        <v>74</v>
      </c>
      <c r="BB17" t="s">
        <v>74</v>
      </c>
      <c r="BC17" t="s">
        <v>74</v>
      </c>
      <c r="BD17" t="s">
        <v>74</v>
      </c>
      <c r="BE17" t="s">
        <v>406</v>
      </c>
      <c r="BF17" t="str">
        <f>HYPERLINK("http://dx.doi.org/10.1111/bioe.13223","http://dx.doi.org/10.1111/bioe.13223")</f>
        <v>http://dx.doi.org/10.1111/bioe.13223</v>
      </c>
      <c r="BG17" t="s">
        <v>74</v>
      </c>
      <c r="BH17" t="s">
        <v>407</v>
      </c>
      <c r="BI17">
        <v>10</v>
      </c>
      <c r="BJ17" t="s">
        <v>408</v>
      </c>
      <c r="BK17" t="s">
        <v>409</v>
      </c>
      <c r="BL17" t="s">
        <v>410</v>
      </c>
      <c r="BM17" t="s">
        <v>411</v>
      </c>
      <c r="BN17">
        <v>37776560</v>
      </c>
      <c r="BO17" t="s">
        <v>74</v>
      </c>
      <c r="BP17" t="s">
        <v>74</v>
      </c>
      <c r="BQ17" t="s">
        <v>74</v>
      </c>
      <c r="BR17" t="s">
        <v>99</v>
      </c>
      <c r="BS17" t="s">
        <v>412</v>
      </c>
      <c r="BT17" t="str">
        <f>HYPERLINK("https%3A%2F%2Fwww.webofscience.com%2Fwos%2Fwoscc%2Ffull-record%2FWOS:001073178200001","View Full Record in Web of Science")</f>
        <v>View Full Record in Web of Science</v>
      </c>
    </row>
    <row r="18" spans="1:72" x14ac:dyDescent="0.15">
      <c r="A18" t="s">
        <v>72</v>
      </c>
      <c r="B18" t="s">
        <v>413</v>
      </c>
      <c r="C18" t="s">
        <v>74</v>
      </c>
      <c r="D18" t="s">
        <v>74</v>
      </c>
      <c r="E18" t="s">
        <v>74</v>
      </c>
      <c r="F18" t="s">
        <v>414</v>
      </c>
      <c r="G18" t="s">
        <v>74</v>
      </c>
      <c r="H18" t="s">
        <v>74</v>
      </c>
      <c r="I18" t="s">
        <v>415</v>
      </c>
      <c r="J18" t="s">
        <v>416</v>
      </c>
      <c r="K18" t="s">
        <v>74</v>
      </c>
      <c r="L18" t="s">
        <v>74</v>
      </c>
      <c r="M18" t="s">
        <v>78</v>
      </c>
      <c r="N18" t="s">
        <v>338</v>
      </c>
      <c r="O18" t="s">
        <v>74</v>
      </c>
      <c r="P18" t="s">
        <v>74</v>
      </c>
      <c r="Q18" t="s">
        <v>74</v>
      </c>
      <c r="R18" t="s">
        <v>74</v>
      </c>
      <c r="S18" t="s">
        <v>74</v>
      </c>
      <c r="T18" t="s">
        <v>417</v>
      </c>
      <c r="U18" t="s">
        <v>418</v>
      </c>
      <c r="V18" t="s">
        <v>419</v>
      </c>
      <c r="W18" t="s">
        <v>420</v>
      </c>
      <c r="X18" t="s">
        <v>421</v>
      </c>
      <c r="Y18" t="s">
        <v>422</v>
      </c>
      <c r="Z18" t="s">
        <v>423</v>
      </c>
      <c r="AA18" t="s">
        <v>74</v>
      </c>
      <c r="AB18" t="s">
        <v>74</v>
      </c>
      <c r="AC18" t="s">
        <v>424</v>
      </c>
      <c r="AD18" t="s">
        <v>424</v>
      </c>
      <c r="AE18" t="s">
        <v>425</v>
      </c>
      <c r="AF18" t="s">
        <v>74</v>
      </c>
      <c r="AG18">
        <v>69</v>
      </c>
      <c r="AH18">
        <v>0</v>
      </c>
      <c r="AI18">
        <v>0</v>
      </c>
      <c r="AJ18">
        <v>0</v>
      </c>
      <c r="AK18">
        <v>0</v>
      </c>
      <c r="AL18" t="s">
        <v>426</v>
      </c>
      <c r="AM18" t="s">
        <v>427</v>
      </c>
      <c r="AN18" t="s">
        <v>428</v>
      </c>
      <c r="AO18" t="s">
        <v>429</v>
      </c>
      <c r="AP18" t="s">
        <v>430</v>
      </c>
      <c r="AQ18" t="s">
        <v>74</v>
      </c>
      <c r="AR18" t="s">
        <v>416</v>
      </c>
      <c r="AS18" t="s">
        <v>431</v>
      </c>
      <c r="AT18" t="s">
        <v>405</v>
      </c>
      <c r="AU18">
        <v>2023</v>
      </c>
      <c r="AV18" t="s">
        <v>74</v>
      </c>
      <c r="AW18" t="s">
        <v>74</v>
      </c>
      <c r="AX18" t="s">
        <v>74</v>
      </c>
      <c r="AY18" t="s">
        <v>74</v>
      </c>
      <c r="AZ18" t="s">
        <v>74</v>
      </c>
      <c r="BA18" t="s">
        <v>74</v>
      </c>
      <c r="BB18" t="s">
        <v>74</v>
      </c>
      <c r="BC18" t="s">
        <v>74</v>
      </c>
      <c r="BD18" t="s">
        <v>74</v>
      </c>
      <c r="BE18" t="s">
        <v>432</v>
      </c>
      <c r="BF18" t="str">
        <f>HYPERLINK("http://dx.doi.org/10.1002/star.202300084","http://dx.doi.org/10.1002/star.202300084")</f>
        <v>http://dx.doi.org/10.1002/star.202300084</v>
      </c>
      <c r="BG18" t="s">
        <v>74</v>
      </c>
      <c r="BH18" t="s">
        <v>407</v>
      </c>
      <c r="BI18">
        <v>13</v>
      </c>
      <c r="BJ18" t="s">
        <v>433</v>
      </c>
      <c r="BK18" t="s">
        <v>119</v>
      </c>
      <c r="BL18" t="s">
        <v>433</v>
      </c>
      <c r="BM18" t="s">
        <v>434</v>
      </c>
      <c r="BN18" t="s">
        <v>74</v>
      </c>
      <c r="BO18" t="s">
        <v>74</v>
      </c>
      <c r="BP18" t="s">
        <v>74</v>
      </c>
      <c r="BQ18" t="s">
        <v>74</v>
      </c>
      <c r="BR18" t="s">
        <v>99</v>
      </c>
      <c r="BS18" t="s">
        <v>435</v>
      </c>
      <c r="BT18" t="str">
        <f>HYPERLINK("https%3A%2F%2Fwww.webofscience.com%2Fwos%2Fwoscc%2Ffull-record%2FWOS:001073169400001","View Full Record in Web of Science")</f>
        <v>View Full Record in Web of Science</v>
      </c>
    </row>
    <row r="19" spans="1:72" x14ac:dyDescent="0.15">
      <c r="A19" t="s">
        <v>72</v>
      </c>
      <c r="B19" t="s">
        <v>436</v>
      </c>
      <c r="C19" t="s">
        <v>74</v>
      </c>
      <c r="D19" t="s">
        <v>74</v>
      </c>
      <c r="E19" t="s">
        <v>74</v>
      </c>
      <c r="F19" t="s">
        <v>437</v>
      </c>
      <c r="G19" t="s">
        <v>74</v>
      </c>
      <c r="H19" t="s">
        <v>74</v>
      </c>
      <c r="I19" t="s">
        <v>438</v>
      </c>
      <c r="J19" t="s">
        <v>439</v>
      </c>
      <c r="K19" t="s">
        <v>74</v>
      </c>
      <c r="L19" t="s">
        <v>74</v>
      </c>
      <c r="M19" t="s">
        <v>78</v>
      </c>
      <c r="N19" t="s">
        <v>338</v>
      </c>
      <c r="O19" t="s">
        <v>74</v>
      </c>
      <c r="P19" t="s">
        <v>74</v>
      </c>
      <c r="Q19" t="s">
        <v>74</v>
      </c>
      <c r="R19" t="s">
        <v>74</v>
      </c>
      <c r="S19" t="s">
        <v>74</v>
      </c>
      <c r="T19" t="s">
        <v>74</v>
      </c>
      <c r="U19" t="s">
        <v>440</v>
      </c>
      <c r="V19" t="s">
        <v>74</v>
      </c>
      <c r="W19" t="s">
        <v>441</v>
      </c>
      <c r="X19" t="s">
        <v>442</v>
      </c>
      <c r="Y19" t="s">
        <v>443</v>
      </c>
      <c r="Z19" t="s">
        <v>444</v>
      </c>
      <c r="AA19" t="s">
        <v>74</v>
      </c>
      <c r="AB19" t="s">
        <v>445</v>
      </c>
      <c r="AC19" t="s">
        <v>446</v>
      </c>
      <c r="AD19" t="s">
        <v>446</v>
      </c>
      <c r="AE19" t="s">
        <v>446</v>
      </c>
      <c r="AF19" t="s">
        <v>74</v>
      </c>
      <c r="AG19">
        <v>5</v>
      </c>
      <c r="AH19">
        <v>0</v>
      </c>
      <c r="AI19">
        <v>0</v>
      </c>
      <c r="AJ19">
        <v>0</v>
      </c>
      <c r="AK19">
        <v>0</v>
      </c>
      <c r="AL19" t="s">
        <v>87</v>
      </c>
      <c r="AM19" t="s">
        <v>88</v>
      </c>
      <c r="AN19" t="s">
        <v>89</v>
      </c>
      <c r="AO19" t="s">
        <v>447</v>
      </c>
      <c r="AP19" t="s">
        <v>448</v>
      </c>
      <c r="AQ19" t="s">
        <v>74</v>
      </c>
      <c r="AR19" t="s">
        <v>449</v>
      </c>
      <c r="AS19" t="s">
        <v>450</v>
      </c>
      <c r="AT19" t="s">
        <v>451</v>
      </c>
      <c r="AU19">
        <v>2023</v>
      </c>
      <c r="AV19" t="s">
        <v>74</v>
      </c>
      <c r="AW19" t="s">
        <v>74</v>
      </c>
      <c r="AX19" t="s">
        <v>74</v>
      </c>
      <c r="AY19" t="s">
        <v>74</v>
      </c>
      <c r="AZ19" t="s">
        <v>74</v>
      </c>
      <c r="BA19" t="s">
        <v>74</v>
      </c>
      <c r="BB19" t="s">
        <v>74</v>
      </c>
      <c r="BC19" t="s">
        <v>74</v>
      </c>
      <c r="BD19" t="s">
        <v>74</v>
      </c>
      <c r="BE19" t="s">
        <v>452</v>
      </c>
      <c r="BF19" t="str">
        <f>HYPERLINK("http://dx.doi.org/10.1111/apa.16983","http://dx.doi.org/10.1111/apa.16983")</f>
        <v>http://dx.doi.org/10.1111/apa.16983</v>
      </c>
      <c r="BG19" t="s">
        <v>74</v>
      </c>
      <c r="BH19" t="s">
        <v>407</v>
      </c>
      <c r="BI19">
        <v>2</v>
      </c>
      <c r="BJ19" t="s">
        <v>453</v>
      </c>
      <c r="BK19" t="s">
        <v>119</v>
      </c>
      <c r="BL19" t="s">
        <v>453</v>
      </c>
      <c r="BM19" t="s">
        <v>454</v>
      </c>
      <c r="BN19">
        <v>37772437</v>
      </c>
      <c r="BO19" t="s">
        <v>122</v>
      </c>
      <c r="BP19" t="s">
        <v>74</v>
      </c>
      <c r="BQ19" t="s">
        <v>74</v>
      </c>
      <c r="BR19" t="s">
        <v>99</v>
      </c>
      <c r="BS19" t="s">
        <v>455</v>
      </c>
      <c r="BT19" t="str">
        <f>HYPERLINK("https%3A%2F%2Fwww.webofscience.com%2Fwos%2Fwoscc%2Ffull-record%2FWOS:001074625800001","View Full Record in Web of Science")</f>
        <v>View Full Record in Web of Science</v>
      </c>
    </row>
    <row r="20" spans="1:72" x14ac:dyDescent="0.15">
      <c r="A20" t="s">
        <v>72</v>
      </c>
      <c r="B20" t="s">
        <v>456</v>
      </c>
      <c r="C20" t="s">
        <v>74</v>
      </c>
      <c r="D20" t="s">
        <v>74</v>
      </c>
      <c r="E20" t="s">
        <v>74</v>
      </c>
      <c r="F20" t="s">
        <v>457</v>
      </c>
      <c r="G20" t="s">
        <v>74</v>
      </c>
      <c r="H20" t="s">
        <v>74</v>
      </c>
      <c r="I20" t="s">
        <v>458</v>
      </c>
      <c r="J20" t="s">
        <v>459</v>
      </c>
      <c r="K20" t="s">
        <v>74</v>
      </c>
      <c r="L20" t="s">
        <v>74</v>
      </c>
      <c r="M20" t="s">
        <v>78</v>
      </c>
      <c r="N20" t="s">
        <v>338</v>
      </c>
      <c r="O20" t="s">
        <v>74</v>
      </c>
      <c r="P20" t="s">
        <v>74</v>
      </c>
      <c r="Q20" t="s">
        <v>74</v>
      </c>
      <c r="R20" t="s">
        <v>74</v>
      </c>
      <c r="S20" t="s">
        <v>74</v>
      </c>
      <c r="T20" t="s">
        <v>460</v>
      </c>
      <c r="U20" t="s">
        <v>461</v>
      </c>
      <c r="V20" t="s">
        <v>462</v>
      </c>
      <c r="W20" t="s">
        <v>463</v>
      </c>
      <c r="X20" t="s">
        <v>464</v>
      </c>
      <c r="Y20" t="s">
        <v>465</v>
      </c>
      <c r="Z20" t="s">
        <v>466</v>
      </c>
      <c r="AA20" t="s">
        <v>74</v>
      </c>
      <c r="AB20" t="s">
        <v>74</v>
      </c>
      <c r="AC20" t="s">
        <v>467</v>
      </c>
      <c r="AD20" t="s">
        <v>468</v>
      </c>
      <c r="AE20" t="s">
        <v>469</v>
      </c>
      <c r="AF20" t="s">
        <v>74</v>
      </c>
      <c r="AG20">
        <v>34</v>
      </c>
      <c r="AH20">
        <v>0</v>
      </c>
      <c r="AI20">
        <v>0</v>
      </c>
      <c r="AJ20">
        <v>0</v>
      </c>
      <c r="AK20">
        <v>0</v>
      </c>
      <c r="AL20" t="s">
        <v>87</v>
      </c>
      <c r="AM20" t="s">
        <v>88</v>
      </c>
      <c r="AN20" t="s">
        <v>89</v>
      </c>
      <c r="AO20" t="s">
        <v>470</v>
      </c>
      <c r="AP20" t="s">
        <v>471</v>
      </c>
      <c r="AQ20" t="s">
        <v>74</v>
      </c>
      <c r="AR20" t="s">
        <v>472</v>
      </c>
      <c r="AS20" t="s">
        <v>473</v>
      </c>
      <c r="AT20" t="s">
        <v>451</v>
      </c>
      <c r="AU20">
        <v>2023</v>
      </c>
      <c r="AV20" t="s">
        <v>74</v>
      </c>
      <c r="AW20" t="s">
        <v>74</v>
      </c>
      <c r="AX20" t="s">
        <v>74</v>
      </c>
      <c r="AY20" t="s">
        <v>74</v>
      </c>
      <c r="AZ20" t="s">
        <v>74</v>
      </c>
      <c r="BA20" t="s">
        <v>74</v>
      </c>
      <c r="BB20" t="s">
        <v>74</v>
      </c>
      <c r="BC20" t="s">
        <v>74</v>
      </c>
      <c r="BD20" t="s">
        <v>74</v>
      </c>
      <c r="BE20" t="s">
        <v>474</v>
      </c>
      <c r="BF20" t="str">
        <f>HYPERLINK("http://dx.doi.org/10.1002/jctb.7515","http://dx.doi.org/10.1002/jctb.7515")</f>
        <v>http://dx.doi.org/10.1002/jctb.7515</v>
      </c>
      <c r="BG20" t="s">
        <v>74</v>
      </c>
      <c r="BH20" t="s">
        <v>407</v>
      </c>
      <c r="BI20">
        <v>13</v>
      </c>
      <c r="BJ20" t="s">
        <v>475</v>
      </c>
      <c r="BK20" t="s">
        <v>119</v>
      </c>
      <c r="BL20" t="s">
        <v>476</v>
      </c>
      <c r="BM20" t="s">
        <v>477</v>
      </c>
      <c r="BN20" t="s">
        <v>74</v>
      </c>
      <c r="BO20" t="s">
        <v>74</v>
      </c>
      <c r="BP20" t="s">
        <v>74</v>
      </c>
      <c r="BQ20" t="s">
        <v>74</v>
      </c>
      <c r="BR20" t="s">
        <v>99</v>
      </c>
      <c r="BS20" t="s">
        <v>478</v>
      </c>
      <c r="BT20" t="str">
        <f>HYPERLINK("https%3A%2F%2Fwww.webofscience.com%2Fwos%2Fwoscc%2Ffull-record%2FWOS:001072934000001","View Full Record in Web of Science")</f>
        <v>View Full Record in Web of Science</v>
      </c>
    </row>
    <row r="21" spans="1:72" x14ac:dyDescent="0.15">
      <c r="A21" t="s">
        <v>72</v>
      </c>
      <c r="B21" t="s">
        <v>479</v>
      </c>
      <c r="C21" t="s">
        <v>74</v>
      </c>
      <c r="D21" t="s">
        <v>74</v>
      </c>
      <c r="E21" t="s">
        <v>74</v>
      </c>
      <c r="F21" t="s">
        <v>480</v>
      </c>
      <c r="G21" t="s">
        <v>74</v>
      </c>
      <c r="H21" t="s">
        <v>74</v>
      </c>
      <c r="I21" t="s">
        <v>481</v>
      </c>
      <c r="J21" t="s">
        <v>482</v>
      </c>
      <c r="K21" t="s">
        <v>74</v>
      </c>
      <c r="L21" t="s">
        <v>74</v>
      </c>
      <c r="M21" t="s">
        <v>78</v>
      </c>
      <c r="N21" t="s">
        <v>338</v>
      </c>
      <c r="O21" t="s">
        <v>74</v>
      </c>
      <c r="P21" t="s">
        <v>74</v>
      </c>
      <c r="Q21" t="s">
        <v>74</v>
      </c>
      <c r="R21" t="s">
        <v>74</v>
      </c>
      <c r="S21" t="s">
        <v>74</v>
      </c>
      <c r="T21" t="s">
        <v>483</v>
      </c>
      <c r="U21" t="s">
        <v>484</v>
      </c>
      <c r="V21" t="s">
        <v>485</v>
      </c>
      <c r="W21" t="s">
        <v>486</v>
      </c>
      <c r="X21" t="s">
        <v>487</v>
      </c>
      <c r="Y21" t="s">
        <v>488</v>
      </c>
      <c r="Z21" t="s">
        <v>489</v>
      </c>
      <c r="AA21" t="s">
        <v>74</v>
      </c>
      <c r="AB21" t="s">
        <v>74</v>
      </c>
      <c r="AC21" t="s">
        <v>490</v>
      </c>
      <c r="AD21" t="s">
        <v>490</v>
      </c>
      <c r="AE21" t="s">
        <v>491</v>
      </c>
      <c r="AF21" t="s">
        <v>74</v>
      </c>
      <c r="AG21">
        <v>31</v>
      </c>
      <c r="AH21">
        <v>0</v>
      </c>
      <c r="AI21">
        <v>0</v>
      </c>
      <c r="AJ21">
        <v>0</v>
      </c>
      <c r="AK21">
        <v>0</v>
      </c>
      <c r="AL21" t="s">
        <v>87</v>
      </c>
      <c r="AM21" t="s">
        <v>88</v>
      </c>
      <c r="AN21" t="s">
        <v>89</v>
      </c>
      <c r="AO21" t="s">
        <v>492</v>
      </c>
      <c r="AP21" t="s">
        <v>493</v>
      </c>
      <c r="AQ21" t="s">
        <v>74</v>
      </c>
      <c r="AR21" t="s">
        <v>494</v>
      </c>
      <c r="AS21" t="s">
        <v>495</v>
      </c>
      <c r="AT21" t="s">
        <v>451</v>
      </c>
      <c r="AU21">
        <v>2023</v>
      </c>
      <c r="AV21" t="s">
        <v>74</v>
      </c>
      <c r="AW21" t="s">
        <v>74</v>
      </c>
      <c r="AX21" t="s">
        <v>74</v>
      </c>
      <c r="AY21" t="s">
        <v>74</v>
      </c>
      <c r="AZ21" t="s">
        <v>74</v>
      </c>
      <c r="BA21" t="s">
        <v>74</v>
      </c>
      <c r="BB21" t="s">
        <v>74</v>
      </c>
      <c r="BC21" t="s">
        <v>74</v>
      </c>
      <c r="BD21" t="s">
        <v>74</v>
      </c>
      <c r="BE21" t="s">
        <v>496</v>
      </c>
      <c r="BF21" t="str">
        <f>HYPERLINK("http://dx.doi.org/10.1111/aae.12240","http://dx.doi.org/10.1111/aae.12240")</f>
        <v>http://dx.doi.org/10.1111/aae.12240</v>
      </c>
      <c r="BG21" t="s">
        <v>74</v>
      </c>
      <c r="BH21" t="s">
        <v>407</v>
      </c>
      <c r="BI21">
        <v>24</v>
      </c>
      <c r="BJ21" t="s">
        <v>497</v>
      </c>
      <c r="BK21" t="s">
        <v>498</v>
      </c>
      <c r="BL21" t="s">
        <v>497</v>
      </c>
      <c r="BM21" t="s">
        <v>499</v>
      </c>
      <c r="BN21" t="s">
        <v>74</v>
      </c>
      <c r="BO21" t="s">
        <v>74</v>
      </c>
      <c r="BP21" t="s">
        <v>74</v>
      </c>
      <c r="BQ21" t="s">
        <v>74</v>
      </c>
      <c r="BR21" t="s">
        <v>99</v>
      </c>
      <c r="BS21" t="s">
        <v>500</v>
      </c>
      <c r="BT21" t="str">
        <f>HYPERLINK("https%3A%2F%2Fwww.webofscience.com%2Fwos%2Fwoscc%2Ffull-record%2FWOS:001072932900001","View Full Record in Web of Science")</f>
        <v>View Full Record in Web of Science</v>
      </c>
    </row>
    <row r="22" spans="1:72" x14ac:dyDescent="0.15">
      <c r="A22" t="s">
        <v>72</v>
      </c>
      <c r="B22" t="s">
        <v>501</v>
      </c>
      <c r="C22" t="s">
        <v>74</v>
      </c>
      <c r="D22" t="s">
        <v>74</v>
      </c>
      <c r="E22" t="s">
        <v>74</v>
      </c>
      <c r="F22" t="s">
        <v>502</v>
      </c>
      <c r="G22" t="s">
        <v>74</v>
      </c>
      <c r="H22" t="s">
        <v>74</v>
      </c>
      <c r="I22" t="s">
        <v>503</v>
      </c>
      <c r="J22" t="s">
        <v>504</v>
      </c>
      <c r="K22" t="s">
        <v>74</v>
      </c>
      <c r="L22" t="s">
        <v>74</v>
      </c>
      <c r="M22" t="s">
        <v>78</v>
      </c>
      <c r="N22" t="s">
        <v>338</v>
      </c>
      <c r="O22" t="s">
        <v>74</v>
      </c>
      <c r="P22" t="s">
        <v>74</v>
      </c>
      <c r="Q22" t="s">
        <v>74</v>
      </c>
      <c r="R22" t="s">
        <v>74</v>
      </c>
      <c r="S22" t="s">
        <v>74</v>
      </c>
      <c r="T22" t="s">
        <v>505</v>
      </c>
      <c r="U22" t="s">
        <v>506</v>
      </c>
      <c r="V22" t="s">
        <v>507</v>
      </c>
      <c r="W22" t="s">
        <v>508</v>
      </c>
      <c r="X22" t="s">
        <v>509</v>
      </c>
      <c r="Y22" t="s">
        <v>510</v>
      </c>
      <c r="Z22" t="s">
        <v>511</v>
      </c>
      <c r="AA22" t="s">
        <v>512</v>
      </c>
      <c r="AB22" t="s">
        <v>513</v>
      </c>
      <c r="AC22" t="s">
        <v>514</v>
      </c>
      <c r="AD22" t="s">
        <v>515</v>
      </c>
      <c r="AE22" t="s">
        <v>516</v>
      </c>
      <c r="AF22" t="s">
        <v>74</v>
      </c>
      <c r="AG22">
        <v>66</v>
      </c>
      <c r="AH22">
        <v>0</v>
      </c>
      <c r="AI22">
        <v>0</v>
      </c>
      <c r="AJ22">
        <v>0</v>
      </c>
      <c r="AK22">
        <v>0</v>
      </c>
      <c r="AL22" t="s">
        <v>87</v>
      </c>
      <c r="AM22" t="s">
        <v>88</v>
      </c>
      <c r="AN22" t="s">
        <v>89</v>
      </c>
      <c r="AO22" t="s">
        <v>517</v>
      </c>
      <c r="AP22" t="s">
        <v>518</v>
      </c>
      <c r="AQ22" t="s">
        <v>74</v>
      </c>
      <c r="AR22" t="s">
        <v>519</v>
      </c>
      <c r="AS22" t="s">
        <v>520</v>
      </c>
      <c r="AT22" t="s">
        <v>521</v>
      </c>
      <c r="AU22">
        <v>2023</v>
      </c>
      <c r="AV22" t="s">
        <v>74</v>
      </c>
      <c r="AW22" t="s">
        <v>74</v>
      </c>
      <c r="AX22" t="s">
        <v>74</v>
      </c>
      <c r="AY22" t="s">
        <v>74</v>
      </c>
      <c r="AZ22" t="s">
        <v>74</v>
      </c>
      <c r="BA22" t="s">
        <v>74</v>
      </c>
      <c r="BB22" t="s">
        <v>74</v>
      </c>
      <c r="BC22" t="s">
        <v>74</v>
      </c>
      <c r="BD22" t="s">
        <v>74</v>
      </c>
      <c r="BE22" t="s">
        <v>522</v>
      </c>
      <c r="BF22" t="str">
        <f>HYPERLINK("http://dx.doi.org/10.1002/jcc.27224","http://dx.doi.org/10.1002/jcc.27224")</f>
        <v>http://dx.doi.org/10.1002/jcc.27224</v>
      </c>
      <c r="BG22" t="s">
        <v>74</v>
      </c>
      <c r="BH22" t="s">
        <v>407</v>
      </c>
      <c r="BI22">
        <v>13</v>
      </c>
      <c r="BJ22" t="s">
        <v>523</v>
      </c>
      <c r="BK22" t="s">
        <v>119</v>
      </c>
      <c r="BL22" t="s">
        <v>524</v>
      </c>
      <c r="BM22" t="s">
        <v>525</v>
      </c>
      <c r="BN22">
        <v>37767988</v>
      </c>
      <c r="BO22" t="s">
        <v>122</v>
      </c>
      <c r="BP22" t="s">
        <v>74</v>
      </c>
      <c r="BQ22" t="s">
        <v>74</v>
      </c>
      <c r="BR22" t="s">
        <v>99</v>
      </c>
      <c r="BS22" t="s">
        <v>526</v>
      </c>
      <c r="BT22" t="str">
        <f>HYPERLINK("https%3A%2F%2Fwww.webofscience.com%2Fwos%2Fwoscc%2Ffull-record%2FWOS:001072610200001","View Full Record in Web of Science")</f>
        <v>View Full Record in Web of Science</v>
      </c>
    </row>
    <row r="23" spans="1:72" x14ac:dyDescent="0.15">
      <c r="A23" t="s">
        <v>72</v>
      </c>
      <c r="B23" t="s">
        <v>527</v>
      </c>
      <c r="C23" t="s">
        <v>74</v>
      </c>
      <c r="D23" t="s">
        <v>74</v>
      </c>
      <c r="E23" t="s">
        <v>74</v>
      </c>
      <c r="F23" t="s">
        <v>528</v>
      </c>
      <c r="G23" t="s">
        <v>74</v>
      </c>
      <c r="H23" t="s">
        <v>74</v>
      </c>
      <c r="I23" t="s">
        <v>529</v>
      </c>
      <c r="J23" t="s">
        <v>530</v>
      </c>
      <c r="K23" t="s">
        <v>74</v>
      </c>
      <c r="L23" t="s">
        <v>74</v>
      </c>
      <c r="M23" t="s">
        <v>78</v>
      </c>
      <c r="N23" t="s">
        <v>338</v>
      </c>
      <c r="O23" t="s">
        <v>74</v>
      </c>
      <c r="P23" t="s">
        <v>74</v>
      </c>
      <c r="Q23" t="s">
        <v>74</v>
      </c>
      <c r="R23" t="s">
        <v>74</v>
      </c>
      <c r="S23" t="s">
        <v>74</v>
      </c>
      <c r="T23" t="s">
        <v>531</v>
      </c>
      <c r="U23" t="s">
        <v>532</v>
      </c>
      <c r="V23" t="s">
        <v>533</v>
      </c>
      <c r="W23" t="s">
        <v>534</v>
      </c>
      <c r="X23" t="s">
        <v>535</v>
      </c>
      <c r="Y23" t="s">
        <v>536</v>
      </c>
      <c r="Z23" t="s">
        <v>537</v>
      </c>
      <c r="AA23" t="s">
        <v>74</v>
      </c>
      <c r="AB23" t="s">
        <v>74</v>
      </c>
      <c r="AC23" t="s">
        <v>538</v>
      </c>
      <c r="AD23" t="s">
        <v>538</v>
      </c>
      <c r="AE23" t="s">
        <v>539</v>
      </c>
      <c r="AF23" t="s">
        <v>74</v>
      </c>
      <c r="AG23">
        <v>92</v>
      </c>
      <c r="AH23">
        <v>0</v>
      </c>
      <c r="AI23">
        <v>0</v>
      </c>
      <c r="AJ23">
        <v>0</v>
      </c>
      <c r="AK23">
        <v>0</v>
      </c>
      <c r="AL23" t="s">
        <v>87</v>
      </c>
      <c r="AM23" t="s">
        <v>88</v>
      </c>
      <c r="AN23" t="s">
        <v>89</v>
      </c>
      <c r="AO23" t="s">
        <v>540</v>
      </c>
      <c r="AP23" t="s">
        <v>541</v>
      </c>
      <c r="AQ23" t="s">
        <v>74</v>
      </c>
      <c r="AR23" t="s">
        <v>542</v>
      </c>
      <c r="AS23" t="s">
        <v>543</v>
      </c>
      <c r="AT23" t="s">
        <v>521</v>
      </c>
      <c r="AU23">
        <v>2023</v>
      </c>
      <c r="AV23" t="s">
        <v>74</v>
      </c>
      <c r="AW23" t="s">
        <v>74</v>
      </c>
      <c r="AX23" t="s">
        <v>74</v>
      </c>
      <c r="AY23" t="s">
        <v>74</v>
      </c>
      <c r="AZ23" t="s">
        <v>74</v>
      </c>
      <c r="BA23" t="s">
        <v>74</v>
      </c>
      <c r="BB23" t="s">
        <v>74</v>
      </c>
      <c r="BC23" t="s">
        <v>74</v>
      </c>
      <c r="BD23" t="s">
        <v>74</v>
      </c>
      <c r="BE23" t="s">
        <v>544</v>
      </c>
      <c r="BF23" t="str">
        <f>HYPERLINK("http://dx.doi.org/10.1111/jbfa.12754","http://dx.doi.org/10.1111/jbfa.12754")</f>
        <v>http://dx.doi.org/10.1111/jbfa.12754</v>
      </c>
      <c r="BG23" t="s">
        <v>74</v>
      </c>
      <c r="BH23" t="s">
        <v>407</v>
      </c>
      <c r="BI23">
        <v>39</v>
      </c>
      <c r="BJ23" t="s">
        <v>545</v>
      </c>
      <c r="BK23" t="s">
        <v>546</v>
      </c>
      <c r="BL23" t="s">
        <v>547</v>
      </c>
      <c r="BM23" t="s">
        <v>548</v>
      </c>
      <c r="BN23" t="s">
        <v>74</v>
      </c>
      <c r="BO23" t="s">
        <v>74</v>
      </c>
      <c r="BP23" t="s">
        <v>74</v>
      </c>
      <c r="BQ23" t="s">
        <v>74</v>
      </c>
      <c r="BR23" t="s">
        <v>99</v>
      </c>
      <c r="BS23" t="s">
        <v>549</v>
      </c>
      <c r="BT23" t="str">
        <f>HYPERLINK("https%3A%2F%2Fwww.webofscience.com%2Fwos%2Fwoscc%2Ffull-record%2FWOS:001072686900001","View Full Record in Web of Science")</f>
        <v>View Full Record in Web of Science</v>
      </c>
    </row>
    <row r="24" spans="1:72" x14ac:dyDescent="0.15">
      <c r="A24" t="s">
        <v>72</v>
      </c>
      <c r="B24" t="s">
        <v>550</v>
      </c>
      <c r="C24" t="s">
        <v>74</v>
      </c>
      <c r="D24" t="s">
        <v>74</v>
      </c>
      <c r="E24" t="s">
        <v>74</v>
      </c>
      <c r="F24" t="s">
        <v>551</v>
      </c>
      <c r="G24" t="s">
        <v>74</v>
      </c>
      <c r="H24" t="s">
        <v>74</v>
      </c>
      <c r="I24" t="s">
        <v>552</v>
      </c>
      <c r="J24" t="s">
        <v>553</v>
      </c>
      <c r="K24" t="s">
        <v>74</v>
      </c>
      <c r="L24" t="s">
        <v>74</v>
      </c>
      <c r="M24" t="s">
        <v>78</v>
      </c>
      <c r="N24" t="s">
        <v>338</v>
      </c>
      <c r="O24" t="s">
        <v>74</v>
      </c>
      <c r="P24" t="s">
        <v>74</v>
      </c>
      <c r="Q24" t="s">
        <v>74</v>
      </c>
      <c r="R24" t="s">
        <v>74</v>
      </c>
      <c r="S24" t="s">
        <v>74</v>
      </c>
      <c r="T24" t="s">
        <v>554</v>
      </c>
      <c r="U24" t="s">
        <v>74</v>
      </c>
      <c r="V24" t="s">
        <v>555</v>
      </c>
      <c r="W24" t="s">
        <v>556</v>
      </c>
      <c r="X24" t="s">
        <v>557</v>
      </c>
      <c r="Y24" t="s">
        <v>558</v>
      </c>
      <c r="Z24" t="s">
        <v>559</v>
      </c>
      <c r="AA24" t="s">
        <v>74</v>
      </c>
      <c r="AB24" t="s">
        <v>74</v>
      </c>
      <c r="AC24" t="s">
        <v>560</v>
      </c>
      <c r="AD24" t="s">
        <v>560</v>
      </c>
      <c r="AE24" t="s">
        <v>561</v>
      </c>
      <c r="AF24" t="s">
        <v>74</v>
      </c>
      <c r="AG24">
        <v>8</v>
      </c>
      <c r="AH24">
        <v>0</v>
      </c>
      <c r="AI24">
        <v>0</v>
      </c>
      <c r="AJ24">
        <v>0</v>
      </c>
      <c r="AK24">
        <v>0</v>
      </c>
      <c r="AL24" t="s">
        <v>87</v>
      </c>
      <c r="AM24" t="s">
        <v>88</v>
      </c>
      <c r="AN24" t="s">
        <v>89</v>
      </c>
      <c r="AO24" t="s">
        <v>74</v>
      </c>
      <c r="AP24" t="s">
        <v>562</v>
      </c>
      <c r="AQ24" t="s">
        <v>74</v>
      </c>
      <c r="AR24" t="s">
        <v>563</v>
      </c>
      <c r="AS24" t="s">
        <v>564</v>
      </c>
      <c r="AT24" t="s">
        <v>521</v>
      </c>
      <c r="AU24">
        <v>2023</v>
      </c>
      <c r="AV24" t="s">
        <v>74</v>
      </c>
      <c r="AW24" t="s">
        <v>74</v>
      </c>
      <c r="AX24" t="s">
        <v>74</v>
      </c>
      <c r="AY24" t="s">
        <v>74</v>
      </c>
      <c r="AZ24" t="s">
        <v>74</v>
      </c>
      <c r="BA24" t="s">
        <v>74</v>
      </c>
      <c r="BB24" t="s">
        <v>74</v>
      </c>
      <c r="BC24" t="s">
        <v>74</v>
      </c>
      <c r="BD24" t="s">
        <v>74</v>
      </c>
      <c r="BE24" t="s">
        <v>565</v>
      </c>
      <c r="BF24" t="str">
        <f>HYPERLINK("http://dx.doi.org/10.1002/vrc2.734","http://dx.doi.org/10.1002/vrc2.734")</f>
        <v>http://dx.doi.org/10.1002/vrc2.734</v>
      </c>
      <c r="BG24" t="s">
        <v>74</v>
      </c>
      <c r="BH24" t="s">
        <v>407</v>
      </c>
      <c r="BI24">
        <v>4</v>
      </c>
      <c r="BJ24" t="s">
        <v>354</v>
      </c>
      <c r="BK24" t="s">
        <v>96</v>
      </c>
      <c r="BL24" t="s">
        <v>354</v>
      </c>
      <c r="BM24" t="s">
        <v>566</v>
      </c>
      <c r="BN24" t="s">
        <v>74</v>
      </c>
      <c r="BO24" t="s">
        <v>74</v>
      </c>
      <c r="BP24" t="s">
        <v>74</v>
      </c>
      <c r="BQ24" t="s">
        <v>74</v>
      </c>
      <c r="BR24" t="s">
        <v>99</v>
      </c>
      <c r="BS24" t="s">
        <v>567</v>
      </c>
      <c r="BT24" t="str">
        <f>HYPERLINK("https%3A%2F%2Fwww.webofscience.com%2Fwos%2Fwoscc%2Ffull-record%2FWOS:001071863900001","View Full Record in Web of Science")</f>
        <v>View Full Record in Web of Science</v>
      </c>
    </row>
    <row r="25" spans="1:72" x14ac:dyDescent="0.15">
      <c r="A25" t="s">
        <v>72</v>
      </c>
      <c r="B25" t="s">
        <v>568</v>
      </c>
      <c r="C25" t="s">
        <v>74</v>
      </c>
      <c r="D25" t="s">
        <v>74</v>
      </c>
      <c r="E25" t="s">
        <v>74</v>
      </c>
      <c r="F25" t="s">
        <v>569</v>
      </c>
      <c r="G25" t="s">
        <v>74</v>
      </c>
      <c r="H25" t="s">
        <v>74</v>
      </c>
      <c r="I25" t="s">
        <v>570</v>
      </c>
      <c r="J25" t="s">
        <v>571</v>
      </c>
      <c r="K25" t="s">
        <v>74</v>
      </c>
      <c r="L25" t="s">
        <v>74</v>
      </c>
      <c r="M25" t="s">
        <v>78</v>
      </c>
      <c r="N25" t="s">
        <v>338</v>
      </c>
      <c r="O25" t="s">
        <v>74</v>
      </c>
      <c r="P25" t="s">
        <v>74</v>
      </c>
      <c r="Q25" t="s">
        <v>74</v>
      </c>
      <c r="R25" t="s">
        <v>74</v>
      </c>
      <c r="S25" t="s">
        <v>74</v>
      </c>
      <c r="T25" t="s">
        <v>572</v>
      </c>
      <c r="U25" t="s">
        <v>573</v>
      </c>
      <c r="V25" t="s">
        <v>574</v>
      </c>
      <c r="W25" t="s">
        <v>575</v>
      </c>
      <c r="X25" t="s">
        <v>576</v>
      </c>
      <c r="Y25" t="s">
        <v>577</v>
      </c>
      <c r="Z25" t="s">
        <v>578</v>
      </c>
      <c r="AA25" t="s">
        <v>74</v>
      </c>
      <c r="AB25" t="s">
        <v>74</v>
      </c>
      <c r="AC25" t="s">
        <v>579</v>
      </c>
      <c r="AD25" t="s">
        <v>580</v>
      </c>
      <c r="AE25" t="s">
        <v>581</v>
      </c>
      <c r="AF25" t="s">
        <v>74</v>
      </c>
      <c r="AG25">
        <v>35</v>
      </c>
      <c r="AH25">
        <v>0</v>
      </c>
      <c r="AI25">
        <v>0</v>
      </c>
      <c r="AJ25">
        <v>0</v>
      </c>
      <c r="AK25">
        <v>0</v>
      </c>
      <c r="AL25" t="s">
        <v>87</v>
      </c>
      <c r="AM25" t="s">
        <v>88</v>
      </c>
      <c r="AN25" t="s">
        <v>89</v>
      </c>
      <c r="AO25" t="s">
        <v>582</v>
      </c>
      <c r="AP25" t="s">
        <v>583</v>
      </c>
      <c r="AQ25" t="s">
        <v>74</v>
      </c>
      <c r="AR25" t="s">
        <v>584</v>
      </c>
      <c r="AS25" t="s">
        <v>585</v>
      </c>
      <c r="AT25" t="s">
        <v>521</v>
      </c>
      <c r="AU25">
        <v>2023</v>
      </c>
      <c r="AV25" t="s">
        <v>74</v>
      </c>
      <c r="AW25" t="s">
        <v>74</v>
      </c>
      <c r="AX25" t="s">
        <v>74</v>
      </c>
      <c r="AY25" t="s">
        <v>74</v>
      </c>
      <c r="AZ25" t="s">
        <v>74</v>
      </c>
      <c r="BA25" t="s">
        <v>74</v>
      </c>
      <c r="BB25" t="s">
        <v>74</v>
      </c>
      <c r="BC25" t="s">
        <v>74</v>
      </c>
      <c r="BD25" t="s">
        <v>74</v>
      </c>
      <c r="BE25" t="s">
        <v>586</v>
      </c>
      <c r="BF25" t="str">
        <f>HYPERLINK("http://dx.doi.org/10.1111/jori.12449","http://dx.doi.org/10.1111/jori.12449")</f>
        <v>http://dx.doi.org/10.1111/jori.12449</v>
      </c>
      <c r="BG25" t="s">
        <v>74</v>
      </c>
      <c r="BH25" t="s">
        <v>407</v>
      </c>
      <c r="BI25">
        <v>32</v>
      </c>
      <c r="BJ25" t="s">
        <v>587</v>
      </c>
      <c r="BK25" t="s">
        <v>546</v>
      </c>
      <c r="BL25" t="s">
        <v>547</v>
      </c>
      <c r="BM25" t="s">
        <v>588</v>
      </c>
      <c r="BN25" t="s">
        <v>74</v>
      </c>
      <c r="BO25" t="s">
        <v>122</v>
      </c>
      <c r="BP25" t="s">
        <v>74</v>
      </c>
      <c r="BQ25" t="s">
        <v>74</v>
      </c>
      <c r="BR25" t="s">
        <v>99</v>
      </c>
      <c r="BS25" t="s">
        <v>589</v>
      </c>
      <c r="BT25" t="str">
        <f>HYPERLINK("https%3A%2F%2Fwww.webofscience.com%2Fwos%2Fwoscc%2Ffull-record%2FWOS:001072777800001","View Full Record in Web of Science")</f>
        <v>View Full Record in Web of Science</v>
      </c>
    </row>
    <row r="26" spans="1:72" x14ac:dyDescent="0.15">
      <c r="A26" t="s">
        <v>72</v>
      </c>
      <c r="B26" t="s">
        <v>590</v>
      </c>
      <c r="C26" t="s">
        <v>74</v>
      </c>
      <c r="D26" t="s">
        <v>74</v>
      </c>
      <c r="E26" t="s">
        <v>74</v>
      </c>
      <c r="F26" t="s">
        <v>591</v>
      </c>
      <c r="G26" t="s">
        <v>74</v>
      </c>
      <c r="H26" t="s">
        <v>74</v>
      </c>
      <c r="I26" t="s">
        <v>592</v>
      </c>
      <c r="J26" t="s">
        <v>593</v>
      </c>
      <c r="K26" t="s">
        <v>74</v>
      </c>
      <c r="L26" t="s">
        <v>74</v>
      </c>
      <c r="M26" t="s">
        <v>78</v>
      </c>
      <c r="N26" t="s">
        <v>594</v>
      </c>
      <c r="O26" t="s">
        <v>74</v>
      </c>
      <c r="P26" t="s">
        <v>74</v>
      </c>
      <c r="Q26" t="s">
        <v>74</v>
      </c>
      <c r="R26" t="s">
        <v>74</v>
      </c>
      <c r="S26" t="s">
        <v>74</v>
      </c>
      <c r="T26" t="s">
        <v>595</v>
      </c>
      <c r="U26" t="s">
        <v>596</v>
      </c>
      <c r="V26" t="s">
        <v>597</v>
      </c>
      <c r="W26" t="s">
        <v>598</v>
      </c>
      <c r="X26" t="s">
        <v>599</v>
      </c>
      <c r="Y26" t="s">
        <v>600</v>
      </c>
      <c r="Z26" t="s">
        <v>601</v>
      </c>
      <c r="AA26" t="s">
        <v>74</v>
      </c>
      <c r="AB26" t="s">
        <v>74</v>
      </c>
      <c r="AC26" t="s">
        <v>602</v>
      </c>
      <c r="AD26" t="s">
        <v>603</v>
      </c>
      <c r="AE26" t="s">
        <v>604</v>
      </c>
      <c r="AF26" t="s">
        <v>74</v>
      </c>
      <c r="AG26">
        <v>167</v>
      </c>
      <c r="AH26">
        <v>0</v>
      </c>
      <c r="AI26">
        <v>0</v>
      </c>
      <c r="AJ26">
        <v>3</v>
      </c>
      <c r="AK26">
        <v>3</v>
      </c>
      <c r="AL26" t="s">
        <v>426</v>
      </c>
      <c r="AM26" t="s">
        <v>427</v>
      </c>
      <c r="AN26" t="s">
        <v>428</v>
      </c>
      <c r="AO26" t="s">
        <v>605</v>
      </c>
      <c r="AP26" t="s">
        <v>606</v>
      </c>
      <c r="AQ26" t="s">
        <v>74</v>
      </c>
      <c r="AR26" t="s">
        <v>593</v>
      </c>
      <c r="AS26" t="s">
        <v>607</v>
      </c>
      <c r="AT26" t="s">
        <v>521</v>
      </c>
      <c r="AU26">
        <v>2023</v>
      </c>
      <c r="AV26" t="s">
        <v>74</v>
      </c>
      <c r="AW26" t="s">
        <v>74</v>
      </c>
      <c r="AX26" t="s">
        <v>74</v>
      </c>
      <c r="AY26" t="s">
        <v>74</v>
      </c>
      <c r="AZ26" t="s">
        <v>74</v>
      </c>
      <c r="BA26" t="s">
        <v>74</v>
      </c>
      <c r="BB26" t="s">
        <v>74</v>
      </c>
      <c r="BC26" t="s">
        <v>74</v>
      </c>
      <c r="BD26" t="s">
        <v>74</v>
      </c>
      <c r="BE26" t="s">
        <v>608</v>
      </c>
      <c r="BF26" t="str">
        <f>HYPERLINK("http://dx.doi.org/10.1002/smll.202307645","http://dx.doi.org/10.1002/smll.202307645")</f>
        <v>http://dx.doi.org/10.1002/smll.202307645</v>
      </c>
      <c r="BG26" t="s">
        <v>74</v>
      </c>
      <c r="BH26" t="s">
        <v>407</v>
      </c>
      <c r="BI26">
        <v>26</v>
      </c>
      <c r="BJ26" t="s">
        <v>609</v>
      </c>
      <c r="BK26" t="s">
        <v>119</v>
      </c>
      <c r="BL26" t="s">
        <v>610</v>
      </c>
      <c r="BM26" t="s">
        <v>611</v>
      </c>
      <c r="BN26">
        <v>37770384</v>
      </c>
      <c r="BO26" t="s">
        <v>74</v>
      </c>
      <c r="BP26" t="s">
        <v>74</v>
      </c>
      <c r="BQ26" t="s">
        <v>74</v>
      </c>
      <c r="BR26" t="s">
        <v>99</v>
      </c>
      <c r="BS26" t="s">
        <v>612</v>
      </c>
      <c r="BT26" t="str">
        <f>HYPERLINK("https%3A%2F%2Fwww.webofscience.com%2Fwos%2Fwoscc%2Ffull-record%2FWOS:001072809900001","View Full Record in Web of Science")</f>
        <v>View Full Record in Web of Science</v>
      </c>
    </row>
    <row r="27" spans="1:72" x14ac:dyDescent="0.15">
      <c r="A27" t="s">
        <v>72</v>
      </c>
      <c r="B27" t="s">
        <v>613</v>
      </c>
      <c r="C27" t="s">
        <v>74</v>
      </c>
      <c r="D27" t="s">
        <v>74</v>
      </c>
      <c r="E27" t="s">
        <v>74</v>
      </c>
      <c r="F27" t="s">
        <v>614</v>
      </c>
      <c r="G27" t="s">
        <v>74</v>
      </c>
      <c r="H27" t="s">
        <v>74</v>
      </c>
      <c r="I27" t="s">
        <v>615</v>
      </c>
      <c r="J27" t="s">
        <v>616</v>
      </c>
      <c r="K27" t="s">
        <v>74</v>
      </c>
      <c r="L27" t="s">
        <v>74</v>
      </c>
      <c r="M27" t="s">
        <v>78</v>
      </c>
      <c r="N27" t="s">
        <v>338</v>
      </c>
      <c r="O27" t="s">
        <v>74</v>
      </c>
      <c r="P27" t="s">
        <v>74</v>
      </c>
      <c r="Q27" t="s">
        <v>74</v>
      </c>
      <c r="R27" t="s">
        <v>74</v>
      </c>
      <c r="S27" t="s">
        <v>74</v>
      </c>
      <c r="T27" t="s">
        <v>617</v>
      </c>
      <c r="U27" t="s">
        <v>618</v>
      </c>
      <c r="V27" t="s">
        <v>619</v>
      </c>
      <c r="W27" t="s">
        <v>620</v>
      </c>
      <c r="X27" t="s">
        <v>621</v>
      </c>
      <c r="Y27" t="s">
        <v>622</v>
      </c>
      <c r="Z27" t="s">
        <v>623</v>
      </c>
      <c r="AA27" t="s">
        <v>74</v>
      </c>
      <c r="AB27" t="s">
        <v>74</v>
      </c>
      <c r="AC27" t="s">
        <v>624</v>
      </c>
      <c r="AD27" t="s">
        <v>625</v>
      </c>
      <c r="AE27" t="s">
        <v>626</v>
      </c>
      <c r="AF27" t="s">
        <v>74</v>
      </c>
      <c r="AG27">
        <v>63</v>
      </c>
      <c r="AH27">
        <v>0</v>
      </c>
      <c r="AI27">
        <v>0</v>
      </c>
      <c r="AJ27">
        <v>0</v>
      </c>
      <c r="AK27">
        <v>0</v>
      </c>
      <c r="AL27" t="s">
        <v>87</v>
      </c>
      <c r="AM27" t="s">
        <v>88</v>
      </c>
      <c r="AN27" t="s">
        <v>89</v>
      </c>
      <c r="AO27" t="s">
        <v>627</v>
      </c>
      <c r="AP27" t="s">
        <v>628</v>
      </c>
      <c r="AQ27" t="s">
        <v>74</v>
      </c>
      <c r="AR27" t="s">
        <v>629</v>
      </c>
      <c r="AS27" t="s">
        <v>630</v>
      </c>
      <c r="AT27" t="s">
        <v>521</v>
      </c>
      <c r="AU27">
        <v>2023</v>
      </c>
      <c r="AV27" t="s">
        <v>74</v>
      </c>
      <c r="AW27" t="s">
        <v>74</v>
      </c>
      <c r="AX27" t="s">
        <v>74</v>
      </c>
      <c r="AY27" t="s">
        <v>74</v>
      </c>
      <c r="AZ27" t="s">
        <v>74</v>
      </c>
      <c r="BA27" t="s">
        <v>74</v>
      </c>
      <c r="BB27" t="s">
        <v>74</v>
      </c>
      <c r="BC27" t="s">
        <v>74</v>
      </c>
      <c r="BD27" t="s">
        <v>74</v>
      </c>
      <c r="BE27" t="s">
        <v>631</v>
      </c>
      <c r="BF27" t="str">
        <f>HYPERLINK("http://dx.doi.org/10.1002/jqs.3570","http://dx.doi.org/10.1002/jqs.3570")</f>
        <v>http://dx.doi.org/10.1002/jqs.3570</v>
      </c>
      <c r="BG27" t="s">
        <v>74</v>
      </c>
      <c r="BH27" t="s">
        <v>407</v>
      </c>
      <c r="BI27">
        <v>20</v>
      </c>
      <c r="BJ27" t="s">
        <v>632</v>
      </c>
      <c r="BK27" t="s">
        <v>119</v>
      </c>
      <c r="BL27" t="s">
        <v>633</v>
      </c>
      <c r="BM27" t="s">
        <v>634</v>
      </c>
      <c r="BN27" t="s">
        <v>74</v>
      </c>
      <c r="BO27" t="s">
        <v>74</v>
      </c>
      <c r="BP27" t="s">
        <v>74</v>
      </c>
      <c r="BQ27" t="s">
        <v>74</v>
      </c>
      <c r="BR27" t="s">
        <v>99</v>
      </c>
      <c r="BS27" t="s">
        <v>635</v>
      </c>
      <c r="BT27" t="str">
        <f>HYPERLINK("https%3A%2F%2Fwww.webofscience.com%2Fwos%2Fwoscc%2Ffull-record%2FWOS:001072738200001","View Full Record in Web of Science")</f>
        <v>View Full Record in Web of Science</v>
      </c>
    </row>
    <row r="28" spans="1:72" x14ac:dyDescent="0.15">
      <c r="A28" t="s">
        <v>72</v>
      </c>
      <c r="B28" t="s">
        <v>636</v>
      </c>
      <c r="C28" t="s">
        <v>74</v>
      </c>
      <c r="D28" t="s">
        <v>74</v>
      </c>
      <c r="E28" t="s">
        <v>74</v>
      </c>
      <c r="F28" t="s">
        <v>637</v>
      </c>
      <c r="G28" t="s">
        <v>74</v>
      </c>
      <c r="H28" t="s">
        <v>74</v>
      </c>
      <c r="I28" t="s">
        <v>638</v>
      </c>
      <c r="J28" t="s">
        <v>639</v>
      </c>
      <c r="K28" t="s">
        <v>74</v>
      </c>
      <c r="L28" t="s">
        <v>74</v>
      </c>
      <c r="M28" t="s">
        <v>78</v>
      </c>
      <c r="N28" t="s">
        <v>338</v>
      </c>
      <c r="O28" t="s">
        <v>74</v>
      </c>
      <c r="P28" t="s">
        <v>74</v>
      </c>
      <c r="Q28" t="s">
        <v>74</v>
      </c>
      <c r="R28" t="s">
        <v>74</v>
      </c>
      <c r="S28" t="s">
        <v>74</v>
      </c>
      <c r="T28" t="s">
        <v>640</v>
      </c>
      <c r="U28" t="s">
        <v>641</v>
      </c>
      <c r="V28" t="s">
        <v>642</v>
      </c>
      <c r="W28" t="s">
        <v>643</v>
      </c>
      <c r="X28" t="s">
        <v>644</v>
      </c>
      <c r="Y28" t="s">
        <v>645</v>
      </c>
      <c r="Z28" t="s">
        <v>646</v>
      </c>
      <c r="AA28" t="s">
        <v>74</v>
      </c>
      <c r="AB28" t="s">
        <v>74</v>
      </c>
      <c r="AC28" t="s">
        <v>647</v>
      </c>
      <c r="AD28" t="s">
        <v>648</v>
      </c>
      <c r="AE28" t="s">
        <v>649</v>
      </c>
      <c r="AF28" t="s">
        <v>74</v>
      </c>
      <c r="AG28">
        <v>55</v>
      </c>
      <c r="AH28">
        <v>0</v>
      </c>
      <c r="AI28">
        <v>0</v>
      </c>
      <c r="AJ28">
        <v>10</v>
      </c>
      <c r="AK28">
        <v>10</v>
      </c>
      <c r="AL28" t="s">
        <v>87</v>
      </c>
      <c r="AM28" t="s">
        <v>88</v>
      </c>
      <c r="AN28" t="s">
        <v>89</v>
      </c>
      <c r="AO28" t="s">
        <v>650</v>
      </c>
      <c r="AP28" t="s">
        <v>651</v>
      </c>
      <c r="AQ28" t="s">
        <v>74</v>
      </c>
      <c r="AR28" t="s">
        <v>652</v>
      </c>
      <c r="AS28" t="s">
        <v>653</v>
      </c>
      <c r="AT28" t="s">
        <v>654</v>
      </c>
      <c r="AU28">
        <v>2023</v>
      </c>
      <c r="AV28" t="s">
        <v>74</v>
      </c>
      <c r="AW28" t="s">
        <v>74</v>
      </c>
      <c r="AX28" t="s">
        <v>74</v>
      </c>
      <c r="AY28" t="s">
        <v>74</v>
      </c>
      <c r="AZ28" t="s">
        <v>74</v>
      </c>
      <c r="BA28" t="s">
        <v>74</v>
      </c>
      <c r="BB28" t="s">
        <v>74</v>
      </c>
      <c r="BC28" t="s">
        <v>74</v>
      </c>
      <c r="BD28" t="s">
        <v>74</v>
      </c>
      <c r="BE28" t="s">
        <v>655</v>
      </c>
      <c r="BF28" t="str">
        <f>HYPERLINK("http://dx.doi.org/10.1111/jipb.13561","http://dx.doi.org/10.1111/jipb.13561")</f>
        <v>http://dx.doi.org/10.1111/jipb.13561</v>
      </c>
      <c r="BG28" t="s">
        <v>74</v>
      </c>
      <c r="BH28" t="s">
        <v>407</v>
      </c>
      <c r="BI28">
        <v>13</v>
      </c>
      <c r="BJ28" t="s">
        <v>656</v>
      </c>
      <c r="BK28" t="s">
        <v>119</v>
      </c>
      <c r="BL28" t="s">
        <v>656</v>
      </c>
      <c r="BM28" t="s">
        <v>657</v>
      </c>
      <c r="BN28">
        <v>37655952</v>
      </c>
      <c r="BO28" t="s">
        <v>74</v>
      </c>
      <c r="BP28" t="s">
        <v>74</v>
      </c>
      <c r="BQ28" t="s">
        <v>74</v>
      </c>
      <c r="BR28" t="s">
        <v>99</v>
      </c>
      <c r="BS28" t="s">
        <v>658</v>
      </c>
      <c r="BT28" t="str">
        <f>HYPERLINK("https%3A%2F%2Fwww.webofscience.com%2Fwos%2Fwoscc%2Ffull-record%2FWOS:001072817500001","View Full Record in Web of Science")</f>
        <v>View Full Record in Web of Science</v>
      </c>
    </row>
    <row r="29" spans="1:72" x14ac:dyDescent="0.15">
      <c r="A29" t="s">
        <v>72</v>
      </c>
      <c r="B29" t="s">
        <v>659</v>
      </c>
      <c r="C29" t="s">
        <v>74</v>
      </c>
      <c r="D29" t="s">
        <v>74</v>
      </c>
      <c r="E29" t="s">
        <v>74</v>
      </c>
      <c r="F29" t="s">
        <v>660</v>
      </c>
      <c r="G29" t="s">
        <v>74</v>
      </c>
      <c r="H29" t="s">
        <v>74</v>
      </c>
      <c r="I29" t="s">
        <v>661</v>
      </c>
      <c r="J29" t="s">
        <v>662</v>
      </c>
      <c r="K29" t="s">
        <v>74</v>
      </c>
      <c r="L29" t="s">
        <v>74</v>
      </c>
      <c r="M29" t="s">
        <v>78</v>
      </c>
      <c r="N29" t="s">
        <v>338</v>
      </c>
      <c r="O29" t="s">
        <v>74</v>
      </c>
      <c r="P29" t="s">
        <v>74</v>
      </c>
      <c r="Q29" t="s">
        <v>74</v>
      </c>
      <c r="R29" t="s">
        <v>74</v>
      </c>
      <c r="S29" t="s">
        <v>74</v>
      </c>
      <c r="T29" t="s">
        <v>663</v>
      </c>
      <c r="U29" t="s">
        <v>664</v>
      </c>
      <c r="V29" t="s">
        <v>665</v>
      </c>
      <c r="W29" t="s">
        <v>666</v>
      </c>
      <c r="X29" t="s">
        <v>667</v>
      </c>
      <c r="Y29" t="s">
        <v>668</v>
      </c>
      <c r="Z29" t="s">
        <v>669</v>
      </c>
      <c r="AA29" t="s">
        <v>74</v>
      </c>
      <c r="AB29" t="s">
        <v>74</v>
      </c>
      <c r="AC29" t="s">
        <v>670</v>
      </c>
      <c r="AD29" t="s">
        <v>671</v>
      </c>
      <c r="AE29" t="s">
        <v>672</v>
      </c>
      <c r="AF29" t="s">
        <v>74</v>
      </c>
      <c r="AG29">
        <v>48</v>
      </c>
      <c r="AH29">
        <v>0</v>
      </c>
      <c r="AI29">
        <v>0</v>
      </c>
      <c r="AJ29">
        <v>0</v>
      </c>
      <c r="AK29">
        <v>0</v>
      </c>
      <c r="AL29" t="s">
        <v>87</v>
      </c>
      <c r="AM29" t="s">
        <v>88</v>
      </c>
      <c r="AN29" t="s">
        <v>89</v>
      </c>
      <c r="AO29" t="s">
        <v>673</v>
      </c>
      <c r="AP29" t="s">
        <v>74</v>
      </c>
      <c r="AQ29" t="s">
        <v>74</v>
      </c>
      <c r="AR29" t="s">
        <v>674</v>
      </c>
      <c r="AS29" t="s">
        <v>675</v>
      </c>
      <c r="AT29" t="s">
        <v>654</v>
      </c>
      <c r="AU29">
        <v>2023</v>
      </c>
      <c r="AV29" t="s">
        <v>74</v>
      </c>
      <c r="AW29" t="s">
        <v>74</v>
      </c>
      <c r="AX29" t="s">
        <v>74</v>
      </c>
      <c r="AY29" t="s">
        <v>74</v>
      </c>
      <c r="AZ29" t="s">
        <v>74</v>
      </c>
      <c r="BA29" t="s">
        <v>74</v>
      </c>
      <c r="BB29" t="s">
        <v>74</v>
      </c>
      <c r="BC29" t="s">
        <v>74</v>
      </c>
      <c r="BD29" t="s">
        <v>74</v>
      </c>
      <c r="BE29" t="s">
        <v>676</v>
      </c>
      <c r="BF29" t="str">
        <f>HYPERLINK("http://dx.doi.org/10.1002/mgg3.2246","http://dx.doi.org/10.1002/mgg3.2246")</f>
        <v>http://dx.doi.org/10.1002/mgg3.2246</v>
      </c>
      <c r="BG29" t="s">
        <v>74</v>
      </c>
      <c r="BH29" t="s">
        <v>407</v>
      </c>
      <c r="BI29">
        <v>11</v>
      </c>
      <c r="BJ29" t="s">
        <v>677</v>
      </c>
      <c r="BK29" t="s">
        <v>119</v>
      </c>
      <c r="BL29" t="s">
        <v>677</v>
      </c>
      <c r="BM29" t="s">
        <v>678</v>
      </c>
      <c r="BN29">
        <v>37766479</v>
      </c>
      <c r="BO29" t="s">
        <v>234</v>
      </c>
      <c r="BP29" t="s">
        <v>74</v>
      </c>
      <c r="BQ29" t="s">
        <v>74</v>
      </c>
      <c r="BR29" t="s">
        <v>99</v>
      </c>
      <c r="BS29" t="s">
        <v>679</v>
      </c>
      <c r="BT29" t="str">
        <f>HYPERLINK("https%3A%2F%2Fwww.webofscience.com%2Fwos%2Fwoscc%2Ffull-record%2FWOS:001071854600001","View Full Record in Web of Science")</f>
        <v>View Full Record in Web of Science</v>
      </c>
    </row>
    <row r="30" spans="1:72" x14ac:dyDescent="0.15">
      <c r="A30" t="s">
        <v>72</v>
      </c>
      <c r="B30" t="s">
        <v>680</v>
      </c>
      <c r="C30" t="s">
        <v>74</v>
      </c>
      <c r="D30" t="s">
        <v>74</v>
      </c>
      <c r="E30" t="s">
        <v>74</v>
      </c>
      <c r="F30" t="s">
        <v>681</v>
      </c>
      <c r="G30" t="s">
        <v>74</v>
      </c>
      <c r="H30" t="s">
        <v>74</v>
      </c>
      <c r="I30" t="s">
        <v>682</v>
      </c>
      <c r="J30" t="s">
        <v>683</v>
      </c>
      <c r="K30" t="s">
        <v>74</v>
      </c>
      <c r="L30" t="s">
        <v>74</v>
      </c>
      <c r="M30" t="s">
        <v>78</v>
      </c>
      <c r="N30" t="s">
        <v>338</v>
      </c>
      <c r="O30" t="s">
        <v>74</v>
      </c>
      <c r="P30" t="s">
        <v>74</v>
      </c>
      <c r="Q30" t="s">
        <v>74</v>
      </c>
      <c r="R30" t="s">
        <v>74</v>
      </c>
      <c r="S30" t="s">
        <v>74</v>
      </c>
      <c r="T30" t="s">
        <v>684</v>
      </c>
      <c r="U30" t="s">
        <v>685</v>
      </c>
      <c r="V30" t="s">
        <v>686</v>
      </c>
      <c r="W30" t="s">
        <v>687</v>
      </c>
      <c r="X30" t="s">
        <v>688</v>
      </c>
      <c r="Y30" t="s">
        <v>689</v>
      </c>
      <c r="Z30" t="s">
        <v>690</v>
      </c>
      <c r="AA30" t="s">
        <v>74</v>
      </c>
      <c r="AB30" t="s">
        <v>74</v>
      </c>
      <c r="AC30" t="s">
        <v>691</v>
      </c>
      <c r="AD30" t="s">
        <v>692</v>
      </c>
      <c r="AE30" t="s">
        <v>693</v>
      </c>
      <c r="AF30" t="s">
        <v>74</v>
      </c>
      <c r="AG30">
        <v>69</v>
      </c>
      <c r="AH30">
        <v>0</v>
      </c>
      <c r="AI30">
        <v>0</v>
      </c>
      <c r="AJ30">
        <v>0</v>
      </c>
      <c r="AK30">
        <v>0</v>
      </c>
      <c r="AL30" t="s">
        <v>426</v>
      </c>
      <c r="AM30" t="s">
        <v>427</v>
      </c>
      <c r="AN30" t="s">
        <v>428</v>
      </c>
      <c r="AO30" t="s">
        <v>694</v>
      </c>
      <c r="AP30" t="s">
        <v>695</v>
      </c>
      <c r="AQ30" t="s">
        <v>74</v>
      </c>
      <c r="AR30" t="s">
        <v>696</v>
      </c>
      <c r="AS30" t="s">
        <v>697</v>
      </c>
      <c r="AT30" t="s">
        <v>654</v>
      </c>
      <c r="AU30">
        <v>2023</v>
      </c>
      <c r="AV30" t="s">
        <v>74</v>
      </c>
      <c r="AW30" t="s">
        <v>74</v>
      </c>
      <c r="AX30" t="s">
        <v>74</v>
      </c>
      <c r="AY30" t="s">
        <v>74</v>
      </c>
      <c r="AZ30" t="s">
        <v>74</v>
      </c>
      <c r="BA30" t="s">
        <v>74</v>
      </c>
      <c r="BB30" t="s">
        <v>74</v>
      </c>
      <c r="BC30" t="s">
        <v>74</v>
      </c>
      <c r="BD30" t="s">
        <v>74</v>
      </c>
      <c r="BE30" t="s">
        <v>698</v>
      </c>
      <c r="BF30" t="str">
        <f>HYPERLINK("http://dx.doi.org/10.1002/adsc.202300858","http://dx.doi.org/10.1002/adsc.202300858")</f>
        <v>http://dx.doi.org/10.1002/adsc.202300858</v>
      </c>
      <c r="BG30" t="s">
        <v>74</v>
      </c>
      <c r="BH30" t="s">
        <v>407</v>
      </c>
      <c r="BI30">
        <v>11</v>
      </c>
      <c r="BJ30" t="s">
        <v>699</v>
      </c>
      <c r="BK30" t="s">
        <v>119</v>
      </c>
      <c r="BL30" t="s">
        <v>524</v>
      </c>
      <c r="BM30" t="s">
        <v>700</v>
      </c>
      <c r="BN30" t="s">
        <v>74</v>
      </c>
      <c r="BO30" t="s">
        <v>74</v>
      </c>
      <c r="BP30" t="s">
        <v>74</v>
      </c>
      <c r="BQ30" t="s">
        <v>74</v>
      </c>
      <c r="BR30" t="s">
        <v>99</v>
      </c>
      <c r="BS30" t="s">
        <v>701</v>
      </c>
      <c r="BT30" t="str">
        <f>HYPERLINK("https%3A%2F%2Fwww.webofscience.com%2Fwos%2Fwoscc%2Ffull-record%2FWOS:001070945200001","View Full Record in Web of Science")</f>
        <v>View Full Record in Web of Science</v>
      </c>
    </row>
    <row r="31" spans="1:72" x14ac:dyDescent="0.15">
      <c r="A31" t="s">
        <v>72</v>
      </c>
      <c r="B31" t="s">
        <v>702</v>
      </c>
      <c r="C31" t="s">
        <v>74</v>
      </c>
      <c r="D31" t="s">
        <v>74</v>
      </c>
      <c r="E31" t="s">
        <v>74</v>
      </c>
      <c r="F31" t="s">
        <v>703</v>
      </c>
      <c r="G31" t="s">
        <v>74</v>
      </c>
      <c r="H31" t="s">
        <v>74</v>
      </c>
      <c r="I31" t="s">
        <v>704</v>
      </c>
      <c r="J31" t="s">
        <v>705</v>
      </c>
      <c r="K31" t="s">
        <v>74</v>
      </c>
      <c r="L31" t="s">
        <v>74</v>
      </c>
      <c r="M31" t="s">
        <v>78</v>
      </c>
      <c r="N31" t="s">
        <v>594</v>
      </c>
      <c r="O31" t="s">
        <v>74</v>
      </c>
      <c r="P31" t="s">
        <v>74</v>
      </c>
      <c r="Q31" t="s">
        <v>74</v>
      </c>
      <c r="R31" t="s">
        <v>74</v>
      </c>
      <c r="S31" t="s">
        <v>74</v>
      </c>
      <c r="T31" t="s">
        <v>706</v>
      </c>
      <c r="U31" t="s">
        <v>707</v>
      </c>
      <c r="V31" t="s">
        <v>708</v>
      </c>
      <c r="W31" t="s">
        <v>709</v>
      </c>
      <c r="X31" t="s">
        <v>710</v>
      </c>
      <c r="Y31" t="s">
        <v>711</v>
      </c>
      <c r="Z31" t="s">
        <v>712</v>
      </c>
      <c r="AA31" t="s">
        <v>74</v>
      </c>
      <c r="AB31" t="s">
        <v>74</v>
      </c>
      <c r="AC31" t="s">
        <v>713</v>
      </c>
      <c r="AD31" t="s">
        <v>714</v>
      </c>
      <c r="AE31" t="s">
        <v>715</v>
      </c>
      <c r="AF31" t="s">
        <v>74</v>
      </c>
      <c r="AG31">
        <v>131</v>
      </c>
      <c r="AH31">
        <v>0</v>
      </c>
      <c r="AI31">
        <v>0</v>
      </c>
      <c r="AJ31">
        <v>0</v>
      </c>
      <c r="AK31">
        <v>0</v>
      </c>
      <c r="AL31" t="s">
        <v>87</v>
      </c>
      <c r="AM31" t="s">
        <v>88</v>
      </c>
      <c r="AN31" t="s">
        <v>89</v>
      </c>
      <c r="AO31" t="s">
        <v>716</v>
      </c>
      <c r="AP31" t="s">
        <v>717</v>
      </c>
      <c r="AQ31" t="s">
        <v>74</v>
      </c>
      <c r="AR31" t="s">
        <v>718</v>
      </c>
      <c r="AS31" t="s">
        <v>719</v>
      </c>
      <c r="AT31" t="s">
        <v>654</v>
      </c>
      <c r="AU31">
        <v>2023</v>
      </c>
      <c r="AV31" t="s">
        <v>74</v>
      </c>
      <c r="AW31" t="s">
        <v>74</v>
      </c>
      <c r="AX31" t="s">
        <v>74</v>
      </c>
      <c r="AY31" t="s">
        <v>74</v>
      </c>
      <c r="AZ31" t="s">
        <v>74</v>
      </c>
      <c r="BA31" t="s">
        <v>74</v>
      </c>
      <c r="BB31" t="s">
        <v>74</v>
      </c>
      <c r="BC31" t="s">
        <v>74</v>
      </c>
      <c r="BD31" t="s">
        <v>74</v>
      </c>
      <c r="BE31" t="s">
        <v>720</v>
      </c>
      <c r="BF31" t="str">
        <f>HYPERLINK("http://dx.doi.org/10.1002/jat.4546","http://dx.doi.org/10.1002/jat.4546")</f>
        <v>http://dx.doi.org/10.1002/jat.4546</v>
      </c>
      <c r="BG31" t="s">
        <v>74</v>
      </c>
      <c r="BH31" t="s">
        <v>407</v>
      </c>
      <c r="BI31">
        <v>20</v>
      </c>
      <c r="BJ31" t="s">
        <v>721</v>
      </c>
      <c r="BK31" t="s">
        <v>119</v>
      </c>
      <c r="BL31" t="s">
        <v>721</v>
      </c>
      <c r="BM31" t="s">
        <v>722</v>
      </c>
      <c r="BN31">
        <v>37766419</v>
      </c>
      <c r="BO31" t="s">
        <v>74</v>
      </c>
      <c r="BP31" t="s">
        <v>74</v>
      </c>
      <c r="BQ31" t="s">
        <v>74</v>
      </c>
      <c r="BR31" t="s">
        <v>99</v>
      </c>
      <c r="BS31" t="s">
        <v>723</v>
      </c>
      <c r="BT31" t="str">
        <f>HYPERLINK("https%3A%2F%2Fwww.webofscience.com%2Fwos%2Fwoscc%2Ffull-record%2FWOS:001071830500001","View Full Record in Web of Science")</f>
        <v>View Full Record in Web of Science</v>
      </c>
    </row>
    <row r="32" spans="1:72" x14ac:dyDescent="0.15">
      <c r="A32" t="s">
        <v>72</v>
      </c>
      <c r="B32" t="s">
        <v>724</v>
      </c>
      <c r="C32" t="s">
        <v>74</v>
      </c>
      <c r="D32" t="s">
        <v>74</v>
      </c>
      <c r="E32" t="s">
        <v>74</v>
      </c>
      <c r="F32" t="s">
        <v>725</v>
      </c>
      <c r="G32" t="s">
        <v>74</v>
      </c>
      <c r="H32" t="s">
        <v>74</v>
      </c>
      <c r="I32" t="s">
        <v>726</v>
      </c>
      <c r="J32" t="s">
        <v>727</v>
      </c>
      <c r="K32" t="s">
        <v>74</v>
      </c>
      <c r="L32" t="s">
        <v>74</v>
      </c>
      <c r="M32" t="s">
        <v>78</v>
      </c>
      <c r="N32" t="s">
        <v>338</v>
      </c>
      <c r="O32" t="s">
        <v>74</v>
      </c>
      <c r="P32" t="s">
        <v>74</v>
      </c>
      <c r="Q32" t="s">
        <v>74</v>
      </c>
      <c r="R32" t="s">
        <v>74</v>
      </c>
      <c r="S32" t="s">
        <v>74</v>
      </c>
      <c r="T32" t="s">
        <v>728</v>
      </c>
      <c r="U32" t="s">
        <v>729</v>
      </c>
      <c r="V32" t="s">
        <v>730</v>
      </c>
      <c r="W32" t="s">
        <v>731</v>
      </c>
      <c r="X32" t="s">
        <v>732</v>
      </c>
      <c r="Y32" t="s">
        <v>733</v>
      </c>
      <c r="Z32" t="s">
        <v>734</v>
      </c>
      <c r="AA32" t="s">
        <v>74</v>
      </c>
      <c r="AB32" t="s">
        <v>74</v>
      </c>
      <c r="AC32" t="s">
        <v>735</v>
      </c>
      <c r="AD32" t="s">
        <v>736</v>
      </c>
      <c r="AE32" t="s">
        <v>737</v>
      </c>
      <c r="AF32" t="s">
        <v>74</v>
      </c>
      <c r="AG32">
        <v>61</v>
      </c>
      <c r="AH32">
        <v>0</v>
      </c>
      <c r="AI32">
        <v>0</v>
      </c>
      <c r="AJ32">
        <v>0</v>
      </c>
      <c r="AK32">
        <v>0</v>
      </c>
      <c r="AL32" t="s">
        <v>426</v>
      </c>
      <c r="AM32" t="s">
        <v>427</v>
      </c>
      <c r="AN32" t="s">
        <v>428</v>
      </c>
      <c r="AO32" t="s">
        <v>738</v>
      </c>
      <c r="AP32" t="s">
        <v>739</v>
      </c>
      <c r="AQ32" t="s">
        <v>74</v>
      </c>
      <c r="AR32" t="s">
        <v>740</v>
      </c>
      <c r="AS32" t="s">
        <v>741</v>
      </c>
      <c r="AT32" t="s">
        <v>654</v>
      </c>
      <c r="AU32">
        <v>2023</v>
      </c>
      <c r="AV32" t="s">
        <v>74</v>
      </c>
      <c r="AW32" t="s">
        <v>74</v>
      </c>
      <c r="AX32" t="s">
        <v>74</v>
      </c>
      <c r="AY32" t="s">
        <v>74</v>
      </c>
      <c r="AZ32" t="s">
        <v>74</v>
      </c>
      <c r="BA32" t="s">
        <v>74</v>
      </c>
      <c r="BB32" t="s">
        <v>74</v>
      </c>
      <c r="BC32" t="s">
        <v>74</v>
      </c>
      <c r="BD32" t="s">
        <v>74</v>
      </c>
      <c r="BE32" t="s">
        <v>742</v>
      </c>
      <c r="BF32" t="str">
        <f>HYPERLINK("http://dx.doi.org/10.1002/ejoc.202300597","http://dx.doi.org/10.1002/ejoc.202300597")</f>
        <v>http://dx.doi.org/10.1002/ejoc.202300597</v>
      </c>
      <c r="BG32" t="s">
        <v>74</v>
      </c>
      <c r="BH32" t="s">
        <v>407</v>
      </c>
      <c r="BI32">
        <v>6</v>
      </c>
      <c r="BJ32" t="s">
        <v>743</v>
      </c>
      <c r="BK32" t="s">
        <v>119</v>
      </c>
      <c r="BL32" t="s">
        <v>524</v>
      </c>
      <c r="BM32" t="s">
        <v>744</v>
      </c>
      <c r="BN32" t="s">
        <v>74</v>
      </c>
      <c r="BO32" t="s">
        <v>74</v>
      </c>
      <c r="BP32" t="s">
        <v>74</v>
      </c>
      <c r="BQ32" t="s">
        <v>74</v>
      </c>
      <c r="BR32" t="s">
        <v>99</v>
      </c>
      <c r="BS32" t="s">
        <v>745</v>
      </c>
      <c r="BT32" t="str">
        <f>HYPERLINK("https%3A%2F%2Fwww.webofscience.com%2Fwos%2Fwoscc%2Ffull-record%2FWOS:001071010800001","View Full Record in Web of Science")</f>
        <v>View Full Record in Web of Science</v>
      </c>
    </row>
    <row r="33" spans="1:72" x14ac:dyDescent="0.15">
      <c r="A33" t="s">
        <v>72</v>
      </c>
      <c r="B33" t="s">
        <v>746</v>
      </c>
      <c r="C33" t="s">
        <v>74</v>
      </c>
      <c r="D33" t="s">
        <v>74</v>
      </c>
      <c r="E33" t="s">
        <v>74</v>
      </c>
      <c r="F33" t="s">
        <v>747</v>
      </c>
      <c r="G33" t="s">
        <v>74</v>
      </c>
      <c r="H33" t="s">
        <v>74</v>
      </c>
      <c r="I33" t="s">
        <v>748</v>
      </c>
      <c r="J33" t="s">
        <v>749</v>
      </c>
      <c r="K33" t="s">
        <v>74</v>
      </c>
      <c r="L33" t="s">
        <v>74</v>
      </c>
      <c r="M33" t="s">
        <v>78</v>
      </c>
      <c r="N33" t="s">
        <v>338</v>
      </c>
      <c r="O33" t="s">
        <v>74</v>
      </c>
      <c r="P33" t="s">
        <v>74</v>
      </c>
      <c r="Q33" t="s">
        <v>74</v>
      </c>
      <c r="R33" t="s">
        <v>74</v>
      </c>
      <c r="S33" t="s">
        <v>74</v>
      </c>
      <c r="T33" t="s">
        <v>750</v>
      </c>
      <c r="U33" t="s">
        <v>751</v>
      </c>
      <c r="V33" t="s">
        <v>752</v>
      </c>
      <c r="W33" t="s">
        <v>753</v>
      </c>
      <c r="X33" t="s">
        <v>754</v>
      </c>
      <c r="Y33" t="s">
        <v>755</v>
      </c>
      <c r="Z33" t="s">
        <v>756</v>
      </c>
      <c r="AA33" t="s">
        <v>74</v>
      </c>
      <c r="AB33" t="s">
        <v>74</v>
      </c>
      <c r="AC33" t="s">
        <v>757</v>
      </c>
      <c r="AD33" t="s">
        <v>758</v>
      </c>
      <c r="AE33" t="s">
        <v>759</v>
      </c>
      <c r="AF33" t="s">
        <v>74</v>
      </c>
      <c r="AG33">
        <v>109</v>
      </c>
      <c r="AH33">
        <v>0</v>
      </c>
      <c r="AI33">
        <v>0</v>
      </c>
      <c r="AJ33">
        <v>0</v>
      </c>
      <c r="AK33">
        <v>0</v>
      </c>
      <c r="AL33" t="s">
        <v>87</v>
      </c>
      <c r="AM33" t="s">
        <v>88</v>
      </c>
      <c r="AN33" t="s">
        <v>89</v>
      </c>
      <c r="AO33" t="s">
        <v>760</v>
      </c>
      <c r="AP33" t="s">
        <v>761</v>
      </c>
      <c r="AQ33" t="s">
        <v>74</v>
      </c>
      <c r="AR33" t="s">
        <v>762</v>
      </c>
      <c r="AS33" t="s">
        <v>763</v>
      </c>
      <c r="AT33" t="s">
        <v>654</v>
      </c>
      <c r="AU33">
        <v>2023</v>
      </c>
      <c r="AV33" t="s">
        <v>74</v>
      </c>
      <c r="AW33" t="s">
        <v>74</v>
      </c>
      <c r="AX33" t="s">
        <v>74</v>
      </c>
      <c r="AY33" t="s">
        <v>74</v>
      </c>
      <c r="AZ33" t="s">
        <v>74</v>
      </c>
      <c r="BA33" t="s">
        <v>74</v>
      </c>
      <c r="BB33" t="s">
        <v>74</v>
      </c>
      <c r="BC33" t="s">
        <v>74</v>
      </c>
      <c r="BD33" t="s">
        <v>74</v>
      </c>
      <c r="BE33" t="s">
        <v>764</v>
      </c>
      <c r="BF33" t="str">
        <f>HYPERLINK("http://dx.doi.org/10.1111/ddi.13772","http://dx.doi.org/10.1111/ddi.13772")</f>
        <v>http://dx.doi.org/10.1111/ddi.13772</v>
      </c>
      <c r="BG33" t="s">
        <v>74</v>
      </c>
      <c r="BH33" t="s">
        <v>407</v>
      </c>
      <c r="BI33">
        <v>14</v>
      </c>
      <c r="BJ33" t="s">
        <v>765</v>
      </c>
      <c r="BK33" t="s">
        <v>119</v>
      </c>
      <c r="BL33" t="s">
        <v>766</v>
      </c>
      <c r="BM33" t="s">
        <v>767</v>
      </c>
      <c r="BN33" t="s">
        <v>74</v>
      </c>
      <c r="BO33" t="s">
        <v>234</v>
      </c>
      <c r="BP33" t="s">
        <v>74</v>
      </c>
      <c r="BQ33" t="s">
        <v>74</v>
      </c>
      <c r="BR33" t="s">
        <v>99</v>
      </c>
      <c r="BS33" t="s">
        <v>768</v>
      </c>
      <c r="BT33" t="str">
        <f>HYPERLINK("https%3A%2F%2Fwww.webofscience.com%2Fwos%2Fwoscc%2Ffull-record%2FWOS:001073557000001","View Full Record in Web of Science")</f>
        <v>View Full Record in Web of Science</v>
      </c>
    </row>
    <row r="34" spans="1:72" x14ac:dyDescent="0.15">
      <c r="A34" t="s">
        <v>72</v>
      </c>
      <c r="B34" t="s">
        <v>769</v>
      </c>
      <c r="C34" t="s">
        <v>74</v>
      </c>
      <c r="D34" t="s">
        <v>74</v>
      </c>
      <c r="E34" t="s">
        <v>74</v>
      </c>
      <c r="F34" t="s">
        <v>770</v>
      </c>
      <c r="G34" t="s">
        <v>74</v>
      </c>
      <c r="H34" t="s">
        <v>74</v>
      </c>
      <c r="I34" t="s">
        <v>771</v>
      </c>
      <c r="J34" t="s">
        <v>772</v>
      </c>
      <c r="K34" t="s">
        <v>74</v>
      </c>
      <c r="L34" t="s">
        <v>74</v>
      </c>
      <c r="M34" t="s">
        <v>78</v>
      </c>
      <c r="N34" t="s">
        <v>338</v>
      </c>
      <c r="O34" t="s">
        <v>74</v>
      </c>
      <c r="P34" t="s">
        <v>74</v>
      </c>
      <c r="Q34" t="s">
        <v>74</v>
      </c>
      <c r="R34" t="s">
        <v>74</v>
      </c>
      <c r="S34" t="s">
        <v>74</v>
      </c>
      <c r="T34" t="s">
        <v>773</v>
      </c>
      <c r="U34" t="s">
        <v>774</v>
      </c>
      <c r="V34" t="s">
        <v>775</v>
      </c>
      <c r="W34" t="s">
        <v>776</v>
      </c>
      <c r="X34" t="s">
        <v>777</v>
      </c>
      <c r="Y34" t="s">
        <v>778</v>
      </c>
      <c r="Z34" t="s">
        <v>779</v>
      </c>
      <c r="AA34" t="s">
        <v>74</v>
      </c>
      <c r="AB34" t="s">
        <v>780</v>
      </c>
      <c r="AC34" t="s">
        <v>781</v>
      </c>
      <c r="AD34" t="s">
        <v>782</v>
      </c>
      <c r="AE34" t="s">
        <v>783</v>
      </c>
      <c r="AF34" t="s">
        <v>74</v>
      </c>
      <c r="AG34">
        <v>59</v>
      </c>
      <c r="AH34">
        <v>0</v>
      </c>
      <c r="AI34">
        <v>0</v>
      </c>
      <c r="AJ34">
        <v>0</v>
      </c>
      <c r="AK34">
        <v>0</v>
      </c>
      <c r="AL34" t="s">
        <v>87</v>
      </c>
      <c r="AM34" t="s">
        <v>88</v>
      </c>
      <c r="AN34" t="s">
        <v>89</v>
      </c>
      <c r="AO34" t="s">
        <v>784</v>
      </c>
      <c r="AP34" t="s">
        <v>785</v>
      </c>
      <c r="AQ34" t="s">
        <v>74</v>
      </c>
      <c r="AR34" t="s">
        <v>786</v>
      </c>
      <c r="AS34" t="s">
        <v>787</v>
      </c>
      <c r="AT34" t="s">
        <v>654</v>
      </c>
      <c r="AU34">
        <v>2023</v>
      </c>
      <c r="AV34" t="s">
        <v>74</v>
      </c>
      <c r="AW34" t="s">
        <v>74</v>
      </c>
      <c r="AX34" t="s">
        <v>74</v>
      </c>
      <c r="AY34" t="s">
        <v>74</v>
      </c>
      <c r="AZ34" t="s">
        <v>74</v>
      </c>
      <c r="BA34" t="s">
        <v>74</v>
      </c>
      <c r="BB34" t="s">
        <v>74</v>
      </c>
      <c r="BC34" t="s">
        <v>74</v>
      </c>
      <c r="BD34" t="s">
        <v>74</v>
      </c>
      <c r="BE34" t="s">
        <v>788</v>
      </c>
      <c r="BF34" t="str">
        <f>HYPERLINK("http://dx.doi.org/10.1002/1878-0261.13524","http://dx.doi.org/10.1002/1878-0261.13524")</f>
        <v>http://dx.doi.org/10.1002/1878-0261.13524</v>
      </c>
      <c r="BG34" t="s">
        <v>74</v>
      </c>
      <c r="BH34" t="s">
        <v>407</v>
      </c>
      <c r="BI34">
        <v>23</v>
      </c>
      <c r="BJ34" t="s">
        <v>789</v>
      </c>
      <c r="BK34" t="s">
        <v>119</v>
      </c>
      <c r="BL34" t="s">
        <v>789</v>
      </c>
      <c r="BM34" t="s">
        <v>790</v>
      </c>
      <c r="BN34">
        <v>37716915</v>
      </c>
      <c r="BO34" t="s">
        <v>234</v>
      </c>
      <c r="BP34" t="s">
        <v>74</v>
      </c>
      <c r="BQ34" t="s">
        <v>74</v>
      </c>
      <c r="BR34" t="s">
        <v>99</v>
      </c>
      <c r="BS34" t="s">
        <v>791</v>
      </c>
      <c r="BT34" t="str">
        <f>HYPERLINK("https%3A%2F%2Fwww.webofscience.com%2Fwos%2Fwoscc%2Ffull-record%2FWOS:001072818700001","View Full Record in Web of Science")</f>
        <v>View Full Record in Web of Science</v>
      </c>
    </row>
    <row r="35" spans="1:72" x14ac:dyDescent="0.15">
      <c r="A35" t="s">
        <v>72</v>
      </c>
      <c r="B35" t="s">
        <v>792</v>
      </c>
      <c r="C35" t="s">
        <v>74</v>
      </c>
      <c r="D35" t="s">
        <v>74</v>
      </c>
      <c r="E35" t="s">
        <v>74</v>
      </c>
      <c r="F35" t="s">
        <v>793</v>
      </c>
      <c r="G35" t="s">
        <v>74</v>
      </c>
      <c r="H35" t="s">
        <v>74</v>
      </c>
      <c r="I35" t="s">
        <v>794</v>
      </c>
      <c r="J35" t="s">
        <v>795</v>
      </c>
      <c r="K35" t="s">
        <v>74</v>
      </c>
      <c r="L35" t="s">
        <v>74</v>
      </c>
      <c r="M35" t="s">
        <v>78</v>
      </c>
      <c r="N35" t="s">
        <v>338</v>
      </c>
      <c r="O35" t="s">
        <v>74</v>
      </c>
      <c r="P35" t="s">
        <v>74</v>
      </c>
      <c r="Q35" t="s">
        <v>74</v>
      </c>
      <c r="R35" t="s">
        <v>74</v>
      </c>
      <c r="S35" t="s">
        <v>74</v>
      </c>
      <c r="T35" t="s">
        <v>796</v>
      </c>
      <c r="U35" t="s">
        <v>797</v>
      </c>
      <c r="V35" t="s">
        <v>798</v>
      </c>
      <c r="W35" t="s">
        <v>799</v>
      </c>
      <c r="X35" t="s">
        <v>800</v>
      </c>
      <c r="Y35" t="s">
        <v>801</v>
      </c>
      <c r="Z35" t="s">
        <v>802</v>
      </c>
      <c r="AA35" t="s">
        <v>74</v>
      </c>
      <c r="AB35" t="s">
        <v>803</v>
      </c>
      <c r="AC35" t="s">
        <v>804</v>
      </c>
      <c r="AD35" t="s">
        <v>804</v>
      </c>
      <c r="AE35" t="s">
        <v>805</v>
      </c>
      <c r="AF35" t="s">
        <v>74</v>
      </c>
      <c r="AG35">
        <v>28</v>
      </c>
      <c r="AH35">
        <v>0</v>
      </c>
      <c r="AI35">
        <v>0</v>
      </c>
      <c r="AJ35">
        <v>0</v>
      </c>
      <c r="AK35">
        <v>0</v>
      </c>
      <c r="AL35" t="s">
        <v>87</v>
      </c>
      <c r="AM35" t="s">
        <v>88</v>
      </c>
      <c r="AN35" t="s">
        <v>89</v>
      </c>
      <c r="AO35" t="s">
        <v>806</v>
      </c>
      <c r="AP35" t="s">
        <v>807</v>
      </c>
      <c r="AQ35" t="s">
        <v>74</v>
      </c>
      <c r="AR35" t="s">
        <v>808</v>
      </c>
      <c r="AS35" t="s">
        <v>809</v>
      </c>
      <c r="AT35" t="s">
        <v>654</v>
      </c>
      <c r="AU35">
        <v>2023</v>
      </c>
      <c r="AV35" t="s">
        <v>74</v>
      </c>
      <c r="AW35" t="s">
        <v>74</v>
      </c>
      <c r="AX35" t="s">
        <v>74</v>
      </c>
      <c r="AY35" t="s">
        <v>74</v>
      </c>
      <c r="AZ35" t="s">
        <v>74</v>
      </c>
      <c r="BA35" t="s">
        <v>74</v>
      </c>
      <c r="BB35" t="s">
        <v>74</v>
      </c>
      <c r="BC35" t="s">
        <v>74</v>
      </c>
      <c r="BD35" t="s">
        <v>74</v>
      </c>
      <c r="BE35" t="s">
        <v>810</v>
      </c>
      <c r="BF35" t="str">
        <f>HYPERLINK("http://dx.doi.org/10.1111/odi.14714","http://dx.doi.org/10.1111/odi.14714")</f>
        <v>http://dx.doi.org/10.1111/odi.14714</v>
      </c>
      <c r="BG35" t="s">
        <v>74</v>
      </c>
      <c r="BH35" t="s">
        <v>407</v>
      </c>
      <c r="BI35">
        <v>7</v>
      </c>
      <c r="BJ35" t="s">
        <v>314</v>
      </c>
      <c r="BK35" t="s">
        <v>119</v>
      </c>
      <c r="BL35" t="s">
        <v>314</v>
      </c>
      <c r="BM35" t="s">
        <v>811</v>
      </c>
      <c r="BN35">
        <v>37759359</v>
      </c>
      <c r="BO35" t="s">
        <v>74</v>
      </c>
      <c r="BP35" t="s">
        <v>74</v>
      </c>
      <c r="BQ35" t="s">
        <v>74</v>
      </c>
      <c r="BR35" t="s">
        <v>99</v>
      </c>
      <c r="BS35" t="s">
        <v>812</v>
      </c>
      <c r="BT35" t="str">
        <f>HYPERLINK("https%3A%2F%2Fwww.webofscience.com%2Fwos%2Fwoscc%2Ffull-record%2FWOS:001072218000001","View Full Record in Web of Science")</f>
        <v>View Full Record in Web of Science</v>
      </c>
    </row>
    <row r="36" spans="1:72" x14ac:dyDescent="0.15">
      <c r="A36" t="s">
        <v>72</v>
      </c>
      <c r="B36" t="s">
        <v>813</v>
      </c>
      <c r="C36" t="s">
        <v>74</v>
      </c>
      <c r="D36" t="s">
        <v>74</v>
      </c>
      <c r="E36" t="s">
        <v>74</v>
      </c>
      <c r="F36" t="s">
        <v>814</v>
      </c>
      <c r="G36" t="s">
        <v>74</v>
      </c>
      <c r="H36" t="s">
        <v>74</v>
      </c>
      <c r="I36" t="s">
        <v>815</v>
      </c>
      <c r="J36" t="s">
        <v>816</v>
      </c>
      <c r="K36" t="s">
        <v>74</v>
      </c>
      <c r="L36" t="s">
        <v>74</v>
      </c>
      <c r="M36" t="s">
        <v>78</v>
      </c>
      <c r="N36" t="s">
        <v>594</v>
      </c>
      <c r="O36" t="s">
        <v>74</v>
      </c>
      <c r="P36" t="s">
        <v>74</v>
      </c>
      <c r="Q36" t="s">
        <v>74</v>
      </c>
      <c r="R36" t="s">
        <v>74</v>
      </c>
      <c r="S36" t="s">
        <v>74</v>
      </c>
      <c r="T36" t="s">
        <v>817</v>
      </c>
      <c r="U36" t="s">
        <v>818</v>
      </c>
      <c r="V36" t="s">
        <v>819</v>
      </c>
      <c r="W36" t="s">
        <v>820</v>
      </c>
      <c r="X36" t="s">
        <v>821</v>
      </c>
      <c r="Y36" t="s">
        <v>822</v>
      </c>
      <c r="Z36" t="s">
        <v>823</v>
      </c>
      <c r="AA36" t="s">
        <v>74</v>
      </c>
      <c r="AB36" t="s">
        <v>74</v>
      </c>
      <c r="AC36" t="s">
        <v>824</v>
      </c>
      <c r="AD36" t="s">
        <v>825</v>
      </c>
      <c r="AE36" t="s">
        <v>826</v>
      </c>
      <c r="AF36" t="s">
        <v>74</v>
      </c>
      <c r="AG36">
        <v>32</v>
      </c>
      <c r="AH36">
        <v>0</v>
      </c>
      <c r="AI36">
        <v>0</v>
      </c>
      <c r="AJ36">
        <v>0</v>
      </c>
      <c r="AK36">
        <v>0</v>
      </c>
      <c r="AL36" t="s">
        <v>87</v>
      </c>
      <c r="AM36" t="s">
        <v>88</v>
      </c>
      <c r="AN36" t="s">
        <v>89</v>
      </c>
      <c r="AO36" t="s">
        <v>827</v>
      </c>
      <c r="AP36" t="s">
        <v>828</v>
      </c>
      <c r="AQ36" t="s">
        <v>74</v>
      </c>
      <c r="AR36" t="s">
        <v>829</v>
      </c>
      <c r="AS36" t="s">
        <v>830</v>
      </c>
      <c r="AT36" t="s">
        <v>654</v>
      </c>
      <c r="AU36">
        <v>2023</v>
      </c>
      <c r="AV36" t="s">
        <v>74</v>
      </c>
      <c r="AW36" t="s">
        <v>74</v>
      </c>
      <c r="AX36" t="s">
        <v>74</v>
      </c>
      <c r="AY36" t="s">
        <v>74</v>
      </c>
      <c r="AZ36" t="s">
        <v>74</v>
      </c>
      <c r="BA36" t="s">
        <v>74</v>
      </c>
      <c r="BB36" t="s">
        <v>74</v>
      </c>
      <c r="BC36" t="s">
        <v>74</v>
      </c>
      <c r="BD36" t="s">
        <v>74</v>
      </c>
      <c r="BE36" t="s">
        <v>831</v>
      </c>
      <c r="BF36" t="str">
        <f>HYPERLINK("http://dx.doi.org/10.1111/coa.14098","http://dx.doi.org/10.1111/coa.14098")</f>
        <v>http://dx.doi.org/10.1111/coa.14098</v>
      </c>
      <c r="BG36" t="s">
        <v>74</v>
      </c>
      <c r="BH36" t="s">
        <v>407</v>
      </c>
      <c r="BI36">
        <v>13</v>
      </c>
      <c r="BJ36" t="s">
        <v>832</v>
      </c>
      <c r="BK36" t="s">
        <v>119</v>
      </c>
      <c r="BL36" t="s">
        <v>832</v>
      </c>
      <c r="BM36" t="s">
        <v>833</v>
      </c>
      <c r="BN36">
        <v>37754548</v>
      </c>
      <c r="BO36" t="s">
        <v>74</v>
      </c>
      <c r="BP36" t="s">
        <v>74</v>
      </c>
      <c r="BQ36" t="s">
        <v>74</v>
      </c>
      <c r="BR36" t="s">
        <v>99</v>
      </c>
      <c r="BS36" t="s">
        <v>834</v>
      </c>
      <c r="BT36" t="str">
        <f>HYPERLINK("https%3A%2F%2Fwww.webofscience.com%2Fwos%2Fwoscc%2Ffull-record%2FWOS:001071033500001","View Full Record in Web of Science")</f>
        <v>View Full Record in Web of Science</v>
      </c>
    </row>
    <row r="37" spans="1:72" x14ac:dyDescent="0.15">
      <c r="A37" t="s">
        <v>72</v>
      </c>
      <c r="B37" t="s">
        <v>835</v>
      </c>
      <c r="C37" t="s">
        <v>74</v>
      </c>
      <c r="D37" t="s">
        <v>74</v>
      </c>
      <c r="E37" t="s">
        <v>74</v>
      </c>
      <c r="F37" t="s">
        <v>836</v>
      </c>
      <c r="G37" t="s">
        <v>74</v>
      </c>
      <c r="H37" t="s">
        <v>74</v>
      </c>
      <c r="I37" t="s">
        <v>837</v>
      </c>
      <c r="J37" t="s">
        <v>838</v>
      </c>
      <c r="K37" t="s">
        <v>74</v>
      </c>
      <c r="L37" t="s">
        <v>74</v>
      </c>
      <c r="M37" t="s">
        <v>78</v>
      </c>
      <c r="N37" t="s">
        <v>594</v>
      </c>
      <c r="O37" t="s">
        <v>74</v>
      </c>
      <c r="P37" t="s">
        <v>74</v>
      </c>
      <c r="Q37" t="s">
        <v>74</v>
      </c>
      <c r="R37" t="s">
        <v>74</v>
      </c>
      <c r="S37" t="s">
        <v>74</v>
      </c>
      <c r="T37" t="s">
        <v>839</v>
      </c>
      <c r="U37" t="s">
        <v>840</v>
      </c>
      <c r="V37" t="s">
        <v>841</v>
      </c>
      <c r="W37" t="s">
        <v>842</v>
      </c>
      <c r="X37" t="s">
        <v>843</v>
      </c>
      <c r="Y37" t="s">
        <v>844</v>
      </c>
      <c r="Z37" t="s">
        <v>845</v>
      </c>
      <c r="AA37" t="s">
        <v>74</v>
      </c>
      <c r="AB37" t="s">
        <v>74</v>
      </c>
      <c r="AC37" t="s">
        <v>846</v>
      </c>
      <c r="AD37" t="s">
        <v>846</v>
      </c>
      <c r="AE37" t="s">
        <v>847</v>
      </c>
      <c r="AF37" t="s">
        <v>74</v>
      </c>
      <c r="AG37">
        <v>41</v>
      </c>
      <c r="AH37">
        <v>0</v>
      </c>
      <c r="AI37">
        <v>0</v>
      </c>
      <c r="AJ37">
        <v>0</v>
      </c>
      <c r="AK37">
        <v>0</v>
      </c>
      <c r="AL37" t="s">
        <v>426</v>
      </c>
      <c r="AM37" t="s">
        <v>427</v>
      </c>
      <c r="AN37" t="s">
        <v>428</v>
      </c>
      <c r="AO37" t="s">
        <v>848</v>
      </c>
      <c r="AP37" t="s">
        <v>849</v>
      </c>
      <c r="AQ37" t="s">
        <v>74</v>
      </c>
      <c r="AR37" t="s">
        <v>850</v>
      </c>
      <c r="AS37" t="s">
        <v>851</v>
      </c>
      <c r="AT37" t="s">
        <v>654</v>
      </c>
      <c r="AU37">
        <v>2023</v>
      </c>
      <c r="AV37" t="s">
        <v>74</v>
      </c>
      <c r="AW37" t="s">
        <v>74</v>
      </c>
      <c r="AX37" t="s">
        <v>74</v>
      </c>
      <c r="AY37" t="s">
        <v>74</v>
      </c>
      <c r="AZ37" t="s">
        <v>74</v>
      </c>
      <c r="BA37" t="s">
        <v>74</v>
      </c>
      <c r="BB37" t="s">
        <v>74</v>
      </c>
      <c r="BC37" t="s">
        <v>74</v>
      </c>
      <c r="BD37" t="s">
        <v>74</v>
      </c>
      <c r="BE37" t="s">
        <v>852</v>
      </c>
      <c r="BF37" t="str">
        <f>HYPERLINK("http://dx.doi.org/10.1002/crat.202300070","http://dx.doi.org/10.1002/crat.202300070")</f>
        <v>http://dx.doi.org/10.1002/crat.202300070</v>
      </c>
      <c r="BG37" t="s">
        <v>74</v>
      </c>
      <c r="BH37" t="s">
        <v>407</v>
      </c>
      <c r="BI37">
        <v>10</v>
      </c>
      <c r="BJ37" t="s">
        <v>853</v>
      </c>
      <c r="BK37" t="s">
        <v>119</v>
      </c>
      <c r="BL37" t="s">
        <v>853</v>
      </c>
      <c r="BM37" t="s">
        <v>854</v>
      </c>
      <c r="BN37" t="s">
        <v>74</v>
      </c>
      <c r="BO37" t="s">
        <v>74</v>
      </c>
      <c r="BP37" t="s">
        <v>74</v>
      </c>
      <c r="BQ37" t="s">
        <v>74</v>
      </c>
      <c r="BR37" t="s">
        <v>99</v>
      </c>
      <c r="BS37" t="s">
        <v>855</v>
      </c>
      <c r="BT37" t="str">
        <f>HYPERLINK("https%3A%2F%2Fwww.webofscience.com%2Fwos%2Fwoscc%2Ffull-record%2FWOS:001071005900001","View Full Record in Web of Science")</f>
        <v>View Full Record in Web of Science</v>
      </c>
    </row>
    <row r="38" spans="1:72" x14ac:dyDescent="0.15">
      <c r="A38" t="s">
        <v>72</v>
      </c>
      <c r="B38" t="s">
        <v>856</v>
      </c>
      <c r="C38" t="s">
        <v>74</v>
      </c>
      <c r="D38" t="s">
        <v>74</v>
      </c>
      <c r="E38" t="s">
        <v>74</v>
      </c>
      <c r="F38" t="s">
        <v>857</v>
      </c>
      <c r="G38" t="s">
        <v>74</v>
      </c>
      <c r="H38" t="s">
        <v>74</v>
      </c>
      <c r="I38" t="s">
        <v>858</v>
      </c>
      <c r="J38" t="s">
        <v>727</v>
      </c>
      <c r="K38" t="s">
        <v>74</v>
      </c>
      <c r="L38" t="s">
        <v>74</v>
      </c>
      <c r="M38" t="s">
        <v>78</v>
      </c>
      <c r="N38" t="s">
        <v>594</v>
      </c>
      <c r="O38" t="s">
        <v>74</v>
      </c>
      <c r="P38" t="s">
        <v>74</v>
      </c>
      <c r="Q38" t="s">
        <v>74</v>
      </c>
      <c r="R38" t="s">
        <v>74</v>
      </c>
      <c r="S38" t="s">
        <v>74</v>
      </c>
      <c r="T38" t="s">
        <v>859</v>
      </c>
      <c r="U38" t="s">
        <v>860</v>
      </c>
      <c r="V38" t="s">
        <v>861</v>
      </c>
      <c r="W38" t="s">
        <v>862</v>
      </c>
      <c r="X38" t="s">
        <v>863</v>
      </c>
      <c r="Y38" t="s">
        <v>864</v>
      </c>
      <c r="Z38" t="s">
        <v>865</v>
      </c>
      <c r="AA38" t="s">
        <v>74</v>
      </c>
      <c r="AB38" t="s">
        <v>74</v>
      </c>
      <c r="AC38" t="s">
        <v>866</v>
      </c>
      <c r="AD38" t="s">
        <v>867</v>
      </c>
      <c r="AE38" t="s">
        <v>868</v>
      </c>
      <c r="AF38" t="s">
        <v>74</v>
      </c>
      <c r="AG38">
        <v>179</v>
      </c>
      <c r="AH38">
        <v>0</v>
      </c>
      <c r="AI38">
        <v>0</v>
      </c>
      <c r="AJ38">
        <v>0</v>
      </c>
      <c r="AK38">
        <v>0</v>
      </c>
      <c r="AL38" t="s">
        <v>426</v>
      </c>
      <c r="AM38" t="s">
        <v>427</v>
      </c>
      <c r="AN38" t="s">
        <v>428</v>
      </c>
      <c r="AO38" t="s">
        <v>738</v>
      </c>
      <c r="AP38" t="s">
        <v>739</v>
      </c>
      <c r="AQ38" t="s">
        <v>74</v>
      </c>
      <c r="AR38" t="s">
        <v>740</v>
      </c>
      <c r="AS38" t="s">
        <v>741</v>
      </c>
      <c r="AT38" t="s">
        <v>654</v>
      </c>
      <c r="AU38">
        <v>2023</v>
      </c>
      <c r="AV38" t="s">
        <v>74</v>
      </c>
      <c r="AW38" t="s">
        <v>74</v>
      </c>
      <c r="AX38" t="s">
        <v>74</v>
      </c>
      <c r="AY38" t="s">
        <v>74</v>
      </c>
      <c r="AZ38" t="s">
        <v>74</v>
      </c>
      <c r="BA38" t="s">
        <v>74</v>
      </c>
      <c r="BB38" t="s">
        <v>74</v>
      </c>
      <c r="BC38" t="s">
        <v>74</v>
      </c>
      <c r="BD38" t="s">
        <v>74</v>
      </c>
      <c r="BE38" t="s">
        <v>869</v>
      </c>
      <c r="BF38" t="str">
        <f>HYPERLINK("http://dx.doi.org/10.1002/ejoc.202300783","http://dx.doi.org/10.1002/ejoc.202300783")</f>
        <v>http://dx.doi.org/10.1002/ejoc.202300783</v>
      </c>
      <c r="BG38" t="s">
        <v>74</v>
      </c>
      <c r="BH38" t="s">
        <v>407</v>
      </c>
      <c r="BI38">
        <v>16</v>
      </c>
      <c r="BJ38" t="s">
        <v>743</v>
      </c>
      <c r="BK38" t="s">
        <v>119</v>
      </c>
      <c r="BL38" t="s">
        <v>524</v>
      </c>
      <c r="BM38" t="s">
        <v>870</v>
      </c>
      <c r="BN38" t="s">
        <v>74</v>
      </c>
      <c r="BO38" t="s">
        <v>74</v>
      </c>
      <c r="BP38" t="s">
        <v>74</v>
      </c>
      <c r="BQ38" t="s">
        <v>74</v>
      </c>
      <c r="BR38" t="s">
        <v>99</v>
      </c>
      <c r="BS38" t="s">
        <v>871</v>
      </c>
      <c r="BT38" t="str">
        <f>HYPERLINK("https%3A%2F%2Fwww.webofscience.com%2Fwos%2Fwoscc%2Ffull-record%2FWOS:001071004600001","View Full Record in Web of Science")</f>
        <v>View Full Record in Web of Science</v>
      </c>
    </row>
    <row r="39" spans="1:72" x14ac:dyDescent="0.15">
      <c r="A39" t="s">
        <v>72</v>
      </c>
      <c r="B39" t="s">
        <v>872</v>
      </c>
      <c r="C39" t="s">
        <v>74</v>
      </c>
      <c r="D39" t="s">
        <v>74</v>
      </c>
      <c r="E39" t="s">
        <v>74</v>
      </c>
      <c r="F39" t="s">
        <v>873</v>
      </c>
      <c r="G39" t="s">
        <v>74</v>
      </c>
      <c r="H39" t="s">
        <v>74</v>
      </c>
      <c r="I39" t="s">
        <v>874</v>
      </c>
      <c r="J39" t="s">
        <v>875</v>
      </c>
      <c r="K39" t="s">
        <v>74</v>
      </c>
      <c r="L39" t="s">
        <v>74</v>
      </c>
      <c r="M39" t="s">
        <v>78</v>
      </c>
      <c r="N39" t="s">
        <v>338</v>
      </c>
      <c r="O39" t="s">
        <v>74</v>
      </c>
      <c r="P39" t="s">
        <v>74</v>
      </c>
      <c r="Q39" t="s">
        <v>74</v>
      </c>
      <c r="R39" t="s">
        <v>74</v>
      </c>
      <c r="S39" t="s">
        <v>74</v>
      </c>
      <c r="T39" t="s">
        <v>876</v>
      </c>
      <c r="U39" t="s">
        <v>877</v>
      </c>
      <c r="V39" t="s">
        <v>878</v>
      </c>
      <c r="W39" t="s">
        <v>879</v>
      </c>
      <c r="X39" t="s">
        <v>880</v>
      </c>
      <c r="Y39" t="s">
        <v>881</v>
      </c>
      <c r="Z39" t="s">
        <v>882</v>
      </c>
      <c r="AA39" t="s">
        <v>74</v>
      </c>
      <c r="AB39" t="s">
        <v>74</v>
      </c>
      <c r="AC39" t="s">
        <v>883</v>
      </c>
      <c r="AD39" t="s">
        <v>884</v>
      </c>
      <c r="AE39" t="s">
        <v>885</v>
      </c>
      <c r="AF39" t="s">
        <v>74</v>
      </c>
      <c r="AG39">
        <v>66</v>
      </c>
      <c r="AH39">
        <v>0</v>
      </c>
      <c r="AI39">
        <v>0</v>
      </c>
      <c r="AJ39">
        <v>0</v>
      </c>
      <c r="AK39">
        <v>0</v>
      </c>
      <c r="AL39" t="s">
        <v>426</v>
      </c>
      <c r="AM39" t="s">
        <v>427</v>
      </c>
      <c r="AN39" t="s">
        <v>428</v>
      </c>
      <c r="AO39" t="s">
        <v>886</v>
      </c>
      <c r="AP39" t="s">
        <v>887</v>
      </c>
      <c r="AQ39" t="s">
        <v>74</v>
      </c>
      <c r="AR39" t="s">
        <v>888</v>
      </c>
      <c r="AS39" t="s">
        <v>889</v>
      </c>
      <c r="AT39" t="s">
        <v>654</v>
      </c>
      <c r="AU39">
        <v>2023</v>
      </c>
      <c r="AV39" t="s">
        <v>74</v>
      </c>
      <c r="AW39" t="s">
        <v>74</v>
      </c>
      <c r="AX39" t="s">
        <v>74</v>
      </c>
      <c r="AY39" t="s">
        <v>74</v>
      </c>
      <c r="AZ39" t="s">
        <v>74</v>
      </c>
      <c r="BA39" t="s">
        <v>74</v>
      </c>
      <c r="BB39" t="s">
        <v>74</v>
      </c>
      <c r="BC39" t="s">
        <v>74</v>
      </c>
      <c r="BD39">
        <v>2308021</v>
      </c>
      <c r="BE39" t="s">
        <v>890</v>
      </c>
      <c r="BF39" t="str">
        <f>HYPERLINK("http://dx.doi.org/10.1002/adfm.202308021","http://dx.doi.org/10.1002/adfm.202308021")</f>
        <v>http://dx.doi.org/10.1002/adfm.202308021</v>
      </c>
      <c r="BG39" t="s">
        <v>74</v>
      </c>
      <c r="BH39" t="s">
        <v>407</v>
      </c>
      <c r="BI39">
        <v>14</v>
      </c>
      <c r="BJ39" t="s">
        <v>609</v>
      </c>
      <c r="BK39" t="s">
        <v>119</v>
      </c>
      <c r="BL39" t="s">
        <v>610</v>
      </c>
      <c r="BM39" t="s">
        <v>891</v>
      </c>
      <c r="BN39" t="s">
        <v>74</v>
      </c>
      <c r="BO39" t="s">
        <v>301</v>
      </c>
      <c r="BP39" t="s">
        <v>74</v>
      </c>
      <c r="BQ39" t="s">
        <v>74</v>
      </c>
      <c r="BR39" t="s">
        <v>99</v>
      </c>
      <c r="BS39" t="s">
        <v>892</v>
      </c>
      <c r="BT39" t="str">
        <f>HYPERLINK("https%3A%2F%2Fwww.webofscience.com%2Fwos%2Fwoscc%2Ffull-record%2FWOS:001073719500001","View Full Record in Web of Science")</f>
        <v>View Full Record in Web of Science</v>
      </c>
    </row>
    <row r="40" spans="1:72" x14ac:dyDescent="0.15">
      <c r="A40" t="s">
        <v>72</v>
      </c>
      <c r="B40" t="s">
        <v>893</v>
      </c>
      <c r="C40" t="s">
        <v>74</v>
      </c>
      <c r="D40" t="s">
        <v>74</v>
      </c>
      <c r="E40" t="s">
        <v>74</v>
      </c>
      <c r="F40" t="s">
        <v>894</v>
      </c>
      <c r="G40" t="s">
        <v>74</v>
      </c>
      <c r="H40" t="s">
        <v>74</v>
      </c>
      <c r="I40" t="s">
        <v>895</v>
      </c>
      <c r="J40" t="s">
        <v>896</v>
      </c>
      <c r="K40" t="s">
        <v>74</v>
      </c>
      <c r="L40" t="s">
        <v>74</v>
      </c>
      <c r="M40" t="s">
        <v>78</v>
      </c>
      <c r="N40" t="s">
        <v>338</v>
      </c>
      <c r="O40" t="s">
        <v>74</v>
      </c>
      <c r="P40" t="s">
        <v>74</v>
      </c>
      <c r="Q40" t="s">
        <v>74</v>
      </c>
      <c r="R40" t="s">
        <v>74</v>
      </c>
      <c r="S40" t="s">
        <v>74</v>
      </c>
      <c r="T40" t="s">
        <v>897</v>
      </c>
      <c r="U40" t="s">
        <v>898</v>
      </c>
      <c r="V40" t="s">
        <v>899</v>
      </c>
      <c r="W40" t="s">
        <v>900</v>
      </c>
      <c r="X40" t="s">
        <v>901</v>
      </c>
      <c r="Y40" t="s">
        <v>902</v>
      </c>
      <c r="Z40" t="s">
        <v>903</v>
      </c>
      <c r="AA40" t="s">
        <v>74</v>
      </c>
      <c r="AB40" t="s">
        <v>904</v>
      </c>
      <c r="AC40" t="s">
        <v>905</v>
      </c>
      <c r="AD40" t="s">
        <v>906</v>
      </c>
      <c r="AE40" t="s">
        <v>907</v>
      </c>
      <c r="AF40" t="s">
        <v>74</v>
      </c>
      <c r="AG40">
        <v>91</v>
      </c>
      <c r="AH40">
        <v>0</v>
      </c>
      <c r="AI40">
        <v>0</v>
      </c>
      <c r="AJ40">
        <v>0</v>
      </c>
      <c r="AK40">
        <v>0</v>
      </c>
      <c r="AL40" t="s">
        <v>87</v>
      </c>
      <c r="AM40" t="s">
        <v>88</v>
      </c>
      <c r="AN40" t="s">
        <v>89</v>
      </c>
      <c r="AO40" t="s">
        <v>908</v>
      </c>
      <c r="AP40" t="s">
        <v>909</v>
      </c>
      <c r="AQ40" t="s">
        <v>74</v>
      </c>
      <c r="AR40" t="s">
        <v>910</v>
      </c>
      <c r="AS40" t="s">
        <v>911</v>
      </c>
      <c r="AT40" t="s">
        <v>912</v>
      </c>
      <c r="AU40">
        <v>2023</v>
      </c>
      <c r="AV40" t="s">
        <v>74</v>
      </c>
      <c r="AW40" t="s">
        <v>74</v>
      </c>
      <c r="AX40" t="s">
        <v>74</v>
      </c>
      <c r="AY40" t="s">
        <v>74</v>
      </c>
      <c r="AZ40" t="s">
        <v>74</v>
      </c>
      <c r="BA40" t="s">
        <v>74</v>
      </c>
      <c r="BB40" t="s">
        <v>74</v>
      </c>
      <c r="BC40" t="s">
        <v>74</v>
      </c>
      <c r="BD40" t="s">
        <v>74</v>
      </c>
      <c r="BE40" t="s">
        <v>913</v>
      </c>
      <c r="BF40" t="str">
        <f>HYPERLINK("http://dx.doi.org/10.1111/mec.17142","http://dx.doi.org/10.1111/mec.17142")</f>
        <v>http://dx.doi.org/10.1111/mec.17142</v>
      </c>
      <c r="BG40" t="s">
        <v>74</v>
      </c>
      <c r="BH40" t="s">
        <v>407</v>
      </c>
      <c r="BI40">
        <v>15</v>
      </c>
      <c r="BJ40" t="s">
        <v>914</v>
      </c>
      <c r="BK40" t="s">
        <v>119</v>
      </c>
      <c r="BL40" t="s">
        <v>915</v>
      </c>
      <c r="BM40" t="s">
        <v>916</v>
      </c>
      <c r="BN40">
        <v>37750335</v>
      </c>
      <c r="BO40" t="s">
        <v>301</v>
      </c>
      <c r="BP40" t="s">
        <v>74</v>
      </c>
      <c r="BQ40" t="s">
        <v>74</v>
      </c>
      <c r="BR40" t="s">
        <v>99</v>
      </c>
      <c r="BS40" t="s">
        <v>917</v>
      </c>
      <c r="BT40" t="str">
        <f>HYPERLINK("https%3A%2F%2Fwww.webofscience.com%2Fwos%2Fwoscc%2Ffull-record%2FWOS:001070315000001","View Full Record in Web of Science")</f>
        <v>View Full Record in Web of Science</v>
      </c>
    </row>
    <row r="41" spans="1:72" x14ac:dyDescent="0.15">
      <c r="A41" t="s">
        <v>72</v>
      </c>
      <c r="B41" t="s">
        <v>918</v>
      </c>
      <c r="C41" t="s">
        <v>74</v>
      </c>
      <c r="D41" t="s">
        <v>74</v>
      </c>
      <c r="E41" t="s">
        <v>74</v>
      </c>
      <c r="F41" t="s">
        <v>919</v>
      </c>
      <c r="G41" t="s">
        <v>74</v>
      </c>
      <c r="H41" t="s">
        <v>74</v>
      </c>
      <c r="I41" t="s">
        <v>920</v>
      </c>
      <c r="J41" t="s">
        <v>571</v>
      </c>
      <c r="K41" t="s">
        <v>74</v>
      </c>
      <c r="L41" t="s">
        <v>74</v>
      </c>
      <c r="M41" t="s">
        <v>78</v>
      </c>
      <c r="N41" t="s">
        <v>338</v>
      </c>
      <c r="O41" t="s">
        <v>74</v>
      </c>
      <c r="P41" t="s">
        <v>74</v>
      </c>
      <c r="Q41" t="s">
        <v>74</v>
      </c>
      <c r="R41" t="s">
        <v>74</v>
      </c>
      <c r="S41" t="s">
        <v>74</v>
      </c>
      <c r="T41" t="s">
        <v>921</v>
      </c>
      <c r="U41" t="s">
        <v>922</v>
      </c>
      <c r="V41" t="s">
        <v>923</v>
      </c>
      <c r="W41" t="s">
        <v>924</v>
      </c>
      <c r="X41" t="s">
        <v>925</v>
      </c>
      <c r="Y41" t="s">
        <v>926</v>
      </c>
      <c r="Z41" t="s">
        <v>927</v>
      </c>
      <c r="AA41" t="s">
        <v>74</v>
      </c>
      <c r="AB41" t="s">
        <v>74</v>
      </c>
      <c r="AC41" t="s">
        <v>928</v>
      </c>
      <c r="AD41" t="s">
        <v>929</v>
      </c>
      <c r="AE41" t="s">
        <v>930</v>
      </c>
      <c r="AF41" t="s">
        <v>74</v>
      </c>
      <c r="AG41">
        <v>26</v>
      </c>
      <c r="AH41">
        <v>0</v>
      </c>
      <c r="AI41">
        <v>0</v>
      </c>
      <c r="AJ41">
        <v>0</v>
      </c>
      <c r="AK41">
        <v>0</v>
      </c>
      <c r="AL41" t="s">
        <v>87</v>
      </c>
      <c r="AM41" t="s">
        <v>88</v>
      </c>
      <c r="AN41" t="s">
        <v>89</v>
      </c>
      <c r="AO41" t="s">
        <v>582</v>
      </c>
      <c r="AP41" t="s">
        <v>583</v>
      </c>
      <c r="AQ41" t="s">
        <v>74</v>
      </c>
      <c r="AR41" t="s">
        <v>584</v>
      </c>
      <c r="AS41" t="s">
        <v>585</v>
      </c>
      <c r="AT41" t="s">
        <v>912</v>
      </c>
      <c r="AU41">
        <v>2023</v>
      </c>
      <c r="AV41" t="s">
        <v>74</v>
      </c>
      <c r="AW41" t="s">
        <v>74</v>
      </c>
      <c r="AX41" t="s">
        <v>74</v>
      </c>
      <c r="AY41" t="s">
        <v>74</v>
      </c>
      <c r="AZ41" t="s">
        <v>74</v>
      </c>
      <c r="BA41" t="s">
        <v>74</v>
      </c>
      <c r="BB41" t="s">
        <v>74</v>
      </c>
      <c r="BC41" t="s">
        <v>74</v>
      </c>
      <c r="BD41" t="s">
        <v>74</v>
      </c>
      <c r="BE41" t="s">
        <v>931</v>
      </c>
      <c r="BF41" t="str">
        <f>HYPERLINK("http://dx.doi.org/10.1111/jori.12451","http://dx.doi.org/10.1111/jori.12451")</f>
        <v>http://dx.doi.org/10.1111/jori.12451</v>
      </c>
      <c r="BG41" t="s">
        <v>74</v>
      </c>
      <c r="BH41" t="s">
        <v>407</v>
      </c>
      <c r="BI41">
        <v>32</v>
      </c>
      <c r="BJ41" t="s">
        <v>587</v>
      </c>
      <c r="BK41" t="s">
        <v>546</v>
      </c>
      <c r="BL41" t="s">
        <v>547</v>
      </c>
      <c r="BM41" t="s">
        <v>932</v>
      </c>
      <c r="BN41" t="s">
        <v>74</v>
      </c>
      <c r="BO41" t="s">
        <v>74</v>
      </c>
      <c r="BP41" t="s">
        <v>74</v>
      </c>
      <c r="BQ41" t="s">
        <v>74</v>
      </c>
      <c r="BR41" t="s">
        <v>99</v>
      </c>
      <c r="BS41" t="s">
        <v>933</v>
      </c>
      <c r="BT41" t="str">
        <f>HYPERLINK("https%3A%2F%2Fwww.webofscience.com%2Fwos%2Fwoscc%2Ffull-record%2FWOS:001070394200001","View Full Record in Web of Science")</f>
        <v>View Full Record in Web of Science</v>
      </c>
    </row>
    <row r="42" spans="1:72" x14ac:dyDescent="0.15">
      <c r="A42" t="s">
        <v>72</v>
      </c>
      <c r="B42" t="s">
        <v>934</v>
      </c>
      <c r="C42" t="s">
        <v>74</v>
      </c>
      <c r="D42" t="s">
        <v>74</v>
      </c>
      <c r="E42" t="s">
        <v>74</v>
      </c>
      <c r="F42" t="s">
        <v>935</v>
      </c>
      <c r="G42" t="s">
        <v>74</v>
      </c>
      <c r="H42" t="s">
        <v>74</v>
      </c>
      <c r="I42" t="s">
        <v>936</v>
      </c>
      <c r="J42" t="s">
        <v>937</v>
      </c>
      <c r="K42" t="s">
        <v>74</v>
      </c>
      <c r="L42" t="s">
        <v>74</v>
      </c>
      <c r="M42" t="s">
        <v>78</v>
      </c>
      <c r="N42" t="s">
        <v>338</v>
      </c>
      <c r="O42" t="s">
        <v>74</v>
      </c>
      <c r="P42" t="s">
        <v>74</v>
      </c>
      <c r="Q42" t="s">
        <v>74</v>
      </c>
      <c r="R42" t="s">
        <v>74</v>
      </c>
      <c r="S42" t="s">
        <v>74</v>
      </c>
      <c r="T42" t="s">
        <v>938</v>
      </c>
      <c r="U42" t="s">
        <v>939</v>
      </c>
      <c r="V42" t="s">
        <v>940</v>
      </c>
      <c r="W42" t="s">
        <v>941</v>
      </c>
      <c r="X42" t="s">
        <v>942</v>
      </c>
      <c r="Y42" t="s">
        <v>943</v>
      </c>
      <c r="Z42" t="s">
        <v>944</v>
      </c>
      <c r="AA42" t="s">
        <v>74</v>
      </c>
      <c r="AB42" t="s">
        <v>945</v>
      </c>
      <c r="AC42" t="s">
        <v>946</v>
      </c>
      <c r="AD42" t="s">
        <v>947</v>
      </c>
      <c r="AE42" t="s">
        <v>948</v>
      </c>
      <c r="AF42" t="s">
        <v>74</v>
      </c>
      <c r="AG42">
        <v>46</v>
      </c>
      <c r="AH42">
        <v>0</v>
      </c>
      <c r="AI42">
        <v>0</v>
      </c>
      <c r="AJ42">
        <v>2</v>
      </c>
      <c r="AK42">
        <v>2</v>
      </c>
      <c r="AL42" t="s">
        <v>87</v>
      </c>
      <c r="AM42" t="s">
        <v>88</v>
      </c>
      <c r="AN42" t="s">
        <v>89</v>
      </c>
      <c r="AO42" t="s">
        <v>74</v>
      </c>
      <c r="AP42" t="s">
        <v>949</v>
      </c>
      <c r="AQ42" t="s">
        <v>74</v>
      </c>
      <c r="AR42" t="s">
        <v>950</v>
      </c>
      <c r="AS42" t="s">
        <v>951</v>
      </c>
      <c r="AT42" t="s">
        <v>912</v>
      </c>
      <c r="AU42">
        <v>2023</v>
      </c>
      <c r="AV42" t="s">
        <v>74</v>
      </c>
      <c r="AW42" t="s">
        <v>74</v>
      </c>
      <c r="AX42" t="s">
        <v>74</v>
      </c>
      <c r="AY42" t="s">
        <v>74</v>
      </c>
      <c r="AZ42" t="s">
        <v>74</v>
      </c>
      <c r="BA42" t="s">
        <v>74</v>
      </c>
      <c r="BB42" t="s">
        <v>74</v>
      </c>
      <c r="BC42" t="s">
        <v>74</v>
      </c>
      <c r="BD42" t="s">
        <v>74</v>
      </c>
      <c r="BE42" t="s">
        <v>952</v>
      </c>
      <c r="BF42" t="str">
        <f>HYPERLINK("http://dx.doi.org/10.1002/advs.202303106","http://dx.doi.org/10.1002/advs.202303106")</f>
        <v>http://dx.doi.org/10.1002/advs.202303106</v>
      </c>
      <c r="BG42" t="s">
        <v>74</v>
      </c>
      <c r="BH42" t="s">
        <v>407</v>
      </c>
      <c r="BI42">
        <v>12</v>
      </c>
      <c r="BJ42" t="s">
        <v>953</v>
      </c>
      <c r="BK42" t="s">
        <v>119</v>
      </c>
      <c r="BL42" t="s">
        <v>954</v>
      </c>
      <c r="BM42" t="s">
        <v>955</v>
      </c>
      <c r="BN42">
        <v>37752753</v>
      </c>
      <c r="BO42" t="s">
        <v>234</v>
      </c>
      <c r="BP42" t="s">
        <v>74</v>
      </c>
      <c r="BQ42" t="s">
        <v>74</v>
      </c>
      <c r="BR42" t="s">
        <v>99</v>
      </c>
      <c r="BS42" t="s">
        <v>956</v>
      </c>
      <c r="BT42" t="str">
        <f>HYPERLINK("https%3A%2F%2Fwww.webofscience.com%2Fwos%2Fwoscc%2Ffull-record%2FWOS:001070763900001","View Full Record in Web of Science")</f>
        <v>View Full Record in Web of Science</v>
      </c>
    </row>
    <row r="43" spans="1:72" x14ac:dyDescent="0.15">
      <c r="A43" t="s">
        <v>72</v>
      </c>
      <c r="B43" t="s">
        <v>957</v>
      </c>
      <c r="C43" t="s">
        <v>74</v>
      </c>
      <c r="D43" t="s">
        <v>74</v>
      </c>
      <c r="E43" t="s">
        <v>74</v>
      </c>
      <c r="F43" t="s">
        <v>958</v>
      </c>
      <c r="G43" t="s">
        <v>74</v>
      </c>
      <c r="H43" t="s">
        <v>74</v>
      </c>
      <c r="I43" t="s">
        <v>959</v>
      </c>
      <c r="J43" t="s">
        <v>960</v>
      </c>
      <c r="K43" t="s">
        <v>74</v>
      </c>
      <c r="L43" t="s">
        <v>74</v>
      </c>
      <c r="M43" t="s">
        <v>78</v>
      </c>
      <c r="N43" t="s">
        <v>338</v>
      </c>
      <c r="O43" t="s">
        <v>74</v>
      </c>
      <c r="P43" t="s">
        <v>74</v>
      </c>
      <c r="Q43" t="s">
        <v>74</v>
      </c>
      <c r="R43" t="s">
        <v>74</v>
      </c>
      <c r="S43" t="s">
        <v>74</v>
      </c>
      <c r="T43" t="s">
        <v>961</v>
      </c>
      <c r="U43" t="s">
        <v>962</v>
      </c>
      <c r="V43" t="s">
        <v>963</v>
      </c>
      <c r="W43" t="s">
        <v>964</v>
      </c>
      <c r="X43" t="s">
        <v>965</v>
      </c>
      <c r="Y43" t="s">
        <v>966</v>
      </c>
      <c r="Z43" t="s">
        <v>967</v>
      </c>
      <c r="AA43" t="s">
        <v>968</v>
      </c>
      <c r="AB43" t="s">
        <v>969</v>
      </c>
      <c r="AC43" t="s">
        <v>970</v>
      </c>
      <c r="AD43" t="s">
        <v>970</v>
      </c>
      <c r="AE43" t="s">
        <v>970</v>
      </c>
      <c r="AF43" t="s">
        <v>74</v>
      </c>
      <c r="AG43">
        <v>14</v>
      </c>
      <c r="AH43">
        <v>0</v>
      </c>
      <c r="AI43">
        <v>0</v>
      </c>
      <c r="AJ43">
        <v>0</v>
      </c>
      <c r="AK43">
        <v>0</v>
      </c>
      <c r="AL43" t="s">
        <v>87</v>
      </c>
      <c r="AM43" t="s">
        <v>88</v>
      </c>
      <c r="AN43" t="s">
        <v>89</v>
      </c>
      <c r="AO43" t="s">
        <v>971</v>
      </c>
      <c r="AP43" t="s">
        <v>972</v>
      </c>
      <c r="AQ43" t="s">
        <v>74</v>
      </c>
      <c r="AR43" t="s">
        <v>973</v>
      </c>
      <c r="AS43" t="s">
        <v>974</v>
      </c>
      <c r="AT43" t="s">
        <v>912</v>
      </c>
      <c r="AU43">
        <v>2023</v>
      </c>
      <c r="AV43" t="s">
        <v>74</v>
      </c>
      <c r="AW43" t="s">
        <v>74</v>
      </c>
      <c r="AX43" t="s">
        <v>74</v>
      </c>
      <c r="AY43" t="s">
        <v>74</v>
      </c>
      <c r="AZ43" t="s">
        <v>74</v>
      </c>
      <c r="BA43" t="s">
        <v>74</v>
      </c>
      <c r="BB43" t="s">
        <v>74</v>
      </c>
      <c r="BC43" t="s">
        <v>74</v>
      </c>
      <c r="BD43" t="s">
        <v>74</v>
      </c>
      <c r="BE43" t="s">
        <v>975</v>
      </c>
      <c r="BF43" t="str">
        <f>HYPERLINK("http://dx.doi.org/10.1002/ajmg.a.63415","http://dx.doi.org/10.1002/ajmg.a.63415")</f>
        <v>http://dx.doi.org/10.1002/ajmg.a.63415</v>
      </c>
      <c r="BG43" t="s">
        <v>74</v>
      </c>
      <c r="BH43" t="s">
        <v>407</v>
      </c>
      <c r="BI43">
        <v>7</v>
      </c>
      <c r="BJ43" t="s">
        <v>677</v>
      </c>
      <c r="BK43" t="s">
        <v>119</v>
      </c>
      <c r="BL43" t="s">
        <v>677</v>
      </c>
      <c r="BM43" t="s">
        <v>976</v>
      </c>
      <c r="BN43">
        <v>37750049</v>
      </c>
      <c r="BO43" t="s">
        <v>74</v>
      </c>
      <c r="BP43" t="s">
        <v>74</v>
      </c>
      <c r="BQ43" t="s">
        <v>74</v>
      </c>
      <c r="BR43" t="s">
        <v>99</v>
      </c>
      <c r="BS43" t="s">
        <v>977</v>
      </c>
      <c r="BT43" t="str">
        <f>HYPERLINK("https%3A%2F%2Fwww.webofscience.com%2Fwos%2Fwoscc%2Ffull-record%2FWOS:001071585300001","View Full Record in Web of Science")</f>
        <v>View Full Record in Web of Science</v>
      </c>
    </row>
    <row r="44" spans="1:72" x14ac:dyDescent="0.15">
      <c r="A44" t="s">
        <v>72</v>
      </c>
      <c r="B44" t="s">
        <v>978</v>
      </c>
      <c r="C44" t="s">
        <v>74</v>
      </c>
      <c r="D44" t="s">
        <v>74</v>
      </c>
      <c r="E44" t="s">
        <v>74</v>
      </c>
      <c r="F44" t="s">
        <v>979</v>
      </c>
      <c r="G44" t="s">
        <v>74</v>
      </c>
      <c r="H44" t="s">
        <v>74</v>
      </c>
      <c r="I44" t="s">
        <v>980</v>
      </c>
      <c r="J44" t="s">
        <v>981</v>
      </c>
      <c r="K44" t="s">
        <v>74</v>
      </c>
      <c r="L44" t="s">
        <v>74</v>
      </c>
      <c r="M44" t="s">
        <v>78</v>
      </c>
      <c r="N44" t="s">
        <v>338</v>
      </c>
      <c r="O44" t="s">
        <v>74</v>
      </c>
      <c r="P44" t="s">
        <v>74</v>
      </c>
      <c r="Q44" t="s">
        <v>74</v>
      </c>
      <c r="R44" t="s">
        <v>74</v>
      </c>
      <c r="S44" t="s">
        <v>74</v>
      </c>
      <c r="T44" t="s">
        <v>982</v>
      </c>
      <c r="U44" t="s">
        <v>983</v>
      </c>
      <c r="V44" t="s">
        <v>984</v>
      </c>
      <c r="W44" t="s">
        <v>985</v>
      </c>
      <c r="X44" t="s">
        <v>986</v>
      </c>
      <c r="Y44" t="s">
        <v>987</v>
      </c>
      <c r="Z44" t="s">
        <v>988</v>
      </c>
      <c r="AA44" t="s">
        <v>74</v>
      </c>
      <c r="AB44" t="s">
        <v>74</v>
      </c>
      <c r="AC44" t="s">
        <v>989</v>
      </c>
      <c r="AD44" t="s">
        <v>989</v>
      </c>
      <c r="AE44" t="s">
        <v>989</v>
      </c>
      <c r="AF44" t="s">
        <v>74</v>
      </c>
      <c r="AG44">
        <v>48</v>
      </c>
      <c r="AH44">
        <v>0</v>
      </c>
      <c r="AI44">
        <v>0</v>
      </c>
      <c r="AJ44">
        <v>0</v>
      </c>
      <c r="AK44">
        <v>0</v>
      </c>
      <c r="AL44" t="s">
        <v>87</v>
      </c>
      <c r="AM44" t="s">
        <v>88</v>
      </c>
      <c r="AN44" t="s">
        <v>89</v>
      </c>
      <c r="AO44" t="s">
        <v>990</v>
      </c>
      <c r="AP44" t="s">
        <v>991</v>
      </c>
      <c r="AQ44" t="s">
        <v>74</v>
      </c>
      <c r="AR44" t="s">
        <v>992</v>
      </c>
      <c r="AS44" t="s">
        <v>993</v>
      </c>
      <c r="AT44" t="s">
        <v>912</v>
      </c>
      <c r="AU44">
        <v>2023</v>
      </c>
      <c r="AV44" t="s">
        <v>74</v>
      </c>
      <c r="AW44" t="s">
        <v>74</v>
      </c>
      <c r="AX44" t="s">
        <v>74</v>
      </c>
      <c r="AY44" t="s">
        <v>74</v>
      </c>
      <c r="AZ44" t="s">
        <v>74</v>
      </c>
      <c r="BA44" t="s">
        <v>74</v>
      </c>
      <c r="BB44" t="s">
        <v>74</v>
      </c>
      <c r="BC44" t="s">
        <v>74</v>
      </c>
      <c r="BD44" t="s">
        <v>74</v>
      </c>
      <c r="BE44" t="s">
        <v>994</v>
      </c>
      <c r="BF44" t="str">
        <f>HYPERLINK("http://dx.doi.org/10.1111/jomf.12944","http://dx.doi.org/10.1111/jomf.12944")</f>
        <v>http://dx.doi.org/10.1111/jomf.12944</v>
      </c>
      <c r="BG44" t="s">
        <v>74</v>
      </c>
      <c r="BH44" t="s">
        <v>407</v>
      </c>
      <c r="BI44">
        <v>19</v>
      </c>
      <c r="BJ44" t="s">
        <v>995</v>
      </c>
      <c r="BK44" t="s">
        <v>546</v>
      </c>
      <c r="BL44" t="s">
        <v>995</v>
      </c>
      <c r="BM44" t="s">
        <v>996</v>
      </c>
      <c r="BN44" t="s">
        <v>74</v>
      </c>
      <c r="BO44" t="s">
        <v>122</v>
      </c>
      <c r="BP44" t="s">
        <v>74</v>
      </c>
      <c r="BQ44" t="s">
        <v>74</v>
      </c>
      <c r="BR44" t="s">
        <v>99</v>
      </c>
      <c r="BS44" t="s">
        <v>997</v>
      </c>
      <c r="BT44" t="str">
        <f>HYPERLINK("https%3A%2F%2Fwww.webofscience.com%2Fwos%2Fwoscc%2Ffull-record%2FWOS:001071642700001","View Full Record in Web of Science")</f>
        <v>View Full Record in Web of Science</v>
      </c>
    </row>
    <row r="45" spans="1:72" x14ac:dyDescent="0.15">
      <c r="A45" t="s">
        <v>72</v>
      </c>
      <c r="B45" t="s">
        <v>998</v>
      </c>
      <c r="C45" t="s">
        <v>74</v>
      </c>
      <c r="D45" t="s">
        <v>74</v>
      </c>
      <c r="E45" t="s">
        <v>74</v>
      </c>
      <c r="F45" t="s">
        <v>999</v>
      </c>
      <c r="G45" t="s">
        <v>74</v>
      </c>
      <c r="H45" t="s">
        <v>74</v>
      </c>
      <c r="I45" t="s">
        <v>1000</v>
      </c>
      <c r="J45" t="s">
        <v>1001</v>
      </c>
      <c r="K45" t="s">
        <v>74</v>
      </c>
      <c r="L45" t="s">
        <v>74</v>
      </c>
      <c r="M45" t="s">
        <v>78</v>
      </c>
      <c r="N45" t="s">
        <v>338</v>
      </c>
      <c r="O45" t="s">
        <v>74</v>
      </c>
      <c r="P45" t="s">
        <v>74</v>
      </c>
      <c r="Q45" t="s">
        <v>74</v>
      </c>
      <c r="R45" t="s">
        <v>74</v>
      </c>
      <c r="S45" t="s">
        <v>74</v>
      </c>
      <c r="T45" t="s">
        <v>1002</v>
      </c>
      <c r="U45" t="s">
        <v>1003</v>
      </c>
      <c r="V45" t="s">
        <v>1004</v>
      </c>
      <c r="W45" t="s">
        <v>1005</v>
      </c>
      <c r="X45" t="s">
        <v>1006</v>
      </c>
      <c r="Y45" t="s">
        <v>1007</v>
      </c>
      <c r="Z45" t="s">
        <v>1008</v>
      </c>
      <c r="AA45" t="s">
        <v>1009</v>
      </c>
      <c r="AB45" t="s">
        <v>1010</v>
      </c>
      <c r="AC45" t="s">
        <v>1011</v>
      </c>
      <c r="AD45" t="s">
        <v>1012</v>
      </c>
      <c r="AE45" t="s">
        <v>1013</v>
      </c>
      <c r="AF45" t="s">
        <v>74</v>
      </c>
      <c r="AG45">
        <v>37</v>
      </c>
      <c r="AH45">
        <v>0</v>
      </c>
      <c r="AI45">
        <v>0</v>
      </c>
      <c r="AJ45">
        <v>9</v>
      </c>
      <c r="AK45">
        <v>9</v>
      </c>
      <c r="AL45" t="s">
        <v>426</v>
      </c>
      <c r="AM45" t="s">
        <v>427</v>
      </c>
      <c r="AN45" t="s">
        <v>428</v>
      </c>
      <c r="AO45" t="s">
        <v>1014</v>
      </c>
      <c r="AP45" t="s">
        <v>1015</v>
      </c>
      <c r="AQ45" t="s">
        <v>74</v>
      </c>
      <c r="AR45" t="s">
        <v>1016</v>
      </c>
      <c r="AS45" t="s">
        <v>1017</v>
      </c>
      <c r="AT45" t="s">
        <v>912</v>
      </c>
      <c r="AU45">
        <v>2023</v>
      </c>
      <c r="AV45" t="s">
        <v>74</v>
      </c>
      <c r="AW45" t="s">
        <v>74</v>
      </c>
      <c r="AX45" t="s">
        <v>74</v>
      </c>
      <c r="AY45" t="s">
        <v>74</v>
      </c>
      <c r="AZ45" t="s">
        <v>74</v>
      </c>
      <c r="BA45" t="s">
        <v>74</v>
      </c>
      <c r="BB45" t="s">
        <v>74</v>
      </c>
      <c r="BC45" t="s">
        <v>74</v>
      </c>
      <c r="BD45" t="s">
        <v>74</v>
      </c>
      <c r="BE45" t="s">
        <v>1018</v>
      </c>
      <c r="BF45" t="str">
        <f>HYPERLINK("http://dx.doi.org/10.1002/anie.202312600","http://dx.doi.org/10.1002/anie.202312600")</f>
        <v>http://dx.doi.org/10.1002/anie.202312600</v>
      </c>
      <c r="BG45" t="s">
        <v>74</v>
      </c>
      <c r="BH45" t="s">
        <v>407</v>
      </c>
      <c r="BI45">
        <v>7</v>
      </c>
      <c r="BJ45" t="s">
        <v>523</v>
      </c>
      <c r="BK45" t="s">
        <v>119</v>
      </c>
      <c r="BL45" t="s">
        <v>524</v>
      </c>
      <c r="BM45" t="s">
        <v>1019</v>
      </c>
      <c r="BN45">
        <v>37654187</v>
      </c>
      <c r="BO45" t="s">
        <v>74</v>
      </c>
      <c r="BP45" t="s">
        <v>74</v>
      </c>
      <c r="BQ45" t="s">
        <v>74</v>
      </c>
      <c r="BR45" t="s">
        <v>99</v>
      </c>
      <c r="BS45" t="s">
        <v>1020</v>
      </c>
      <c r="BT45" t="str">
        <f>HYPERLINK("https%3A%2F%2Fwww.webofscience.com%2Fwos%2Fwoscc%2Ffull-record%2FWOS:001070415700001","View Full Record in Web of Science")</f>
        <v>View Full Record in Web of Science</v>
      </c>
    </row>
    <row r="46" spans="1:72" x14ac:dyDescent="0.15">
      <c r="A46" t="s">
        <v>72</v>
      </c>
      <c r="B46" t="s">
        <v>1021</v>
      </c>
      <c r="C46" t="s">
        <v>74</v>
      </c>
      <c r="D46" t="s">
        <v>74</v>
      </c>
      <c r="E46" t="s">
        <v>74</v>
      </c>
      <c r="F46" t="s">
        <v>1022</v>
      </c>
      <c r="G46" t="s">
        <v>74</v>
      </c>
      <c r="H46" t="s">
        <v>74</v>
      </c>
      <c r="I46" t="s">
        <v>1023</v>
      </c>
      <c r="J46" t="s">
        <v>1024</v>
      </c>
      <c r="K46" t="s">
        <v>74</v>
      </c>
      <c r="L46" t="s">
        <v>74</v>
      </c>
      <c r="M46" t="s">
        <v>78</v>
      </c>
      <c r="N46" t="s">
        <v>338</v>
      </c>
      <c r="O46" t="s">
        <v>74</v>
      </c>
      <c r="P46" t="s">
        <v>74</v>
      </c>
      <c r="Q46" t="s">
        <v>74</v>
      </c>
      <c r="R46" t="s">
        <v>74</v>
      </c>
      <c r="S46" t="s">
        <v>74</v>
      </c>
      <c r="T46" t="s">
        <v>1025</v>
      </c>
      <c r="U46" t="s">
        <v>1026</v>
      </c>
      <c r="V46" t="s">
        <v>1027</v>
      </c>
      <c r="W46" t="s">
        <v>1028</v>
      </c>
      <c r="X46" t="s">
        <v>1029</v>
      </c>
      <c r="Y46" t="s">
        <v>1030</v>
      </c>
      <c r="Z46" t="s">
        <v>1031</v>
      </c>
      <c r="AA46" t="s">
        <v>1032</v>
      </c>
      <c r="AB46" t="s">
        <v>74</v>
      </c>
      <c r="AC46" t="s">
        <v>1033</v>
      </c>
      <c r="AD46" t="s">
        <v>1034</v>
      </c>
      <c r="AE46" t="s">
        <v>1035</v>
      </c>
      <c r="AF46" t="s">
        <v>74</v>
      </c>
      <c r="AG46">
        <v>61</v>
      </c>
      <c r="AH46">
        <v>0</v>
      </c>
      <c r="AI46">
        <v>0</v>
      </c>
      <c r="AJ46">
        <v>0</v>
      </c>
      <c r="AK46">
        <v>0</v>
      </c>
      <c r="AL46" t="s">
        <v>87</v>
      </c>
      <c r="AM46" t="s">
        <v>88</v>
      </c>
      <c r="AN46" t="s">
        <v>89</v>
      </c>
      <c r="AO46" t="s">
        <v>74</v>
      </c>
      <c r="AP46" t="s">
        <v>1036</v>
      </c>
      <c r="AQ46" t="s">
        <v>74</v>
      </c>
      <c r="AR46" t="s">
        <v>1037</v>
      </c>
      <c r="AS46" t="s">
        <v>1038</v>
      </c>
      <c r="AT46" t="s">
        <v>912</v>
      </c>
      <c r="AU46">
        <v>2023</v>
      </c>
      <c r="AV46" t="s">
        <v>74</v>
      </c>
      <c r="AW46" t="s">
        <v>74</v>
      </c>
      <c r="AX46" t="s">
        <v>74</v>
      </c>
      <c r="AY46" t="s">
        <v>74</v>
      </c>
      <c r="AZ46" t="s">
        <v>74</v>
      </c>
      <c r="BA46" t="s">
        <v>74</v>
      </c>
      <c r="BB46" t="s">
        <v>74</v>
      </c>
      <c r="BC46" t="s">
        <v>74</v>
      </c>
      <c r="BD46" t="s">
        <v>74</v>
      </c>
      <c r="BE46" t="s">
        <v>1039</v>
      </c>
      <c r="BF46" t="str">
        <f>HYPERLINK("http://dx.doi.org/10.1002/sstr.202300279","http://dx.doi.org/10.1002/sstr.202300279")</f>
        <v>http://dx.doi.org/10.1002/sstr.202300279</v>
      </c>
      <c r="BG46" t="s">
        <v>74</v>
      </c>
      <c r="BH46" t="s">
        <v>407</v>
      </c>
      <c r="BI46">
        <v>9</v>
      </c>
      <c r="BJ46" t="s">
        <v>1040</v>
      </c>
      <c r="BK46" t="s">
        <v>119</v>
      </c>
      <c r="BL46" t="s">
        <v>954</v>
      </c>
      <c r="BM46" t="s">
        <v>1041</v>
      </c>
      <c r="BN46" t="s">
        <v>74</v>
      </c>
      <c r="BO46" t="s">
        <v>234</v>
      </c>
      <c r="BP46" t="s">
        <v>74</v>
      </c>
      <c r="BQ46" t="s">
        <v>74</v>
      </c>
      <c r="BR46" t="s">
        <v>99</v>
      </c>
      <c r="BS46" t="s">
        <v>1042</v>
      </c>
      <c r="BT46" t="str">
        <f>HYPERLINK("https%3A%2F%2Fwww.webofscience.com%2Fwos%2Fwoscc%2Ffull-record%2FWOS:001070774300001","View Full Record in Web of Science")</f>
        <v>View Full Record in Web of Science</v>
      </c>
    </row>
    <row r="47" spans="1:72" x14ac:dyDescent="0.15">
      <c r="A47" t="s">
        <v>72</v>
      </c>
      <c r="B47" t="s">
        <v>1043</v>
      </c>
      <c r="C47" t="s">
        <v>74</v>
      </c>
      <c r="D47" t="s">
        <v>74</v>
      </c>
      <c r="E47" t="s">
        <v>74</v>
      </c>
      <c r="F47" t="s">
        <v>1044</v>
      </c>
      <c r="G47" t="s">
        <v>74</v>
      </c>
      <c r="H47" t="s">
        <v>74</v>
      </c>
      <c r="I47" t="s">
        <v>1045</v>
      </c>
      <c r="J47" t="s">
        <v>1046</v>
      </c>
      <c r="K47" t="s">
        <v>74</v>
      </c>
      <c r="L47" t="s">
        <v>74</v>
      </c>
      <c r="M47" t="s">
        <v>78</v>
      </c>
      <c r="N47" t="s">
        <v>338</v>
      </c>
      <c r="O47" t="s">
        <v>74</v>
      </c>
      <c r="P47" t="s">
        <v>74</v>
      </c>
      <c r="Q47" t="s">
        <v>74</v>
      </c>
      <c r="R47" t="s">
        <v>74</v>
      </c>
      <c r="S47" t="s">
        <v>74</v>
      </c>
      <c r="T47" t="s">
        <v>1047</v>
      </c>
      <c r="U47" t="s">
        <v>1048</v>
      </c>
      <c r="V47" t="s">
        <v>1049</v>
      </c>
      <c r="W47" t="s">
        <v>1050</v>
      </c>
      <c r="X47" t="s">
        <v>1051</v>
      </c>
      <c r="Y47" t="s">
        <v>1052</v>
      </c>
      <c r="Z47" t="s">
        <v>1053</v>
      </c>
      <c r="AA47" t="s">
        <v>74</v>
      </c>
      <c r="AB47" t="s">
        <v>1054</v>
      </c>
      <c r="AC47" t="s">
        <v>1055</v>
      </c>
      <c r="AD47" t="s">
        <v>1055</v>
      </c>
      <c r="AE47" t="s">
        <v>1056</v>
      </c>
      <c r="AF47" t="s">
        <v>74</v>
      </c>
      <c r="AG47">
        <v>30</v>
      </c>
      <c r="AH47">
        <v>0</v>
      </c>
      <c r="AI47">
        <v>0</v>
      </c>
      <c r="AJ47">
        <v>0</v>
      </c>
      <c r="AK47">
        <v>0</v>
      </c>
      <c r="AL47" t="s">
        <v>87</v>
      </c>
      <c r="AM47" t="s">
        <v>88</v>
      </c>
      <c r="AN47" t="s">
        <v>89</v>
      </c>
      <c r="AO47" t="s">
        <v>1057</v>
      </c>
      <c r="AP47" t="s">
        <v>1058</v>
      </c>
      <c r="AQ47" t="s">
        <v>74</v>
      </c>
      <c r="AR47" t="s">
        <v>1046</v>
      </c>
      <c r="AS47" t="s">
        <v>1059</v>
      </c>
      <c r="AT47" t="s">
        <v>912</v>
      </c>
      <c r="AU47">
        <v>2023</v>
      </c>
      <c r="AV47" t="s">
        <v>74</v>
      </c>
      <c r="AW47" t="s">
        <v>74</v>
      </c>
      <c r="AX47" t="s">
        <v>74</v>
      </c>
      <c r="AY47" t="s">
        <v>74</v>
      </c>
      <c r="AZ47" t="s">
        <v>74</v>
      </c>
      <c r="BA47" t="s">
        <v>74</v>
      </c>
      <c r="BB47" t="s">
        <v>74</v>
      </c>
      <c r="BC47" t="s">
        <v>74</v>
      </c>
      <c r="BD47" t="s">
        <v>74</v>
      </c>
      <c r="BE47" t="s">
        <v>1060</v>
      </c>
      <c r="BF47" t="str">
        <f>HYPERLINK("http://dx.doi.org/10.1111/add.16352","http://dx.doi.org/10.1111/add.16352")</f>
        <v>http://dx.doi.org/10.1111/add.16352</v>
      </c>
      <c r="BG47" t="s">
        <v>74</v>
      </c>
      <c r="BH47" t="s">
        <v>407</v>
      </c>
      <c r="BI47">
        <v>10</v>
      </c>
      <c r="BJ47" t="s">
        <v>1061</v>
      </c>
      <c r="BK47" t="s">
        <v>409</v>
      </c>
      <c r="BL47" t="s">
        <v>1061</v>
      </c>
      <c r="BM47" t="s">
        <v>1062</v>
      </c>
      <c r="BN47">
        <v>37750192</v>
      </c>
      <c r="BO47" t="s">
        <v>122</v>
      </c>
      <c r="BP47" t="s">
        <v>74</v>
      </c>
      <c r="BQ47" t="s">
        <v>74</v>
      </c>
      <c r="BR47" t="s">
        <v>99</v>
      </c>
      <c r="BS47" t="s">
        <v>1063</v>
      </c>
      <c r="BT47" t="str">
        <f>HYPERLINK("https%3A%2F%2Fwww.webofscience.com%2Fwos%2Fwoscc%2Ffull-record%2FWOS:001070300500001","View Full Record in Web of Science")</f>
        <v>View Full Record in Web of Science</v>
      </c>
    </row>
    <row r="48" spans="1:72" x14ac:dyDescent="0.15">
      <c r="A48" t="s">
        <v>72</v>
      </c>
      <c r="B48" t="s">
        <v>1064</v>
      </c>
      <c r="C48" t="s">
        <v>74</v>
      </c>
      <c r="D48" t="s">
        <v>74</v>
      </c>
      <c r="E48" t="s">
        <v>74</v>
      </c>
      <c r="F48" t="s">
        <v>1065</v>
      </c>
      <c r="G48" t="s">
        <v>74</v>
      </c>
      <c r="H48" t="s">
        <v>74</v>
      </c>
      <c r="I48" t="s">
        <v>1066</v>
      </c>
      <c r="J48" t="s">
        <v>1067</v>
      </c>
      <c r="K48" t="s">
        <v>74</v>
      </c>
      <c r="L48" t="s">
        <v>74</v>
      </c>
      <c r="M48" t="s">
        <v>78</v>
      </c>
      <c r="N48" t="s">
        <v>338</v>
      </c>
      <c r="O48" t="s">
        <v>74</v>
      </c>
      <c r="P48" t="s">
        <v>74</v>
      </c>
      <c r="Q48" t="s">
        <v>74</v>
      </c>
      <c r="R48" t="s">
        <v>74</v>
      </c>
      <c r="S48" t="s">
        <v>74</v>
      </c>
      <c r="T48" t="s">
        <v>1068</v>
      </c>
      <c r="U48" t="s">
        <v>1069</v>
      </c>
      <c r="V48" t="s">
        <v>1070</v>
      </c>
      <c r="W48" t="s">
        <v>1071</v>
      </c>
      <c r="X48" t="s">
        <v>1072</v>
      </c>
      <c r="Y48" t="s">
        <v>1073</v>
      </c>
      <c r="Z48" t="s">
        <v>1074</v>
      </c>
      <c r="AA48" t="s">
        <v>74</v>
      </c>
      <c r="AB48" t="s">
        <v>74</v>
      </c>
      <c r="AC48" t="s">
        <v>1075</v>
      </c>
      <c r="AD48" t="s">
        <v>1075</v>
      </c>
      <c r="AE48" t="s">
        <v>1076</v>
      </c>
      <c r="AF48" t="s">
        <v>74</v>
      </c>
      <c r="AG48">
        <v>96</v>
      </c>
      <c r="AH48">
        <v>0</v>
      </c>
      <c r="AI48">
        <v>0</v>
      </c>
      <c r="AJ48">
        <v>0</v>
      </c>
      <c r="AK48">
        <v>0</v>
      </c>
      <c r="AL48" t="s">
        <v>87</v>
      </c>
      <c r="AM48" t="s">
        <v>88</v>
      </c>
      <c r="AN48" t="s">
        <v>89</v>
      </c>
      <c r="AO48" t="s">
        <v>1077</v>
      </c>
      <c r="AP48" t="s">
        <v>1078</v>
      </c>
      <c r="AQ48" t="s">
        <v>74</v>
      </c>
      <c r="AR48" t="s">
        <v>1079</v>
      </c>
      <c r="AS48" t="s">
        <v>1080</v>
      </c>
      <c r="AT48" t="s">
        <v>912</v>
      </c>
      <c r="AU48">
        <v>2023</v>
      </c>
      <c r="AV48" t="s">
        <v>74</v>
      </c>
      <c r="AW48" t="s">
        <v>74</v>
      </c>
      <c r="AX48" t="s">
        <v>74</v>
      </c>
      <c r="AY48" t="s">
        <v>74</v>
      </c>
      <c r="AZ48" t="s">
        <v>74</v>
      </c>
      <c r="BA48" t="s">
        <v>74</v>
      </c>
      <c r="BB48" t="s">
        <v>74</v>
      </c>
      <c r="BC48" t="s">
        <v>74</v>
      </c>
      <c r="BD48" t="s">
        <v>74</v>
      </c>
      <c r="BE48" t="s">
        <v>1081</v>
      </c>
      <c r="BF48" t="str">
        <f>HYPERLINK("http://dx.doi.org/10.1002/sd.2770","http://dx.doi.org/10.1002/sd.2770")</f>
        <v>http://dx.doi.org/10.1002/sd.2770</v>
      </c>
      <c r="BG48" t="s">
        <v>74</v>
      </c>
      <c r="BH48" t="s">
        <v>407</v>
      </c>
      <c r="BI48">
        <v>23</v>
      </c>
      <c r="BJ48" t="s">
        <v>1082</v>
      </c>
      <c r="BK48" t="s">
        <v>546</v>
      </c>
      <c r="BL48" t="s">
        <v>1083</v>
      </c>
      <c r="BM48" t="s">
        <v>1084</v>
      </c>
      <c r="BN48" t="s">
        <v>74</v>
      </c>
      <c r="BO48" t="s">
        <v>122</v>
      </c>
      <c r="BP48" t="s">
        <v>74</v>
      </c>
      <c r="BQ48" t="s">
        <v>74</v>
      </c>
      <c r="BR48" t="s">
        <v>99</v>
      </c>
      <c r="BS48" t="s">
        <v>1085</v>
      </c>
      <c r="BT48" t="str">
        <f>HYPERLINK("https%3A%2F%2Fwww.webofscience.com%2Fwos%2Fwoscc%2Ffull-record%2FWOS:001070619000001","View Full Record in Web of Science")</f>
        <v>View Full Record in Web of Science</v>
      </c>
    </row>
    <row r="49" spans="1:72" x14ac:dyDescent="0.15">
      <c r="A49" t="s">
        <v>72</v>
      </c>
      <c r="B49" t="s">
        <v>1086</v>
      </c>
      <c r="C49" t="s">
        <v>74</v>
      </c>
      <c r="D49" t="s">
        <v>74</v>
      </c>
      <c r="E49" t="s">
        <v>74</v>
      </c>
      <c r="F49" t="s">
        <v>1087</v>
      </c>
      <c r="G49" t="s">
        <v>74</v>
      </c>
      <c r="H49" t="s">
        <v>74</v>
      </c>
      <c r="I49" t="s">
        <v>1088</v>
      </c>
      <c r="J49" t="s">
        <v>1089</v>
      </c>
      <c r="K49" t="s">
        <v>74</v>
      </c>
      <c r="L49" t="s">
        <v>74</v>
      </c>
      <c r="M49" t="s">
        <v>78</v>
      </c>
      <c r="N49" t="s">
        <v>338</v>
      </c>
      <c r="O49" t="s">
        <v>74</v>
      </c>
      <c r="P49" t="s">
        <v>74</v>
      </c>
      <c r="Q49" t="s">
        <v>74</v>
      </c>
      <c r="R49" t="s">
        <v>74</v>
      </c>
      <c r="S49" t="s">
        <v>74</v>
      </c>
      <c r="T49" t="s">
        <v>1090</v>
      </c>
      <c r="U49" t="s">
        <v>1091</v>
      </c>
      <c r="V49" t="s">
        <v>1092</v>
      </c>
      <c r="W49" t="s">
        <v>1093</v>
      </c>
      <c r="X49" t="s">
        <v>1094</v>
      </c>
      <c r="Y49" t="s">
        <v>1095</v>
      </c>
      <c r="Z49" t="s">
        <v>1096</v>
      </c>
      <c r="AA49" t="s">
        <v>74</v>
      </c>
      <c r="AB49" t="s">
        <v>74</v>
      </c>
      <c r="AC49" t="s">
        <v>1097</v>
      </c>
      <c r="AD49" t="s">
        <v>1098</v>
      </c>
      <c r="AE49" t="s">
        <v>1099</v>
      </c>
      <c r="AF49" t="s">
        <v>74</v>
      </c>
      <c r="AG49">
        <v>27</v>
      </c>
      <c r="AH49">
        <v>0</v>
      </c>
      <c r="AI49">
        <v>0</v>
      </c>
      <c r="AJ49">
        <v>0</v>
      </c>
      <c r="AK49">
        <v>0</v>
      </c>
      <c r="AL49" t="s">
        <v>1100</v>
      </c>
      <c r="AM49" t="s">
        <v>1101</v>
      </c>
      <c r="AN49" t="s">
        <v>1102</v>
      </c>
      <c r="AO49" t="s">
        <v>1103</v>
      </c>
      <c r="AP49" t="s">
        <v>1104</v>
      </c>
      <c r="AQ49" t="s">
        <v>74</v>
      </c>
      <c r="AR49" t="s">
        <v>1105</v>
      </c>
      <c r="AS49" t="s">
        <v>1106</v>
      </c>
      <c r="AT49" t="s">
        <v>912</v>
      </c>
      <c r="AU49">
        <v>2023</v>
      </c>
      <c r="AV49" t="s">
        <v>74</v>
      </c>
      <c r="AW49" t="s">
        <v>74</v>
      </c>
      <c r="AX49" t="s">
        <v>74</v>
      </c>
      <c r="AY49" t="s">
        <v>74</v>
      </c>
      <c r="AZ49" t="s">
        <v>74</v>
      </c>
      <c r="BA49" t="s">
        <v>74</v>
      </c>
      <c r="BB49" t="s">
        <v>74</v>
      </c>
      <c r="BC49" t="s">
        <v>74</v>
      </c>
      <c r="BD49" t="s">
        <v>74</v>
      </c>
      <c r="BE49" t="s">
        <v>1107</v>
      </c>
      <c r="BF49" t="str">
        <f>HYPERLINK("http://dx.doi.org/10.1002/jsc.2556","http://dx.doi.org/10.1002/jsc.2556")</f>
        <v>http://dx.doi.org/10.1002/jsc.2556</v>
      </c>
      <c r="BG49" t="s">
        <v>74</v>
      </c>
      <c r="BH49" t="s">
        <v>407</v>
      </c>
      <c r="BI49">
        <v>8</v>
      </c>
      <c r="BJ49" t="s">
        <v>545</v>
      </c>
      <c r="BK49" t="s">
        <v>96</v>
      </c>
      <c r="BL49" t="s">
        <v>547</v>
      </c>
      <c r="BM49" t="s">
        <v>1108</v>
      </c>
      <c r="BN49" t="s">
        <v>74</v>
      </c>
      <c r="BO49" t="s">
        <v>74</v>
      </c>
      <c r="BP49" t="s">
        <v>74</v>
      </c>
      <c r="BQ49" t="s">
        <v>74</v>
      </c>
      <c r="BR49" t="s">
        <v>99</v>
      </c>
      <c r="BS49" t="s">
        <v>1109</v>
      </c>
      <c r="BT49" t="str">
        <f>HYPERLINK("https%3A%2F%2Fwww.webofscience.com%2Fwos%2Fwoscc%2Ffull-record%2FWOS:001070400200001","View Full Record in Web of Science")</f>
        <v>View Full Record in Web of Science</v>
      </c>
    </row>
    <row r="50" spans="1:72" x14ac:dyDescent="0.15">
      <c r="A50" t="s">
        <v>72</v>
      </c>
      <c r="B50" t="s">
        <v>1110</v>
      </c>
      <c r="C50" t="s">
        <v>74</v>
      </c>
      <c r="D50" t="s">
        <v>74</v>
      </c>
      <c r="E50" t="s">
        <v>74</v>
      </c>
      <c r="F50" t="s">
        <v>1111</v>
      </c>
      <c r="G50" t="s">
        <v>74</v>
      </c>
      <c r="H50" t="s">
        <v>74</v>
      </c>
      <c r="I50" t="s">
        <v>1112</v>
      </c>
      <c r="J50" t="s">
        <v>1113</v>
      </c>
      <c r="K50" t="s">
        <v>74</v>
      </c>
      <c r="L50" t="s">
        <v>74</v>
      </c>
      <c r="M50" t="s">
        <v>78</v>
      </c>
      <c r="N50" t="s">
        <v>338</v>
      </c>
      <c r="O50" t="s">
        <v>74</v>
      </c>
      <c r="P50" t="s">
        <v>74</v>
      </c>
      <c r="Q50" t="s">
        <v>74</v>
      </c>
      <c r="R50" t="s">
        <v>74</v>
      </c>
      <c r="S50" t="s">
        <v>74</v>
      </c>
      <c r="T50" t="s">
        <v>74</v>
      </c>
      <c r="U50" t="s">
        <v>1114</v>
      </c>
      <c r="V50" t="s">
        <v>1115</v>
      </c>
      <c r="W50" t="s">
        <v>1116</v>
      </c>
      <c r="X50" t="s">
        <v>1117</v>
      </c>
      <c r="Y50" t="s">
        <v>1118</v>
      </c>
      <c r="Z50" t="s">
        <v>1119</v>
      </c>
      <c r="AA50" t="s">
        <v>74</v>
      </c>
      <c r="AB50" t="s">
        <v>74</v>
      </c>
      <c r="AC50" t="s">
        <v>74</v>
      </c>
      <c r="AD50" t="s">
        <v>74</v>
      </c>
      <c r="AE50" t="s">
        <v>74</v>
      </c>
      <c r="AF50" t="s">
        <v>74</v>
      </c>
      <c r="AG50">
        <v>68</v>
      </c>
      <c r="AH50">
        <v>0</v>
      </c>
      <c r="AI50">
        <v>0</v>
      </c>
      <c r="AJ50">
        <v>0</v>
      </c>
      <c r="AK50">
        <v>0</v>
      </c>
      <c r="AL50" t="s">
        <v>87</v>
      </c>
      <c r="AM50" t="s">
        <v>88</v>
      </c>
      <c r="AN50" t="s">
        <v>89</v>
      </c>
      <c r="AO50" t="s">
        <v>1120</v>
      </c>
      <c r="AP50" t="s">
        <v>1121</v>
      </c>
      <c r="AQ50" t="s">
        <v>74</v>
      </c>
      <c r="AR50" t="s">
        <v>1122</v>
      </c>
      <c r="AS50" t="s">
        <v>1123</v>
      </c>
      <c r="AT50" t="s">
        <v>912</v>
      </c>
      <c r="AU50">
        <v>2023</v>
      </c>
      <c r="AV50" t="s">
        <v>74</v>
      </c>
      <c r="AW50" t="s">
        <v>74</v>
      </c>
      <c r="AX50" t="s">
        <v>74</v>
      </c>
      <c r="AY50" t="s">
        <v>74</v>
      </c>
      <c r="AZ50" t="s">
        <v>74</v>
      </c>
      <c r="BA50" t="s">
        <v>74</v>
      </c>
      <c r="BB50" t="s">
        <v>74</v>
      </c>
      <c r="BC50" t="s">
        <v>74</v>
      </c>
      <c r="BD50" t="s">
        <v>74</v>
      </c>
      <c r="BE50" t="s">
        <v>1124</v>
      </c>
      <c r="BF50" t="str">
        <f>HYPERLINK("http://dx.doi.org/10.1002/agj2.21456","http://dx.doi.org/10.1002/agj2.21456")</f>
        <v>http://dx.doi.org/10.1002/agj2.21456</v>
      </c>
      <c r="BG50" t="s">
        <v>74</v>
      </c>
      <c r="BH50" t="s">
        <v>407</v>
      </c>
      <c r="BI50">
        <v>13</v>
      </c>
      <c r="BJ50" t="s">
        <v>1125</v>
      </c>
      <c r="BK50" t="s">
        <v>119</v>
      </c>
      <c r="BL50" t="s">
        <v>1126</v>
      </c>
      <c r="BM50" t="s">
        <v>1127</v>
      </c>
      <c r="BN50" t="s">
        <v>74</v>
      </c>
      <c r="BO50" t="s">
        <v>74</v>
      </c>
      <c r="BP50" t="s">
        <v>74</v>
      </c>
      <c r="BQ50" t="s">
        <v>74</v>
      </c>
      <c r="BR50" t="s">
        <v>99</v>
      </c>
      <c r="BS50" t="s">
        <v>1128</v>
      </c>
      <c r="BT50" t="str">
        <f>HYPERLINK("https%3A%2F%2Fwww.webofscience.com%2Fwos%2Fwoscc%2Ffull-record%2FWOS:001071769400001","View Full Record in Web of Science")</f>
        <v>View Full Record in Web of Science</v>
      </c>
    </row>
    <row r="51" spans="1:72" x14ac:dyDescent="0.15">
      <c r="A51" t="s">
        <v>72</v>
      </c>
      <c r="B51" t="s">
        <v>1129</v>
      </c>
      <c r="C51" t="s">
        <v>74</v>
      </c>
      <c r="D51" t="s">
        <v>74</v>
      </c>
      <c r="E51" t="s">
        <v>74</v>
      </c>
      <c r="F51" t="s">
        <v>1130</v>
      </c>
      <c r="G51" t="s">
        <v>74</v>
      </c>
      <c r="H51" t="s">
        <v>74</v>
      </c>
      <c r="I51" t="s">
        <v>1131</v>
      </c>
      <c r="J51" t="s">
        <v>593</v>
      </c>
      <c r="K51" t="s">
        <v>74</v>
      </c>
      <c r="L51" t="s">
        <v>74</v>
      </c>
      <c r="M51" t="s">
        <v>78</v>
      </c>
      <c r="N51" t="s">
        <v>594</v>
      </c>
      <c r="O51" t="s">
        <v>74</v>
      </c>
      <c r="P51" t="s">
        <v>74</v>
      </c>
      <c r="Q51" t="s">
        <v>74</v>
      </c>
      <c r="R51" t="s">
        <v>74</v>
      </c>
      <c r="S51" t="s">
        <v>74</v>
      </c>
      <c r="T51" t="s">
        <v>1132</v>
      </c>
      <c r="U51" t="s">
        <v>1133</v>
      </c>
      <c r="V51" t="s">
        <v>1134</v>
      </c>
      <c r="W51" t="s">
        <v>1135</v>
      </c>
      <c r="X51" t="s">
        <v>1136</v>
      </c>
      <c r="Y51" t="s">
        <v>1137</v>
      </c>
      <c r="Z51" t="s">
        <v>1138</v>
      </c>
      <c r="AA51" t="s">
        <v>74</v>
      </c>
      <c r="AB51" t="s">
        <v>74</v>
      </c>
      <c r="AC51" t="s">
        <v>1139</v>
      </c>
      <c r="AD51" t="s">
        <v>1140</v>
      </c>
      <c r="AE51" t="s">
        <v>1141</v>
      </c>
      <c r="AF51" t="s">
        <v>74</v>
      </c>
      <c r="AG51">
        <v>189</v>
      </c>
      <c r="AH51">
        <v>0</v>
      </c>
      <c r="AI51">
        <v>0</v>
      </c>
      <c r="AJ51">
        <v>3</v>
      </c>
      <c r="AK51">
        <v>3</v>
      </c>
      <c r="AL51" t="s">
        <v>426</v>
      </c>
      <c r="AM51" t="s">
        <v>427</v>
      </c>
      <c r="AN51" t="s">
        <v>428</v>
      </c>
      <c r="AO51" t="s">
        <v>605</v>
      </c>
      <c r="AP51" t="s">
        <v>606</v>
      </c>
      <c r="AQ51" t="s">
        <v>74</v>
      </c>
      <c r="AR51" t="s">
        <v>593</v>
      </c>
      <c r="AS51" t="s">
        <v>607</v>
      </c>
      <c r="AT51" t="s">
        <v>912</v>
      </c>
      <c r="AU51">
        <v>2023</v>
      </c>
      <c r="AV51" t="s">
        <v>74</v>
      </c>
      <c r="AW51" t="s">
        <v>74</v>
      </c>
      <c r="AX51" t="s">
        <v>74</v>
      </c>
      <c r="AY51" t="s">
        <v>74</v>
      </c>
      <c r="AZ51" t="s">
        <v>74</v>
      </c>
      <c r="BA51" t="s">
        <v>74</v>
      </c>
      <c r="BB51" t="s">
        <v>74</v>
      </c>
      <c r="BC51" t="s">
        <v>74</v>
      </c>
      <c r="BD51" t="s">
        <v>74</v>
      </c>
      <c r="BE51" t="s">
        <v>1142</v>
      </c>
      <c r="BF51" t="str">
        <f>HYPERLINK("http://dx.doi.org/10.1002/smll.202304362","http://dx.doi.org/10.1002/smll.202304362")</f>
        <v>http://dx.doi.org/10.1002/smll.202304362</v>
      </c>
      <c r="BG51" t="s">
        <v>74</v>
      </c>
      <c r="BH51" t="s">
        <v>407</v>
      </c>
      <c r="BI51">
        <v>35</v>
      </c>
      <c r="BJ51" t="s">
        <v>609</v>
      </c>
      <c r="BK51" t="s">
        <v>119</v>
      </c>
      <c r="BL51" t="s">
        <v>610</v>
      </c>
      <c r="BM51" t="s">
        <v>1143</v>
      </c>
      <c r="BN51">
        <v>37752782</v>
      </c>
      <c r="BO51" t="s">
        <v>301</v>
      </c>
      <c r="BP51" t="s">
        <v>74</v>
      </c>
      <c r="BQ51" t="s">
        <v>74</v>
      </c>
      <c r="BR51" t="s">
        <v>99</v>
      </c>
      <c r="BS51" t="s">
        <v>1144</v>
      </c>
      <c r="BT51" t="str">
        <f>HYPERLINK("https%3A%2F%2Fwww.webofscience.com%2Fwos%2Fwoscc%2Ffull-record%2FWOS:001070773000001","View Full Record in Web of Science")</f>
        <v>View Full Record in Web of Science</v>
      </c>
    </row>
    <row r="52" spans="1:72" x14ac:dyDescent="0.15">
      <c r="A52" t="s">
        <v>72</v>
      </c>
      <c r="B52" t="s">
        <v>1145</v>
      </c>
      <c r="C52" t="s">
        <v>74</v>
      </c>
      <c r="D52" t="s">
        <v>74</v>
      </c>
      <c r="E52" t="s">
        <v>74</v>
      </c>
      <c r="F52" t="s">
        <v>1146</v>
      </c>
      <c r="G52" t="s">
        <v>74</v>
      </c>
      <c r="H52" t="s">
        <v>74</v>
      </c>
      <c r="I52" t="s">
        <v>1147</v>
      </c>
      <c r="J52" t="s">
        <v>1148</v>
      </c>
      <c r="K52" t="s">
        <v>74</v>
      </c>
      <c r="L52" t="s">
        <v>74</v>
      </c>
      <c r="M52" t="s">
        <v>78</v>
      </c>
      <c r="N52" t="s">
        <v>338</v>
      </c>
      <c r="O52" t="s">
        <v>74</v>
      </c>
      <c r="P52" t="s">
        <v>74</v>
      </c>
      <c r="Q52" t="s">
        <v>74</v>
      </c>
      <c r="R52" t="s">
        <v>74</v>
      </c>
      <c r="S52" t="s">
        <v>74</v>
      </c>
      <c r="T52" t="s">
        <v>1149</v>
      </c>
      <c r="U52" t="s">
        <v>74</v>
      </c>
      <c r="V52" t="s">
        <v>1150</v>
      </c>
      <c r="W52" t="s">
        <v>1151</v>
      </c>
      <c r="X52" t="s">
        <v>1152</v>
      </c>
      <c r="Y52" t="s">
        <v>1153</v>
      </c>
      <c r="Z52" t="s">
        <v>1154</v>
      </c>
      <c r="AA52" t="s">
        <v>74</v>
      </c>
      <c r="AB52" t="s">
        <v>74</v>
      </c>
      <c r="AC52" t="s">
        <v>1155</v>
      </c>
      <c r="AD52" t="s">
        <v>1156</v>
      </c>
      <c r="AE52" t="s">
        <v>1157</v>
      </c>
      <c r="AF52" t="s">
        <v>74</v>
      </c>
      <c r="AG52">
        <v>29</v>
      </c>
      <c r="AH52">
        <v>0</v>
      </c>
      <c r="AI52">
        <v>0</v>
      </c>
      <c r="AJ52">
        <v>0</v>
      </c>
      <c r="AK52">
        <v>0</v>
      </c>
      <c r="AL52" t="s">
        <v>87</v>
      </c>
      <c r="AM52" t="s">
        <v>88</v>
      </c>
      <c r="AN52" t="s">
        <v>89</v>
      </c>
      <c r="AO52" t="s">
        <v>1158</v>
      </c>
      <c r="AP52" t="s">
        <v>1159</v>
      </c>
      <c r="AQ52" t="s">
        <v>74</v>
      </c>
      <c r="AR52" t="s">
        <v>1148</v>
      </c>
      <c r="AS52" t="s">
        <v>1160</v>
      </c>
      <c r="AT52" t="s">
        <v>912</v>
      </c>
      <c r="AU52">
        <v>2023</v>
      </c>
      <c r="AV52" t="s">
        <v>74</v>
      </c>
      <c r="AW52" t="s">
        <v>74</v>
      </c>
      <c r="AX52" t="s">
        <v>74</v>
      </c>
      <c r="AY52" t="s">
        <v>74</v>
      </c>
      <c r="AZ52" t="s">
        <v>74</v>
      </c>
      <c r="BA52" t="s">
        <v>74</v>
      </c>
      <c r="BB52" t="s">
        <v>74</v>
      </c>
      <c r="BC52" t="s">
        <v>74</v>
      </c>
      <c r="BD52" t="s">
        <v>74</v>
      </c>
      <c r="BE52" t="s">
        <v>1161</v>
      </c>
      <c r="BF52" t="str">
        <f>HYPERLINK("http://dx.doi.org/10.1002/pros.24626","http://dx.doi.org/10.1002/pros.24626")</f>
        <v>http://dx.doi.org/10.1002/pros.24626</v>
      </c>
      <c r="BG52" t="s">
        <v>74</v>
      </c>
      <c r="BH52" t="s">
        <v>407</v>
      </c>
      <c r="BI52">
        <v>10</v>
      </c>
      <c r="BJ52" t="s">
        <v>1162</v>
      </c>
      <c r="BK52" t="s">
        <v>119</v>
      </c>
      <c r="BL52" t="s">
        <v>1162</v>
      </c>
      <c r="BM52" t="s">
        <v>1163</v>
      </c>
      <c r="BN52">
        <v>37750290</v>
      </c>
      <c r="BO52" t="s">
        <v>301</v>
      </c>
      <c r="BP52" t="s">
        <v>74</v>
      </c>
      <c r="BQ52" t="s">
        <v>74</v>
      </c>
      <c r="BR52" t="s">
        <v>99</v>
      </c>
      <c r="BS52" t="s">
        <v>1164</v>
      </c>
      <c r="BT52" t="str">
        <f>HYPERLINK("https%3A%2F%2Fwww.webofscience.com%2Fwos%2Fwoscc%2Ffull-record%2FWOS:001070301100001","View Full Record in Web of Science")</f>
        <v>View Full Record in Web of Science</v>
      </c>
    </row>
    <row r="53" spans="1:72" x14ac:dyDescent="0.15">
      <c r="A53" t="s">
        <v>72</v>
      </c>
      <c r="B53" t="s">
        <v>1165</v>
      </c>
      <c r="C53" t="s">
        <v>74</v>
      </c>
      <c r="D53" t="s">
        <v>74</v>
      </c>
      <c r="E53" t="s">
        <v>74</v>
      </c>
      <c r="F53" t="s">
        <v>1166</v>
      </c>
      <c r="G53" t="s">
        <v>74</v>
      </c>
      <c r="H53" t="s">
        <v>74</v>
      </c>
      <c r="I53" t="s">
        <v>1167</v>
      </c>
      <c r="J53" t="s">
        <v>1168</v>
      </c>
      <c r="K53" t="s">
        <v>74</v>
      </c>
      <c r="L53" t="s">
        <v>74</v>
      </c>
      <c r="M53" t="s">
        <v>78</v>
      </c>
      <c r="N53" t="s">
        <v>338</v>
      </c>
      <c r="O53" t="s">
        <v>74</v>
      </c>
      <c r="P53" t="s">
        <v>74</v>
      </c>
      <c r="Q53" t="s">
        <v>74</v>
      </c>
      <c r="R53" t="s">
        <v>74</v>
      </c>
      <c r="S53" t="s">
        <v>74</v>
      </c>
      <c r="T53" t="s">
        <v>1169</v>
      </c>
      <c r="U53" t="s">
        <v>1170</v>
      </c>
      <c r="V53" t="s">
        <v>1171</v>
      </c>
      <c r="W53" t="s">
        <v>1172</v>
      </c>
      <c r="X53" t="s">
        <v>1173</v>
      </c>
      <c r="Y53" t="s">
        <v>1174</v>
      </c>
      <c r="Z53" t="s">
        <v>1175</v>
      </c>
      <c r="AA53" t="s">
        <v>74</v>
      </c>
      <c r="AB53" t="s">
        <v>74</v>
      </c>
      <c r="AC53" t="s">
        <v>1176</v>
      </c>
      <c r="AD53" t="s">
        <v>1177</v>
      </c>
      <c r="AE53" t="s">
        <v>1178</v>
      </c>
      <c r="AF53" t="s">
        <v>74</v>
      </c>
      <c r="AG53">
        <v>55</v>
      </c>
      <c r="AH53">
        <v>0</v>
      </c>
      <c r="AI53">
        <v>0</v>
      </c>
      <c r="AJ53">
        <v>0</v>
      </c>
      <c r="AK53">
        <v>0</v>
      </c>
      <c r="AL53" t="s">
        <v>426</v>
      </c>
      <c r="AM53" t="s">
        <v>427</v>
      </c>
      <c r="AN53" t="s">
        <v>428</v>
      </c>
      <c r="AO53" t="s">
        <v>1179</v>
      </c>
      <c r="AP53" t="s">
        <v>1180</v>
      </c>
      <c r="AQ53" t="s">
        <v>74</v>
      </c>
      <c r="AR53" t="s">
        <v>1181</v>
      </c>
      <c r="AS53" t="s">
        <v>1182</v>
      </c>
      <c r="AT53" t="s">
        <v>1183</v>
      </c>
      <c r="AU53">
        <v>2023</v>
      </c>
      <c r="AV53" t="s">
        <v>74</v>
      </c>
      <c r="AW53" t="s">
        <v>74</v>
      </c>
      <c r="AX53" t="s">
        <v>74</v>
      </c>
      <c r="AY53" t="s">
        <v>74</v>
      </c>
      <c r="AZ53" t="s">
        <v>74</v>
      </c>
      <c r="BA53" t="s">
        <v>74</v>
      </c>
      <c r="BB53" t="s">
        <v>74</v>
      </c>
      <c r="BC53" t="s">
        <v>74</v>
      </c>
      <c r="BD53" t="s">
        <v>74</v>
      </c>
      <c r="BE53" t="s">
        <v>1184</v>
      </c>
      <c r="BF53" t="str">
        <f>HYPERLINK("http://dx.doi.org/10.1002/aenm.202302429","http://dx.doi.org/10.1002/aenm.202302429")</f>
        <v>http://dx.doi.org/10.1002/aenm.202302429</v>
      </c>
      <c r="BG53" t="s">
        <v>74</v>
      </c>
      <c r="BH53" t="s">
        <v>407</v>
      </c>
      <c r="BI53">
        <v>10</v>
      </c>
      <c r="BJ53" t="s">
        <v>1185</v>
      </c>
      <c r="BK53" t="s">
        <v>119</v>
      </c>
      <c r="BL53" t="s">
        <v>1186</v>
      </c>
      <c r="BM53" t="s">
        <v>1187</v>
      </c>
      <c r="BN53" t="s">
        <v>74</v>
      </c>
      <c r="BO53" t="s">
        <v>74</v>
      </c>
      <c r="BP53" t="s">
        <v>74</v>
      </c>
      <c r="BQ53" t="s">
        <v>74</v>
      </c>
      <c r="BR53" t="s">
        <v>99</v>
      </c>
      <c r="BS53" t="s">
        <v>1188</v>
      </c>
      <c r="BT53" t="str">
        <f>HYPERLINK("https%3A%2F%2Fwww.webofscience.com%2Fwos%2Fwoscc%2Ffull-record%2FWOS:001070114200001","View Full Record in Web of Science")</f>
        <v>View Full Record in Web of Science</v>
      </c>
    </row>
    <row r="54" spans="1:72" x14ac:dyDescent="0.15">
      <c r="A54" t="s">
        <v>72</v>
      </c>
      <c r="B54" t="s">
        <v>1189</v>
      </c>
      <c r="C54" t="s">
        <v>74</v>
      </c>
      <c r="D54" t="s">
        <v>74</v>
      </c>
      <c r="E54" t="s">
        <v>74</v>
      </c>
      <c r="F54" t="s">
        <v>1190</v>
      </c>
      <c r="G54" t="s">
        <v>74</v>
      </c>
      <c r="H54" t="s">
        <v>74</v>
      </c>
      <c r="I54" t="s">
        <v>1191</v>
      </c>
      <c r="J54" t="s">
        <v>1192</v>
      </c>
      <c r="K54" t="s">
        <v>74</v>
      </c>
      <c r="L54" t="s">
        <v>74</v>
      </c>
      <c r="M54" t="s">
        <v>78</v>
      </c>
      <c r="N54" t="s">
        <v>338</v>
      </c>
      <c r="O54" t="s">
        <v>74</v>
      </c>
      <c r="P54" t="s">
        <v>74</v>
      </c>
      <c r="Q54" t="s">
        <v>74</v>
      </c>
      <c r="R54" t="s">
        <v>74</v>
      </c>
      <c r="S54" t="s">
        <v>74</v>
      </c>
      <c r="T54" t="s">
        <v>1193</v>
      </c>
      <c r="U54" t="s">
        <v>1194</v>
      </c>
      <c r="V54" t="s">
        <v>1195</v>
      </c>
      <c r="W54" t="s">
        <v>1196</v>
      </c>
      <c r="X54" t="s">
        <v>1197</v>
      </c>
      <c r="Y54" t="s">
        <v>1198</v>
      </c>
      <c r="Z54" t="s">
        <v>1199</v>
      </c>
      <c r="AA54" t="s">
        <v>74</v>
      </c>
      <c r="AB54" t="s">
        <v>1200</v>
      </c>
      <c r="AC54" t="s">
        <v>1201</v>
      </c>
      <c r="AD54" t="s">
        <v>1202</v>
      </c>
      <c r="AE54" t="s">
        <v>1203</v>
      </c>
      <c r="AF54" t="s">
        <v>74</v>
      </c>
      <c r="AG54">
        <v>113</v>
      </c>
      <c r="AH54">
        <v>0</v>
      </c>
      <c r="AI54">
        <v>0</v>
      </c>
      <c r="AJ54">
        <v>0</v>
      </c>
      <c r="AK54">
        <v>0</v>
      </c>
      <c r="AL54" t="s">
        <v>87</v>
      </c>
      <c r="AM54" t="s">
        <v>88</v>
      </c>
      <c r="AN54" t="s">
        <v>89</v>
      </c>
      <c r="AO54" t="s">
        <v>1204</v>
      </c>
      <c r="AP54" t="s">
        <v>1205</v>
      </c>
      <c r="AQ54" t="s">
        <v>74</v>
      </c>
      <c r="AR54" t="s">
        <v>1206</v>
      </c>
      <c r="AS54" t="s">
        <v>1207</v>
      </c>
      <c r="AT54" t="s">
        <v>1183</v>
      </c>
      <c r="AU54">
        <v>2023</v>
      </c>
      <c r="AV54" t="s">
        <v>74</v>
      </c>
      <c r="AW54" t="s">
        <v>74</v>
      </c>
      <c r="AX54" t="s">
        <v>74</v>
      </c>
      <c r="AY54" t="s">
        <v>74</v>
      </c>
      <c r="AZ54" t="s">
        <v>74</v>
      </c>
      <c r="BA54" t="s">
        <v>74</v>
      </c>
      <c r="BB54" t="s">
        <v>74</v>
      </c>
      <c r="BC54" t="s">
        <v>74</v>
      </c>
      <c r="BD54" t="s">
        <v>74</v>
      </c>
      <c r="BE54" t="s">
        <v>1208</v>
      </c>
      <c r="BF54" t="str">
        <f>HYPERLINK("http://dx.doi.org/10.1111/bjso.12686","http://dx.doi.org/10.1111/bjso.12686")</f>
        <v>http://dx.doi.org/10.1111/bjso.12686</v>
      </c>
      <c r="BG54" t="s">
        <v>74</v>
      </c>
      <c r="BH54" t="s">
        <v>407</v>
      </c>
      <c r="BI54">
        <v>24</v>
      </c>
      <c r="BJ54" t="s">
        <v>1209</v>
      </c>
      <c r="BK54" t="s">
        <v>546</v>
      </c>
      <c r="BL54" t="s">
        <v>1210</v>
      </c>
      <c r="BM54" t="s">
        <v>1211</v>
      </c>
      <c r="BN54">
        <v>37747119</v>
      </c>
      <c r="BO54" t="s">
        <v>122</v>
      </c>
      <c r="BP54" t="s">
        <v>74</v>
      </c>
      <c r="BQ54" t="s">
        <v>74</v>
      </c>
      <c r="BR54" t="s">
        <v>99</v>
      </c>
      <c r="BS54" t="s">
        <v>1212</v>
      </c>
      <c r="BT54" t="str">
        <f>HYPERLINK("https%3A%2F%2Fwww.webofscience.com%2Fwos%2Fwoscc%2Ffull-record%2FWOS:001069717700001","View Full Record in Web of Science")</f>
        <v>View Full Record in Web of Science</v>
      </c>
    </row>
    <row r="55" spans="1:72" x14ac:dyDescent="0.15">
      <c r="A55" t="s">
        <v>72</v>
      </c>
      <c r="B55" t="s">
        <v>1213</v>
      </c>
      <c r="C55" t="s">
        <v>74</v>
      </c>
      <c r="D55" t="s">
        <v>74</v>
      </c>
      <c r="E55" t="s">
        <v>74</v>
      </c>
      <c r="F55" t="s">
        <v>1214</v>
      </c>
      <c r="G55" t="s">
        <v>74</v>
      </c>
      <c r="H55" t="s">
        <v>74</v>
      </c>
      <c r="I55" t="s">
        <v>1215</v>
      </c>
      <c r="J55" t="s">
        <v>1216</v>
      </c>
      <c r="K55" t="s">
        <v>74</v>
      </c>
      <c r="L55" t="s">
        <v>74</v>
      </c>
      <c r="M55" t="s">
        <v>78</v>
      </c>
      <c r="N55" t="s">
        <v>338</v>
      </c>
      <c r="O55" t="s">
        <v>74</v>
      </c>
      <c r="P55" t="s">
        <v>74</v>
      </c>
      <c r="Q55" t="s">
        <v>74</v>
      </c>
      <c r="R55" t="s">
        <v>74</v>
      </c>
      <c r="S55" t="s">
        <v>74</v>
      </c>
      <c r="T55" t="s">
        <v>1217</v>
      </c>
      <c r="U55" t="s">
        <v>1218</v>
      </c>
      <c r="V55" t="s">
        <v>1219</v>
      </c>
      <c r="W55" t="s">
        <v>1220</v>
      </c>
      <c r="X55" t="s">
        <v>74</v>
      </c>
      <c r="Y55" t="s">
        <v>1221</v>
      </c>
      <c r="Z55" t="s">
        <v>1222</v>
      </c>
      <c r="AA55" t="s">
        <v>74</v>
      </c>
      <c r="AB55" t="s">
        <v>74</v>
      </c>
      <c r="AC55" t="s">
        <v>1223</v>
      </c>
      <c r="AD55" t="s">
        <v>1223</v>
      </c>
      <c r="AE55" t="s">
        <v>1223</v>
      </c>
      <c r="AF55" t="s">
        <v>74</v>
      </c>
      <c r="AG55">
        <v>50</v>
      </c>
      <c r="AH55">
        <v>0</v>
      </c>
      <c r="AI55">
        <v>0</v>
      </c>
      <c r="AJ55">
        <v>1</v>
      </c>
      <c r="AK55">
        <v>1</v>
      </c>
      <c r="AL55" t="s">
        <v>87</v>
      </c>
      <c r="AM55" t="s">
        <v>88</v>
      </c>
      <c r="AN55" t="s">
        <v>89</v>
      </c>
      <c r="AO55" t="s">
        <v>1224</v>
      </c>
      <c r="AP55" t="s">
        <v>1225</v>
      </c>
      <c r="AQ55" t="s">
        <v>74</v>
      </c>
      <c r="AR55" t="s">
        <v>1226</v>
      </c>
      <c r="AS55" t="s">
        <v>1227</v>
      </c>
      <c r="AT55" t="s">
        <v>1183</v>
      </c>
      <c r="AU55">
        <v>2023</v>
      </c>
      <c r="AV55" t="s">
        <v>74</v>
      </c>
      <c r="AW55" t="s">
        <v>74</v>
      </c>
      <c r="AX55" t="s">
        <v>74</v>
      </c>
      <c r="AY55" t="s">
        <v>74</v>
      </c>
      <c r="AZ55" t="s">
        <v>74</v>
      </c>
      <c r="BA55" t="s">
        <v>74</v>
      </c>
      <c r="BB55" t="s">
        <v>74</v>
      </c>
      <c r="BC55" t="s">
        <v>74</v>
      </c>
      <c r="BD55" t="s">
        <v>74</v>
      </c>
      <c r="BE55" t="s">
        <v>1228</v>
      </c>
      <c r="BF55" t="str">
        <f>HYPERLINK("http://dx.doi.org/10.1002/ijgo.15152","http://dx.doi.org/10.1002/ijgo.15152")</f>
        <v>http://dx.doi.org/10.1002/ijgo.15152</v>
      </c>
      <c r="BG55" t="s">
        <v>74</v>
      </c>
      <c r="BH55" t="s">
        <v>407</v>
      </c>
      <c r="BI55">
        <v>8</v>
      </c>
      <c r="BJ55" t="s">
        <v>1229</v>
      </c>
      <c r="BK55" t="s">
        <v>119</v>
      </c>
      <c r="BL55" t="s">
        <v>1229</v>
      </c>
      <c r="BM55" t="s">
        <v>1230</v>
      </c>
      <c r="BN55">
        <v>37743817</v>
      </c>
      <c r="BO55" t="s">
        <v>74</v>
      </c>
      <c r="BP55" t="s">
        <v>74</v>
      </c>
      <c r="BQ55" t="s">
        <v>74</v>
      </c>
      <c r="BR55" t="s">
        <v>99</v>
      </c>
      <c r="BS55" t="s">
        <v>1231</v>
      </c>
      <c r="BT55" t="str">
        <f>HYPERLINK("https%3A%2F%2Fwww.webofscience.com%2Fwos%2Fwoscc%2Ffull-record%2FWOS:001069137200001","View Full Record in Web of Science")</f>
        <v>View Full Record in Web of Science</v>
      </c>
    </row>
    <row r="56" spans="1:72" x14ac:dyDescent="0.15">
      <c r="A56" t="s">
        <v>72</v>
      </c>
      <c r="B56" t="s">
        <v>1232</v>
      </c>
      <c r="C56" t="s">
        <v>74</v>
      </c>
      <c r="D56" t="s">
        <v>74</v>
      </c>
      <c r="E56" t="s">
        <v>74</v>
      </c>
      <c r="F56" t="s">
        <v>1233</v>
      </c>
      <c r="G56" t="s">
        <v>74</v>
      </c>
      <c r="H56" t="s">
        <v>74</v>
      </c>
      <c r="I56" t="s">
        <v>1234</v>
      </c>
      <c r="J56" t="s">
        <v>1235</v>
      </c>
      <c r="K56" t="s">
        <v>74</v>
      </c>
      <c r="L56" t="s">
        <v>74</v>
      </c>
      <c r="M56" t="s">
        <v>78</v>
      </c>
      <c r="N56" t="s">
        <v>338</v>
      </c>
      <c r="O56" t="s">
        <v>74</v>
      </c>
      <c r="P56" t="s">
        <v>74</v>
      </c>
      <c r="Q56" t="s">
        <v>74</v>
      </c>
      <c r="R56" t="s">
        <v>74</v>
      </c>
      <c r="S56" t="s">
        <v>74</v>
      </c>
      <c r="T56" t="s">
        <v>1236</v>
      </c>
      <c r="U56" t="s">
        <v>74</v>
      </c>
      <c r="V56" t="s">
        <v>1237</v>
      </c>
      <c r="W56" t="s">
        <v>1238</v>
      </c>
      <c r="X56" t="s">
        <v>1239</v>
      </c>
      <c r="Y56" t="s">
        <v>1240</v>
      </c>
      <c r="Z56" t="s">
        <v>1241</v>
      </c>
      <c r="AA56" t="s">
        <v>74</v>
      </c>
      <c r="AB56" t="s">
        <v>74</v>
      </c>
      <c r="AC56" t="s">
        <v>1242</v>
      </c>
      <c r="AD56" t="s">
        <v>1243</v>
      </c>
      <c r="AE56" t="s">
        <v>1243</v>
      </c>
      <c r="AF56" t="s">
        <v>74</v>
      </c>
      <c r="AG56">
        <v>19</v>
      </c>
      <c r="AH56">
        <v>0</v>
      </c>
      <c r="AI56">
        <v>0</v>
      </c>
      <c r="AJ56">
        <v>0</v>
      </c>
      <c r="AK56">
        <v>0</v>
      </c>
      <c r="AL56" t="s">
        <v>87</v>
      </c>
      <c r="AM56" t="s">
        <v>88</v>
      </c>
      <c r="AN56" t="s">
        <v>89</v>
      </c>
      <c r="AO56" t="s">
        <v>1244</v>
      </c>
      <c r="AP56" t="s">
        <v>1245</v>
      </c>
      <c r="AQ56" t="s">
        <v>74</v>
      </c>
      <c r="AR56" t="s">
        <v>1246</v>
      </c>
      <c r="AS56" t="s">
        <v>1247</v>
      </c>
      <c r="AT56" t="s">
        <v>1183</v>
      </c>
      <c r="AU56">
        <v>2023</v>
      </c>
      <c r="AV56" t="s">
        <v>74</v>
      </c>
      <c r="AW56" t="s">
        <v>74</v>
      </c>
      <c r="AX56" t="s">
        <v>74</v>
      </c>
      <c r="AY56" t="s">
        <v>74</v>
      </c>
      <c r="AZ56" t="s">
        <v>74</v>
      </c>
      <c r="BA56" t="s">
        <v>74</v>
      </c>
      <c r="BB56" t="s">
        <v>74</v>
      </c>
      <c r="BC56" t="s">
        <v>74</v>
      </c>
      <c r="BD56" t="s">
        <v>74</v>
      </c>
      <c r="BE56" t="s">
        <v>1248</v>
      </c>
      <c r="BF56" t="str">
        <f>HYPERLINK("http://dx.doi.org/10.1002/tee.23911","http://dx.doi.org/10.1002/tee.23911")</f>
        <v>http://dx.doi.org/10.1002/tee.23911</v>
      </c>
      <c r="BG56" t="s">
        <v>74</v>
      </c>
      <c r="BH56" t="s">
        <v>407</v>
      </c>
      <c r="BI56">
        <v>8</v>
      </c>
      <c r="BJ56" t="s">
        <v>1249</v>
      </c>
      <c r="BK56" t="s">
        <v>119</v>
      </c>
      <c r="BL56" t="s">
        <v>1250</v>
      </c>
      <c r="BM56" t="s">
        <v>1251</v>
      </c>
      <c r="BN56" t="s">
        <v>74</v>
      </c>
      <c r="BO56" t="s">
        <v>74</v>
      </c>
      <c r="BP56" t="s">
        <v>74</v>
      </c>
      <c r="BQ56" t="s">
        <v>74</v>
      </c>
      <c r="BR56" t="s">
        <v>99</v>
      </c>
      <c r="BS56" t="s">
        <v>1252</v>
      </c>
      <c r="BT56" t="str">
        <f>HYPERLINK("https%3A%2F%2Fwww.webofscience.com%2Fwos%2Fwoscc%2Ffull-record%2FWOS:001070221500001","View Full Record in Web of Science")</f>
        <v>View Full Record in Web of Science</v>
      </c>
    </row>
    <row r="57" spans="1:72" x14ac:dyDescent="0.15">
      <c r="A57" t="s">
        <v>72</v>
      </c>
      <c r="B57" t="s">
        <v>1253</v>
      </c>
      <c r="C57" t="s">
        <v>74</v>
      </c>
      <c r="D57" t="s">
        <v>74</v>
      </c>
      <c r="E57" t="s">
        <v>74</v>
      </c>
      <c r="F57" t="s">
        <v>1254</v>
      </c>
      <c r="G57" t="s">
        <v>74</v>
      </c>
      <c r="H57" t="s">
        <v>74</v>
      </c>
      <c r="I57" t="s">
        <v>1255</v>
      </c>
      <c r="J57" t="s">
        <v>1256</v>
      </c>
      <c r="K57" t="s">
        <v>74</v>
      </c>
      <c r="L57" t="s">
        <v>74</v>
      </c>
      <c r="M57" t="s">
        <v>78</v>
      </c>
      <c r="N57" t="s">
        <v>338</v>
      </c>
      <c r="O57" t="s">
        <v>74</v>
      </c>
      <c r="P57" t="s">
        <v>74</v>
      </c>
      <c r="Q57" t="s">
        <v>74</v>
      </c>
      <c r="R57" t="s">
        <v>74</v>
      </c>
      <c r="S57" t="s">
        <v>74</v>
      </c>
      <c r="T57" t="s">
        <v>74</v>
      </c>
      <c r="U57" t="s">
        <v>1257</v>
      </c>
      <c r="V57" t="s">
        <v>1258</v>
      </c>
      <c r="W57" t="s">
        <v>1259</v>
      </c>
      <c r="X57" t="s">
        <v>1260</v>
      </c>
      <c r="Y57" t="s">
        <v>1261</v>
      </c>
      <c r="Z57" t="s">
        <v>1262</v>
      </c>
      <c r="AA57" t="s">
        <v>74</v>
      </c>
      <c r="AB57" t="s">
        <v>74</v>
      </c>
      <c r="AC57" t="s">
        <v>1263</v>
      </c>
      <c r="AD57" t="s">
        <v>1263</v>
      </c>
      <c r="AE57" t="s">
        <v>1263</v>
      </c>
      <c r="AF57" t="s">
        <v>74</v>
      </c>
      <c r="AG57">
        <v>87</v>
      </c>
      <c r="AH57">
        <v>0</v>
      </c>
      <c r="AI57">
        <v>0</v>
      </c>
      <c r="AJ57">
        <v>2</v>
      </c>
      <c r="AK57">
        <v>2</v>
      </c>
      <c r="AL57" t="s">
        <v>87</v>
      </c>
      <c r="AM57" t="s">
        <v>88</v>
      </c>
      <c r="AN57" t="s">
        <v>89</v>
      </c>
      <c r="AO57" t="s">
        <v>1264</v>
      </c>
      <c r="AP57" t="s">
        <v>1265</v>
      </c>
      <c r="AQ57" t="s">
        <v>74</v>
      </c>
      <c r="AR57" t="s">
        <v>1266</v>
      </c>
      <c r="AS57" t="s">
        <v>1267</v>
      </c>
      <c r="AT57" t="s">
        <v>1183</v>
      </c>
      <c r="AU57">
        <v>2023</v>
      </c>
      <c r="AV57" t="s">
        <v>74</v>
      </c>
      <c r="AW57" t="s">
        <v>74</v>
      </c>
      <c r="AX57" t="s">
        <v>74</v>
      </c>
      <c r="AY57" t="s">
        <v>74</v>
      </c>
      <c r="AZ57" t="s">
        <v>74</v>
      </c>
      <c r="BA57" t="s">
        <v>74</v>
      </c>
      <c r="BB57" t="s">
        <v>74</v>
      </c>
      <c r="BC57" t="s">
        <v>74</v>
      </c>
      <c r="BD57" t="s">
        <v>74</v>
      </c>
      <c r="BE57" t="s">
        <v>1268</v>
      </c>
      <c r="BF57" t="str">
        <f>HYPERLINK("http://dx.doi.org/10.1002/cb.2241","http://dx.doi.org/10.1002/cb.2241")</f>
        <v>http://dx.doi.org/10.1002/cb.2241</v>
      </c>
      <c r="BG57" t="s">
        <v>74</v>
      </c>
      <c r="BH57" t="s">
        <v>407</v>
      </c>
      <c r="BI57">
        <v>10</v>
      </c>
      <c r="BJ57" t="s">
        <v>1269</v>
      </c>
      <c r="BK57" t="s">
        <v>546</v>
      </c>
      <c r="BL57" t="s">
        <v>547</v>
      </c>
      <c r="BM57" t="s">
        <v>1270</v>
      </c>
      <c r="BN57" t="s">
        <v>74</v>
      </c>
      <c r="BO57" t="s">
        <v>74</v>
      </c>
      <c r="BP57" t="s">
        <v>74</v>
      </c>
      <c r="BQ57" t="s">
        <v>74</v>
      </c>
      <c r="BR57" t="s">
        <v>99</v>
      </c>
      <c r="BS57" t="s">
        <v>1271</v>
      </c>
      <c r="BT57" t="str">
        <f>HYPERLINK("https%3A%2F%2Fwww.webofscience.com%2Fwos%2Fwoscc%2Ffull-record%2FWOS:001069104000001","View Full Record in Web of Science")</f>
        <v>View Full Record in Web of Science</v>
      </c>
    </row>
    <row r="58" spans="1:72" x14ac:dyDescent="0.15">
      <c r="A58" t="s">
        <v>72</v>
      </c>
      <c r="B58" t="s">
        <v>1272</v>
      </c>
      <c r="C58" t="s">
        <v>74</v>
      </c>
      <c r="D58" t="s">
        <v>74</v>
      </c>
      <c r="E58" t="s">
        <v>74</v>
      </c>
      <c r="F58" t="s">
        <v>1273</v>
      </c>
      <c r="G58" t="s">
        <v>74</v>
      </c>
      <c r="H58" t="s">
        <v>74</v>
      </c>
      <c r="I58" t="s">
        <v>1274</v>
      </c>
      <c r="J58" t="s">
        <v>1275</v>
      </c>
      <c r="K58" t="s">
        <v>74</v>
      </c>
      <c r="L58" t="s">
        <v>74</v>
      </c>
      <c r="M58" t="s">
        <v>78</v>
      </c>
      <c r="N58" t="s">
        <v>338</v>
      </c>
      <c r="O58" t="s">
        <v>74</v>
      </c>
      <c r="P58" t="s">
        <v>74</v>
      </c>
      <c r="Q58" t="s">
        <v>74</v>
      </c>
      <c r="R58" t="s">
        <v>74</v>
      </c>
      <c r="S58" t="s">
        <v>74</v>
      </c>
      <c r="T58" t="s">
        <v>1276</v>
      </c>
      <c r="U58" t="s">
        <v>1277</v>
      </c>
      <c r="V58" t="s">
        <v>1278</v>
      </c>
      <c r="W58" t="s">
        <v>1279</v>
      </c>
      <c r="X58" t="s">
        <v>1280</v>
      </c>
      <c r="Y58" t="s">
        <v>1281</v>
      </c>
      <c r="Z58" t="s">
        <v>1282</v>
      </c>
      <c r="AA58" t="s">
        <v>74</v>
      </c>
      <c r="AB58" t="s">
        <v>74</v>
      </c>
      <c r="AC58" t="s">
        <v>1283</v>
      </c>
      <c r="AD58" t="s">
        <v>1283</v>
      </c>
      <c r="AE58" t="s">
        <v>1284</v>
      </c>
      <c r="AF58" t="s">
        <v>74</v>
      </c>
      <c r="AG58">
        <v>37</v>
      </c>
      <c r="AH58">
        <v>0</v>
      </c>
      <c r="AI58">
        <v>0</v>
      </c>
      <c r="AJ58">
        <v>0</v>
      </c>
      <c r="AK58">
        <v>0</v>
      </c>
      <c r="AL58" t="s">
        <v>87</v>
      </c>
      <c r="AM58" t="s">
        <v>88</v>
      </c>
      <c r="AN58" t="s">
        <v>89</v>
      </c>
      <c r="AO58" t="s">
        <v>1285</v>
      </c>
      <c r="AP58" t="s">
        <v>1286</v>
      </c>
      <c r="AQ58" t="s">
        <v>74</v>
      </c>
      <c r="AR58" t="s">
        <v>1287</v>
      </c>
      <c r="AS58" t="s">
        <v>1288</v>
      </c>
      <c r="AT58" t="s">
        <v>1183</v>
      </c>
      <c r="AU58">
        <v>2023</v>
      </c>
      <c r="AV58" t="s">
        <v>74</v>
      </c>
      <c r="AW58" t="s">
        <v>74</v>
      </c>
      <c r="AX58" t="s">
        <v>74</v>
      </c>
      <c r="AY58" t="s">
        <v>74</v>
      </c>
      <c r="AZ58" t="s">
        <v>74</v>
      </c>
      <c r="BA58" t="s">
        <v>74</v>
      </c>
      <c r="BB58" t="s">
        <v>74</v>
      </c>
      <c r="BC58" t="s">
        <v>74</v>
      </c>
      <c r="BD58" t="s">
        <v>74</v>
      </c>
      <c r="BE58" t="s">
        <v>1289</v>
      </c>
      <c r="BF58" t="str">
        <f>HYPERLINK("http://dx.doi.org/10.1002/mp.16754","http://dx.doi.org/10.1002/mp.16754")</f>
        <v>http://dx.doi.org/10.1002/mp.16754</v>
      </c>
      <c r="BG58" t="s">
        <v>74</v>
      </c>
      <c r="BH58" t="s">
        <v>407</v>
      </c>
      <c r="BI58">
        <v>17</v>
      </c>
      <c r="BJ58" t="s">
        <v>1290</v>
      </c>
      <c r="BK58" t="s">
        <v>119</v>
      </c>
      <c r="BL58" t="s">
        <v>1290</v>
      </c>
      <c r="BM58" t="s">
        <v>1291</v>
      </c>
      <c r="BN58">
        <v>37748042</v>
      </c>
      <c r="BO58" t="s">
        <v>122</v>
      </c>
      <c r="BP58" t="s">
        <v>74</v>
      </c>
      <c r="BQ58" t="s">
        <v>74</v>
      </c>
      <c r="BR58" t="s">
        <v>99</v>
      </c>
      <c r="BS58" t="s">
        <v>1292</v>
      </c>
      <c r="BT58" t="str">
        <f>HYPERLINK("https%3A%2F%2Fwww.webofscience.com%2Fwos%2Fwoscc%2Ffull-record%2FWOS:001069984100001","View Full Record in Web of Science")</f>
        <v>View Full Record in Web of Science</v>
      </c>
    </row>
    <row r="59" spans="1:72" x14ac:dyDescent="0.15">
      <c r="A59" t="s">
        <v>72</v>
      </c>
      <c r="B59" t="s">
        <v>1293</v>
      </c>
      <c r="C59" t="s">
        <v>74</v>
      </c>
      <c r="D59" t="s">
        <v>74</v>
      </c>
      <c r="E59" t="s">
        <v>74</v>
      </c>
      <c r="F59" t="s">
        <v>1294</v>
      </c>
      <c r="G59" t="s">
        <v>74</v>
      </c>
      <c r="H59" t="s">
        <v>74</v>
      </c>
      <c r="I59" t="s">
        <v>1295</v>
      </c>
      <c r="J59" t="s">
        <v>1296</v>
      </c>
      <c r="K59" t="s">
        <v>74</v>
      </c>
      <c r="L59" t="s">
        <v>74</v>
      </c>
      <c r="M59" t="s">
        <v>78</v>
      </c>
      <c r="N59" t="s">
        <v>1297</v>
      </c>
      <c r="O59" t="s">
        <v>74</v>
      </c>
      <c r="P59" t="s">
        <v>74</v>
      </c>
      <c r="Q59" t="s">
        <v>74</v>
      </c>
      <c r="R59" t="s">
        <v>74</v>
      </c>
      <c r="S59" t="s">
        <v>74</v>
      </c>
      <c r="T59" t="s">
        <v>1298</v>
      </c>
      <c r="U59" t="s">
        <v>1299</v>
      </c>
      <c r="V59" t="s">
        <v>74</v>
      </c>
      <c r="W59" t="s">
        <v>1300</v>
      </c>
      <c r="X59" t="s">
        <v>1301</v>
      </c>
      <c r="Y59" t="s">
        <v>1302</v>
      </c>
      <c r="Z59" t="s">
        <v>1303</v>
      </c>
      <c r="AA59" t="s">
        <v>74</v>
      </c>
      <c r="AB59" t="s">
        <v>74</v>
      </c>
      <c r="AC59" t="s">
        <v>1304</v>
      </c>
      <c r="AD59" t="s">
        <v>1304</v>
      </c>
      <c r="AE59" t="s">
        <v>1304</v>
      </c>
      <c r="AF59" t="s">
        <v>74</v>
      </c>
      <c r="AG59">
        <v>5</v>
      </c>
      <c r="AH59">
        <v>0</v>
      </c>
      <c r="AI59">
        <v>0</v>
      </c>
      <c r="AJ59">
        <v>0</v>
      </c>
      <c r="AK59">
        <v>0</v>
      </c>
      <c r="AL59" t="s">
        <v>87</v>
      </c>
      <c r="AM59" t="s">
        <v>88</v>
      </c>
      <c r="AN59" t="s">
        <v>89</v>
      </c>
      <c r="AO59" t="s">
        <v>1305</v>
      </c>
      <c r="AP59" t="s">
        <v>1306</v>
      </c>
      <c r="AQ59" t="s">
        <v>74</v>
      </c>
      <c r="AR59" t="s">
        <v>1296</v>
      </c>
      <c r="AS59" t="s">
        <v>1307</v>
      </c>
      <c r="AT59" t="s">
        <v>1183</v>
      </c>
      <c r="AU59">
        <v>2023</v>
      </c>
      <c r="AV59" t="s">
        <v>74</v>
      </c>
      <c r="AW59" t="s">
        <v>74</v>
      </c>
      <c r="AX59" t="s">
        <v>74</v>
      </c>
      <c r="AY59" t="s">
        <v>74</v>
      </c>
      <c r="AZ59" t="s">
        <v>74</v>
      </c>
      <c r="BA59" t="s">
        <v>74</v>
      </c>
      <c r="BB59" t="s">
        <v>74</v>
      </c>
      <c r="BC59" t="s">
        <v>74</v>
      </c>
      <c r="BD59" t="s">
        <v>74</v>
      </c>
      <c r="BE59" t="s">
        <v>1308</v>
      </c>
      <c r="BF59" t="str">
        <f>HYPERLINK("http://dx.doi.org/10.1111/psyg.13026","http://dx.doi.org/10.1111/psyg.13026")</f>
        <v>http://dx.doi.org/10.1111/psyg.13026</v>
      </c>
      <c r="BG59" t="s">
        <v>74</v>
      </c>
      <c r="BH59" t="s">
        <v>407</v>
      </c>
      <c r="BI59">
        <v>5</v>
      </c>
      <c r="BJ59" t="s">
        <v>1309</v>
      </c>
      <c r="BK59" t="s">
        <v>119</v>
      </c>
      <c r="BL59" t="s">
        <v>1309</v>
      </c>
      <c r="BM59" t="s">
        <v>1310</v>
      </c>
      <c r="BN59">
        <v>37749753</v>
      </c>
      <c r="BO59" t="s">
        <v>74</v>
      </c>
      <c r="BP59" t="s">
        <v>74</v>
      </c>
      <c r="BQ59" t="s">
        <v>74</v>
      </c>
      <c r="BR59" t="s">
        <v>99</v>
      </c>
      <c r="BS59" t="s">
        <v>1311</v>
      </c>
      <c r="BT59" t="str">
        <f>HYPERLINK("https%3A%2F%2Fwww.webofscience.com%2Fwos%2Fwoscc%2Ffull-record%2FWOS:001071462600001","View Full Record in Web of Science")</f>
        <v>View Full Record in Web of Science</v>
      </c>
    </row>
    <row r="60" spans="1:72" x14ac:dyDescent="0.15">
      <c r="A60" t="s">
        <v>72</v>
      </c>
      <c r="B60" t="s">
        <v>1312</v>
      </c>
      <c r="C60" t="s">
        <v>74</v>
      </c>
      <c r="D60" t="s">
        <v>74</v>
      </c>
      <c r="E60" t="s">
        <v>74</v>
      </c>
      <c r="F60" t="s">
        <v>1313</v>
      </c>
      <c r="G60" t="s">
        <v>74</v>
      </c>
      <c r="H60" t="s">
        <v>74</v>
      </c>
      <c r="I60" t="s">
        <v>1314</v>
      </c>
      <c r="J60" t="s">
        <v>1315</v>
      </c>
      <c r="K60" t="s">
        <v>74</v>
      </c>
      <c r="L60" t="s">
        <v>74</v>
      </c>
      <c r="M60" t="s">
        <v>78</v>
      </c>
      <c r="N60" t="s">
        <v>594</v>
      </c>
      <c r="O60" t="s">
        <v>74</v>
      </c>
      <c r="P60" t="s">
        <v>74</v>
      </c>
      <c r="Q60" t="s">
        <v>74</v>
      </c>
      <c r="R60" t="s">
        <v>74</v>
      </c>
      <c r="S60" t="s">
        <v>74</v>
      </c>
      <c r="T60" t="s">
        <v>1316</v>
      </c>
      <c r="U60" t="s">
        <v>1317</v>
      </c>
      <c r="V60" t="s">
        <v>1318</v>
      </c>
      <c r="W60" t="s">
        <v>1319</v>
      </c>
      <c r="X60" t="s">
        <v>1320</v>
      </c>
      <c r="Y60" t="s">
        <v>1321</v>
      </c>
      <c r="Z60" t="s">
        <v>1322</v>
      </c>
      <c r="AA60" t="s">
        <v>74</v>
      </c>
      <c r="AB60" t="s">
        <v>74</v>
      </c>
      <c r="AC60" t="s">
        <v>74</v>
      </c>
      <c r="AD60" t="s">
        <v>74</v>
      </c>
      <c r="AE60" t="s">
        <v>74</v>
      </c>
      <c r="AF60" t="s">
        <v>74</v>
      </c>
      <c r="AG60">
        <v>21</v>
      </c>
      <c r="AH60">
        <v>0</v>
      </c>
      <c r="AI60">
        <v>0</v>
      </c>
      <c r="AJ60">
        <v>0</v>
      </c>
      <c r="AK60">
        <v>0</v>
      </c>
      <c r="AL60" t="s">
        <v>87</v>
      </c>
      <c r="AM60" t="s">
        <v>88</v>
      </c>
      <c r="AN60" t="s">
        <v>89</v>
      </c>
      <c r="AO60" t="s">
        <v>1323</v>
      </c>
      <c r="AP60" t="s">
        <v>1324</v>
      </c>
      <c r="AQ60" t="s">
        <v>74</v>
      </c>
      <c r="AR60" t="s">
        <v>1325</v>
      </c>
      <c r="AS60" t="s">
        <v>1326</v>
      </c>
      <c r="AT60" t="s">
        <v>1183</v>
      </c>
      <c r="AU60">
        <v>2023</v>
      </c>
      <c r="AV60" t="s">
        <v>74</v>
      </c>
      <c r="AW60" t="s">
        <v>74</v>
      </c>
      <c r="AX60" t="s">
        <v>74</v>
      </c>
      <c r="AY60" t="s">
        <v>74</v>
      </c>
      <c r="AZ60" t="s">
        <v>74</v>
      </c>
      <c r="BA60" t="s">
        <v>74</v>
      </c>
      <c r="BB60" t="s">
        <v>74</v>
      </c>
      <c r="BC60" t="s">
        <v>74</v>
      </c>
      <c r="BD60" t="s">
        <v>74</v>
      </c>
      <c r="BE60" t="s">
        <v>1327</v>
      </c>
      <c r="BF60" t="str">
        <f>HYPERLINK("http://dx.doi.org/10.1002/cncy.22759","http://dx.doi.org/10.1002/cncy.22759")</f>
        <v>http://dx.doi.org/10.1002/cncy.22759</v>
      </c>
      <c r="BG60" t="s">
        <v>74</v>
      </c>
      <c r="BH60" t="s">
        <v>407</v>
      </c>
      <c r="BI60">
        <v>4</v>
      </c>
      <c r="BJ60" t="s">
        <v>1328</v>
      </c>
      <c r="BK60" t="s">
        <v>119</v>
      </c>
      <c r="BL60" t="s">
        <v>1328</v>
      </c>
      <c r="BM60" t="s">
        <v>1329</v>
      </c>
      <c r="BN60">
        <v>37747428</v>
      </c>
      <c r="BO60" t="s">
        <v>74</v>
      </c>
      <c r="BP60" t="s">
        <v>74</v>
      </c>
      <c r="BQ60" t="s">
        <v>74</v>
      </c>
      <c r="BR60" t="s">
        <v>99</v>
      </c>
      <c r="BS60" t="s">
        <v>1330</v>
      </c>
      <c r="BT60" t="str">
        <f>HYPERLINK("https%3A%2F%2Fwww.webofscience.com%2Fwos%2Fwoscc%2Ffull-record%2FWOS:001071339800001","View Full Record in Web of Science")</f>
        <v>View Full Record in Web of Science</v>
      </c>
    </row>
    <row r="61" spans="1:72" x14ac:dyDescent="0.15">
      <c r="A61" t="s">
        <v>72</v>
      </c>
      <c r="B61" t="s">
        <v>1331</v>
      </c>
      <c r="C61" t="s">
        <v>74</v>
      </c>
      <c r="D61" t="s">
        <v>74</v>
      </c>
      <c r="E61" t="s">
        <v>74</v>
      </c>
      <c r="F61" t="s">
        <v>1332</v>
      </c>
      <c r="G61" t="s">
        <v>74</v>
      </c>
      <c r="H61" t="s">
        <v>74</v>
      </c>
      <c r="I61" t="s">
        <v>1333</v>
      </c>
      <c r="J61" t="s">
        <v>1334</v>
      </c>
      <c r="K61" t="s">
        <v>74</v>
      </c>
      <c r="L61" t="s">
        <v>74</v>
      </c>
      <c r="M61" t="s">
        <v>78</v>
      </c>
      <c r="N61" t="s">
        <v>1297</v>
      </c>
      <c r="O61" t="s">
        <v>74</v>
      </c>
      <c r="P61" t="s">
        <v>74</v>
      </c>
      <c r="Q61" t="s">
        <v>74</v>
      </c>
      <c r="R61" t="s">
        <v>74</v>
      </c>
      <c r="S61" t="s">
        <v>74</v>
      </c>
      <c r="T61" t="s">
        <v>74</v>
      </c>
      <c r="U61" t="s">
        <v>1335</v>
      </c>
      <c r="V61" t="s">
        <v>1336</v>
      </c>
      <c r="W61" t="s">
        <v>1337</v>
      </c>
      <c r="X61" t="s">
        <v>1338</v>
      </c>
      <c r="Y61" t="s">
        <v>1339</v>
      </c>
      <c r="Z61" t="s">
        <v>1340</v>
      </c>
      <c r="AA61" t="s">
        <v>74</v>
      </c>
      <c r="AB61" t="s">
        <v>1341</v>
      </c>
      <c r="AC61" t="s">
        <v>1342</v>
      </c>
      <c r="AD61" t="s">
        <v>1343</v>
      </c>
      <c r="AE61" t="s">
        <v>1344</v>
      </c>
      <c r="AF61" t="s">
        <v>74</v>
      </c>
      <c r="AG61">
        <v>3</v>
      </c>
      <c r="AH61">
        <v>0</v>
      </c>
      <c r="AI61">
        <v>0</v>
      </c>
      <c r="AJ61">
        <v>0</v>
      </c>
      <c r="AK61">
        <v>0</v>
      </c>
      <c r="AL61" t="s">
        <v>87</v>
      </c>
      <c r="AM61" t="s">
        <v>88</v>
      </c>
      <c r="AN61" t="s">
        <v>89</v>
      </c>
      <c r="AO61" t="s">
        <v>1345</v>
      </c>
      <c r="AP61" t="s">
        <v>1346</v>
      </c>
      <c r="AQ61" t="s">
        <v>74</v>
      </c>
      <c r="AR61" t="s">
        <v>1347</v>
      </c>
      <c r="AS61" t="s">
        <v>1348</v>
      </c>
      <c r="AT61" t="s">
        <v>1183</v>
      </c>
      <c r="AU61">
        <v>2023</v>
      </c>
      <c r="AV61" t="s">
        <v>74</v>
      </c>
      <c r="AW61" t="s">
        <v>74</v>
      </c>
      <c r="AX61" t="s">
        <v>74</v>
      </c>
      <c r="AY61" t="s">
        <v>74</v>
      </c>
      <c r="AZ61" t="s">
        <v>74</v>
      </c>
      <c r="BA61" t="s">
        <v>74</v>
      </c>
      <c r="BB61" t="s">
        <v>74</v>
      </c>
      <c r="BC61" t="s">
        <v>74</v>
      </c>
      <c r="BD61" t="s">
        <v>74</v>
      </c>
      <c r="BE61" t="s">
        <v>1349</v>
      </c>
      <c r="BF61" t="str">
        <f>HYPERLINK("http://dx.doi.org/10.1111/den.14675","http://dx.doi.org/10.1111/den.14675")</f>
        <v>http://dx.doi.org/10.1111/den.14675</v>
      </c>
      <c r="BG61" t="s">
        <v>74</v>
      </c>
      <c r="BH61" t="s">
        <v>407</v>
      </c>
      <c r="BI61">
        <v>3</v>
      </c>
      <c r="BJ61" t="s">
        <v>1350</v>
      </c>
      <c r="BK61" t="s">
        <v>119</v>
      </c>
      <c r="BL61" t="s">
        <v>1350</v>
      </c>
      <c r="BM61" t="s">
        <v>1351</v>
      </c>
      <c r="BN61">
        <v>37749935</v>
      </c>
      <c r="BO61" t="s">
        <v>301</v>
      </c>
      <c r="BP61" t="s">
        <v>74</v>
      </c>
      <c r="BQ61" t="s">
        <v>74</v>
      </c>
      <c r="BR61" t="s">
        <v>99</v>
      </c>
      <c r="BS61" t="s">
        <v>1352</v>
      </c>
      <c r="BT61" t="str">
        <f>HYPERLINK("https%3A%2F%2Fwww.webofscience.com%2Fwos%2Fwoscc%2Ffull-record%2FWOS:001071553900001","View Full Record in Web of Science")</f>
        <v>View Full Record in Web of Science</v>
      </c>
    </row>
    <row r="62" spans="1:72" x14ac:dyDescent="0.15">
      <c r="A62" t="s">
        <v>72</v>
      </c>
      <c r="B62" t="s">
        <v>1353</v>
      </c>
      <c r="C62" t="s">
        <v>74</v>
      </c>
      <c r="D62" t="s">
        <v>74</v>
      </c>
      <c r="E62" t="s">
        <v>74</v>
      </c>
      <c r="F62" t="s">
        <v>1354</v>
      </c>
      <c r="G62" t="s">
        <v>74</v>
      </c>
      <c r="H62" t="s">
        <v>74</v>
      </c>
      <c r="I62" t="s">
        <v>1355</v>
      </c>
      <c r="J62" t="s">
        <v>1356</v>
      </c>
      <c r="K62" t="s">
        <v>74</v>
      </c>
      <c r="L62" t="s">
        <v>74</v>
      </c>
      <c r="M62" t="s">
        <v>78</v>
      </c>
      <c r="N62" t="s">
        <v>338</v>
      </c>
      <c r="O62" t="s">
        <v>74</v>
      </c>
      <c r="P62" t="s">
        <v>74</v>
      </c>
      <c r="Q62" t="s">
        <v>74</v>
      </c>
      <c r="R62" t="s">
        <v>74</v>
      </c>
      <c r="S62" t="s">
        <v>74</v>
      </c>
      <c r="T62" t="s">
        <v>1357</v>
      </c>
      <c r="U62" t="s">
        <v>1358</v>
      </c>
      <c r="V62" t="s">
        <v>1359</v>
      </c>
      <c r="W62" t="s">
        <v>1360</v>
      </c>
      <c r="X62" t="s">
        <v>1361</v>
      </c>
      <c r="Y62" t="s">
        <v>1362</v>
      </c>
      <c r="Z62" t="s">
        <v>1363</v>
      </c>
      <c r="AA62" t="s">
        <v>74</v>
      </c>
      <c r="AB62" t="s">
        <v>74</v>
      </c>
      <c r="AC62" t="s">
        <v>1364</v>
      </c>
      <c r="AD62" t="s">
        <v>1365</v>
      </c>
      <c r="AE62" t="s">
        <v>1366</v>
      </c>
      <c r="AF62" t="s">
        <v>74</v>
      </c>
      <c r="AG62">
        <v>30</v>
      </c>
      <c r="AH62">
        <v>0</v>
      </c>
      <c r="AI62">
        <v>0</v>
      </c>
      <c r="AJ62">
        <v>0</v>
      </c>
      <c r="AK62">
        <v>0</v>
      </c>
      <c r="AL62" t="s">
        <v>87</v>
      </c>
      <c r="AM62" t="s">
        <v>88</v>
      </c>
      <c r="AN62" t="s">
        <v>89</v>
      </c>
      <c r="AO62" t="s">
        <v>1367</v>
      </c>
      <c r="AP62" t="s">
        <v>1368</v>
      </c>
      <c r="AQ62" t="s">
        <v>74</v>
      </c>
      <c r="AR62" t="s">
        <v>1369</v>
      </c>
      <c r="AS62" t="s">
        <v>1370</v>
      </c>
      <c r="AT62" t="s">
        <v>1183</v>
      </c>
      <c r="AU62">
        <v>2023</v>
      </c>
      <c r="AV62" t="s">
        <v>74</v>
      </c>
      <c r="AW62" t="s">
        <v>74</v>
      </c>
      <c r="AX62" t="s">
        <v>74</v>
      </c>
      <c r="AY62" t="s">
        <v>74</v>
      </c>
      <c r="AZ62" t="s">
        <v>74</v>
      </c>
      <c r="BA62" t="s">
        <v>74</v>
      </c>
      <c r="BB62" t="s">
        <v>74</v>
      </c>
      <c r="BC62" t="s">
        <v>74</v>
      </c>
      <c r="BD62" t="s">
        <v>74</v>
      </c>
      <c r="BE62" t="s">
        <v>1371</v>
      </c>
      <c r="BF62" t="str">
        <f>HYPERLINK("http://dx.doi.org/10.1002/pen.26508","http://dx.doi.org/10.1002/pen.26508")</f>
        <v>http://dx.doi.org/10.1002/pen.26508</v>
      </c>
      <c r="BG62" t="s">
        <v>74</v>
      </c>
      <c r="BH62" t="s">
        <v>407</v>
      </c>
      <c r="BI62">
        <v>12</v>
      </c>
      <c r="BJ62" t="s">
        <v>1372</v>
      </c>
      <c r="BK62" t="s">
        <v>119</v>
      </c>
      <c r="BL62" t="s">
        <v>1373</v>
      </c>
      <c r="BM62" t="s">
        <v>1374</v>
      </c>
      <c r="BN62" t="s">
        <v>74</v>
      </c>
      <c r="BO62" t="s">
        <v>74</v>
      </c>
      <c r="BP62" t="s">
        <v>74</v>
      </c>
      <c r="BQ62" t="s">
        <v>74</v>
      </c>
      <c r="BR62" t="s">
        <v>99</v>
      </c>
      <c r="BS62" t="s">
        <v>1375</v>
      </c>
      <c r="BT62" t="str">
        <f>HYPERLINK("https%3A%2F%2Fwww.webofscience.com%2Fwos%2Fwoscc%2Ffull-record%2FWOS:001069735300001","View Full Record in Web of Science")</f>
        <v>View Full Record in Web of Science</v>
      </c>
    </row>
    <row r="63" spans="1:72" x14ac:dyDescent="0.15">
      <c r="A63" t="s">
        <v>72</v>
      </c>
      <c r="B63" t="s">
        <v>1376</v>
      </c>
      <c r="C63" t="s">
        <v>74</v>
      </c>
      <c r="D63" t="s">
        <v>74</v>
      </c>
      <c r="E63" t="s">
        <v>74</v>
      </c>
      <c r="F63" t="s">
        <v>1377</v>
      </c>
      <c r="G63" t="s">
        <v>74</v>
      </c>
      <c r="H63" t="s">
        <v>74</v>
      </c>
      <c r="I63" t="s">
        <v>1378</v>
      </c>
      <c r="J63" t="s">
        <v>1379</v>
      </c>
      <c r="K63" t="s">
        <v>74</v>
      </c>
      <c r="L63" t="s">
        <v>74</v>
      </c>
      <c r="M63" t="s">
        <v>78</v>
      </c>
      <c r="N63" t="s">
        <v>338</v>
      </c>
      <c r="O63" t="s">
        <v>74</v>
      </c>
      <c r="P63" t="s">
        <v>74</v>
      </c>
      <c r="Q63" t="s">
        <v>74</v>
      </c>
      <c r="R63" t="s">
        <v>74</v>
      </c>
      <c r="S63" t="s">
        <v>74</v>
      </c>
      <c r="T63" t="s">
        <v>1380</v>
      </c>
      <c r="U63" t="s">
        <v>1381</v>
      </c>
      <c r="V63" t="s">
        <v>1382</v>
      </c>
      <c r="W63" t="s">
        <v>1383</v>
      </c>
      <c r="X63" t="s">
        <v>1384</v>
      </c>
      <c r="Y63" t="s">
        <v>1385</v>
      </c>
      <c r="Z63" t="s">
        <v>1386</v>
      </c>
      <c r="AA63" t="s">
        <v>74</v>
      </c>
      <c r="AB63" t="s">
        <v>74</v>
      </c>
      <c r="AC63" t="s">
        <v>1387</v>
      </c>
      <c r="AD63" t="s">
        <v>1388</v>
      </c>
      <c r="AE63" t="s">
        <v>1389</v>
      </c>
      <c r="AF63" t="s">
        <v>74</v>
      </c>
      <c r="AG63">
        <v>28</v>
      </c>
      <c r="AH63">
        <v>0</v>
      </c>
      <c r="AI63">
        <v>0</v>
      </c>
      <c r="AJ63">
        <v>0</v>
      </c>
      <c r="AK63">
        <v>0</v>
      </c>
      <c r="AL63" t="s">
        <v>87</v>
      </c>
      <c r="AM63" t="s">
        <v>88</v>
      </c>
      <c r="AN63" t="s">
        <v>89</v>
      </c>
      <c r="AO63" t="s">
        <v>1390</v>
      </c>
      <c r="AP63" t="s">
        <v>1391</v>
      </c>
      <c r="AQ63" t="s">
        <v>74</v>
      </c>
      <c r="AR63" t="s">
        <v>1392</v>
      </c>
      <c r="AS63" t="s">
        <v>1393</v>
      </c>
      <c r="AT63" t="s">
        <v>1183</v>
      </c>
      <c r="AU63">
        <v>2023</v>
      </c>
      <c r="AV63" t="s">
        <v>74</v>
      </c>
      <c r="AW63" t="s">
        <v>74</v>
      </c>
      <c r="AX63" t="s">
        <v>74</v>
      </c>
      <c r="AY63" t="s">
        <v>74</v>
      </c>
      <c r="AZ63" t="s">
        <v>74</v>
      </c>
      <c r="BA63" t="s">
        <v>74</v>
      </c>
      <c r="BB63" t="s">
        <v>74</v>
      </c>
      <c r="BC63" t="s">
        <v>74</v>
      </c>
      <c r="BD63" t="s">
        <v>74</v>
      </c>
      <c r="BE63" t="s">
        <v>1394</v>
      </c>
      <c r="BF63" t="str">
        <f>HYPERLINK("http://dx.doi.org/10.1002/bab.2518","http://dx.doi.org/10.1002/bab.2518")</f>
        <v>http://dx.doi.org/10.1002/bab.2518</v>
      </c>
      <c r="BG63" t="s">
        <v>74</v>
      </c>
      <c r="BH63" t="s">
        <v>407</v>
      </c>
      <c r="BI63">
        <v>10</v>
      </c>
      <c r="BJ63" t="s">
        <v>1395</v>
      </c>
      <c r="BK63" t="s">
        <v>119</v>
      </c>
      <c r="BL63" t="s">
        <v>1395</v>
      </c>
      <c r="BM63" t="s">
        <v>1396</v>
      </c>
      <c r="BN63">
        <v>37749820</v>
      </c>
      <c r="BO63" t="s">
        <v>122</v>
      </c>
      <c r="BP63" t="s">
        <v>74</v>
      </c>
      <c r="BQ63" t="s">
        <v>74</v>
      </c>
      <c r="BR63" t="s">
        <v>99</v>
      </c>
      <c r="BS63" t="s">
        <v>1397</v>
      </c>
      <c r="BT63" t="str">
        <f>HYPERLINK("https%3A%2F%2Fwww.webofscience.com%2Fwos%2Fwoscc%2Ffull-record%2FWOS:001070048300001","View Full Record in Web of Science")</f>
        <v>View Full Record in Web of Science</v>
      </c>
    </row>
    <row r="64" spans="1:72" x14ac:dyDescent="0.15">
      <c r="A64" t="s">
        <v>72</v>
      </c>
      <c r="B64" t="s">
        <v>1398</v>
      </c>
      <c r="C64" t="s">
        <v>74</v>
      </c>
      <c r="D64" t="s">
        <v>74</v>
      </c>
      <c r="E64" t="s">
        <v>74</v>
      </c>
      <c r="F64" t="s">
        <v>1399</v>
      </c>
      <c r="G64" t="s">
        <v>74</v>
      </c>
      <c r="H64" t="s">
        <v>74</v>
      </c>
      <c r="I64" t="s">
        <v>1400</v>
      </c>
      <c r="J64" t="s">
        <v>1401</v>
      </c>
      <c r="K64" t="s">
        <v>74</v>
      </c>
      <c r="L64" t="s">
        <v>74</v>
      </c>
      <c r="M64" t="s">
        <v>78</v>
      </c>
      <c r="N64" t="s">
        <v>338</v>
      </c>
      <c r="O64" t="s">
        <v>74</v>
      </c>
      <c r="P64" t="s">
        <v>74</v>
      </c>
      <c r="Q64" t="s">
        <v>74</v>
      </c>
      <c r="R64" t="s">
        <v>74</v>
      </c>
      <c r="S64" t="s">
        <v>74</v>
      </c>
      <c r="T64" t="s">
        <v>1402</v>
      </c>
      <c r="U64" t="s">
        <v>1403</v>
      </c>
      <c r="V64" t="s">
        <v>1404</v>
      </c>
      <c r="W64" t="s">
        <v>1405</v>
      </c>
      <c r="X64" t="s">
        <v>1406</v>
      </c>
      <c r="Y64" t="s">
        <v>1407</v>
      </c>
      <c r="Z64" t="s">
        <v>1408</v>
      </c>
      <c r="AA64" t="s">
        <v>74</v>
      </c>
      <c r="AB64" t="s">
        <v>74</v>
      </c>
      <c r="AC64" t="s">
        <v>1409</v>
      </c>
      <c r="AD64" t="s">
        <v>1410</v>
      </c>
      <c r="AE64" t="s">
        <v>1411</v>
      </c>
      <c r="AF64" t="s">
        <v>74</v>
      </c>
      <c r="AG64">
        <v>50</v>
      </c>
      <c r="AH64">
        <v>0</v>
      </c>
      <c r="AI64">
        <v>0</v>
      </c>
      <c r="AJ64">
        <v>0</v>
      </c>
      <c r="AK64">
        <v>0</v>
      </c>
      <c r="AL64" t="s">
        <v>87</v>
      </c>
      <c r="AM64" t="s">
        <v>88</v>
      </c>
      <c r="AN64" t="s">
        <v>1412</v>
      </c>
      <c r="AO64" t="s">
        <v>1413</v>
      </c>
      <c r="AP64" t="s">
        <v>1414</v>
      </c>
      <c r="AQ64" t="s">
        <v>74</v>
      </c>
      <c r="AR64" t="s">
        <v>1415</v>
      </c>
      <c r="AS64" t="s">
        <v>1416</v>
      </c>
      <c r="AT64" t="s">
        <v>1183</v>
      </c>
      <c r="AU64">
        <v>2023</v>
      </c>
      <c r="AV64" t="s">
        <v>74</v>
      </c>
      <c r="AW64" t="s">
        <v>74</v>
      </c>
      <c r="AX64" t="s">
        <v>74</v>
      </c>
      <c r="AY64" t="s">
        <v>74</v>
      </c>
      <c r="AZ64" t="s">
        <v>74</v>
      </c>
      <c r="BA64" t="s">
        <v>74</v>
      </c>
      <c r="BB64" t="s">
        <v>74</v>
      </c>
      <c r="BC64" t="s">
        <v>74</v>
      </c>
      <c r="BD64" t="s">
        <v>74</v>
      </c>
      <c r="BE64" t="s">
        <v>1417</v>
      </c>
      <c r="BF64" t="str">
        <f>HYPERLINK("http://dx.doi.org/10.1002/pol.20230462","http://dx.doi.org/10.1002/pol.20230462")</f>
        <v>http://dx.doi.org/10.1002/pol.20230462</v>
      </c>
      <c r="BG64" t="s">
        <v>74</v>
      </c>
      <c r="BH64" t="s">
        <v>407</v>
      </c>
      <c r="BI64">
        <v>12</v>
      </c>
      <c r="BJ64" t="s">
        <v>1418</v>
      </c>
      <c r="BK64" t="s">
        <v>119</v>
      </c>
      <c r="BL64" t="s">
        <v>1418</v>
      </c>
      <c r="BM64" t="s">
        <v>1419</v>
      </c>
      <c r="BN64" t="s">
        <v>74</v>
      </c>
      <c r="BO64" t="s">
        <v>74</v>
      </c>
      <c r="BP64" t="s">
        <v>74</v>
      </c>
      <c r="BQ64" t="s">
        <v>74</v>
      </c>
      <c r="BR64" t="s">
        <v>99</v>
      </c>
      <c r="BS64" t="s">
        <v>1420</v>
      </c>
      <c r="BT64" t="str">
        <f>HYPERLINK("https%3A%2F%2Fwww.webofscience.com%2Fwos%2Fwoscc%2Ffull-record%2FWOS:001070843200001","View Full Record in Web of Science")</f>
        <v>View Full Record in Web of Science</v>
      </c>
    </row>
    <row r="65" spans="1:72" x14ac:dyDescent="0.15">
      <c r="A65" t="s">
        <v>72</v>
      </c>
      <c r="B65" t="s">
        <v>1421</v>
      </c>
      <c r="C65" t="s">
        <v>74</v>
      </c>
      <c r="D65" t="s">
        <v>74</v>
      </c>
      <c r="E65" t="s">
        <v>74</v>
      </c>
      <c r="F65" t="s">
        <v>1422</v>
      </c>
      <c r="G65" t="s">
        <v>74</v>
      </c>
      <c r="H65" t="s">
        <v>74</v>
      </c>
      <c r="I65" t="s">
        <v>1423</v>
      </c>
      <c r="J65" t="s">
        <v>1424</v>
      </c>
      <c r="K65" t="s">
        <v>74</v>
      </c>
      <c r="L65" t="s">
        <v>74</v>
      </c>
      <c r="M65" t="s">
        <v>78</v>
      </c>
      <c r="N65" t="s">
        <v>338</v>
      </c>
      <c r="O65" t="s">
        <v>74</v>
      </c>
      <c r="P65" t="s">
        <v>74</v>
      </c>
      <c r="Q65" t="s">
        <v>74</v>
      </c>
      <c r="R65" t="s">
        <v>74</v>
      </c>
      <c r="S65" t="s">
        <v>74</v>
      </c>
      <c r="T65" t="s">
        <v>1425</v>
      </c>
      <c r="U65" t="s">
        <v>1426</v>
      </c>
      <c r="V65" t="s">
        <v>1427</v>
      </c>
      <c r="W65" t="s">
        <v>1428</v>
      </c>
      <c r="X65" t="s">
        <v>1429</v>
      </c>
      <c r="Y65" t="s">
        <v>1430</v>
      </c>
      <c r="Z65" t="s">
        <v>1431</v>
      </c>
      <c r="AA65" t="s">
        <v>74</v>
      </c>
      <c r="AB65" t="s">
        <v>74</v>
      </c>
      <c r="AC65" t="s">
        <v>1432</v>
      </c>
      <c r="AD65" t="s">
        <v>1432</v>
      </c>
      <c r="AE65" t="s">
        <v>1433</v>
      </c>
      <c r="AF65" t="s">
        <v>74</v>
      </c>
      <c r="AG65">
        <v>48</v>
      </c>
      <c r="AH65">
        <v>0</v>
      </c>
      <c r="AI65">
        <v>0</v>
      </c>
      <c r="AJ65">
        <v>0</v>
      </c>
      <c r="AK65">
        <v>0</v>
      </c>
      <c r="AL65" t="s">
        <v>87</v>
      </c>
      <c r="AM65" t="s">
        <v>88</v>
      </c>
      <c r="AN65" t="s">
        <v>89</v>
      </c>
      <c r="AO65" t="s">
        <v>74</v>
      </c>
      <c r="AP65" t="s">
        <v>1434</v>
      </c>
      <c r="AQ65" t="s">
        <v>74</v>
      </c>
      <c r="AR65" t="s">
        <v>1435</v>
      </c>
      <c r="AS65" t="s">
        <v>1436</v>
      </c>
      <c r="AT65" t="s">
        <v>1437</v>
      </c>
      <c r="AU65">
        <v>2023</v>
      </c>
      <c r="AV65" t="s">
        <v>74</v>
      </c>
      <c r="AW65" t="s">
        <v>74</v>
      </c>
      <c r="AX65" t="s">
        <v>74</v>
      </c>
      <c r="AY65" t="s">
        <v>74</v>
      </c>
      <c r="AZ65" t="s">
        <v>74</v>
      </c>
      <c r="BA65" t="s">
        <v>74</v>
      </c>
      <c r="BB65" t="s">
        <v>74</v>
      </c>
      <c r="BC65" t="s">
        <v>74</v>
      </c>
      <c r="BD65" t="s">
        <v>74</v>
      </c>
      <c r="BE65" t="s">
        <v>1438</v>
      </c>
      <c r="BF65" t="str">
        <f>HYPERLINK("http://dx.doi.org/10.1049/ccs2.12087","http://dx.doi.org/10.1049/ccs2.12087")</f>
        <v>http://dx.doi.org/10.1049/ccs2.12087</v>
      </c>
      <c r="BG65" t="s">
        <v>74</v>
      </c>
      <c r="BH65" t="s">
        <v>407</v>
      </c>
      <c r="BI65">
        <v>12</v>
      </c>
      <c r="BJ65" t="s">
        <v>1439</v>
      </c>
      <c r="BK65" t="s">
        <v>96</v>
      </c>
      <c r="BL65" t="s">
        <v>1440</v>
      </c>
      <c r="BM65" t="s">
        <v>1441</v>
      </c>
      <c r="BN65" t="s">
        <v>74</v>
      </c>
      <c r="BO65" t="s">
        <v>234</v>
      </c>
      <c r="BP65" t="s">
        <v>74</v>
      </c>
      <c r="BQ65" t="s">
        <v>74</v>
      </c>
      <c r="BR65" t="s">
        <v>99</v>
      </c>
      <c r="BS65" t="s">
        <v>1442</v>
      </c>
      <c r="BT65" t="str">
        <f>HYPERLINK("https%3A%2F%2Fwww.webofscience.com%2Fwos%2Fwoscc%2Ffull-record%2FWOS:001072200000001","View Full Record in Web of Science")</f>
        <v>View Full Record in Web of Science</v>
      </c>
    </row>
    <row r="66" spans="1:72" x14ac:dyDescent="0.15">
      <c r="A66" t="s">
        <v>72</v>
      </c>
      <c r="B66" t="s">
        <v>1443</v>
      </c>
      <c r="C66" t="s">
        <v>74</v>
      </c>
      <c r="D66" t="s">
        <v>74</v>
      </c>
      <c r="E66" t="s">
        <v>74</v>
      </c>
      <c r="F66" t="s">
        <v>1444</v>
      </c>
      <c r="G66" t="s">
        <v>74</v>
      </c>
      <c r="H66" t="s">
        <v>74</v>
      </c>
      <c r="I66" t="s">
        <v>1445</v>
      </c>
      <c r="J66" t="s">
        <v>1446</v>
      </c>
      <c r="K66" t="s">
        <v>74</v>
      </c>
      <c r="L66" t="s">
        <v>74</v>
      </c>
      <c r="M66" t="s">
        <v>78</v>
      </c>
      <c r="N66" t="s">
        <v>338</v>
      </c>
      <c r="O66" t="s">
        <v>74</v>
      </c>
      <c r="P66" t="s">
        <v>74</v>
      </c>
      <c r="Q66" t="s">
        <v>74</v>
      </c>
      <c r="R66" t="s">
        <v>74</v>
      </c>
      <c r="S66" t="s">
        <v>74</v>
      </c>
      <c r="T66" t="s">
        <v>1447</v>
      </c>
      <c r="U66" t="s">
        <v>1448</v>
      </c>
      <c r="V66" t="s">
        <v>1449</v>
      </c>
      <c r="W66" t="s">
        <v>1450</v>
      </c>
      <c r="X66" t="s">
        <v>1451</v>
      </c>
      <c r="Y66" t="s">
        <v>1452</v>
      </c>
      <c r="Z66" t="s">
        <v>1453</v>
      </c>
      <c r="AA66" t="s">
        <v>1454</v>
      </c>
      <c r="AB66" t="s">
        <v>1455</v>
      </c>
      <c r="AC66" t="s">
        <v>1456</v>
      </c>
      <c r="AD66" t="s">
        <v>1457</v>
      </c>
      <c r="AE66" t="s">
        <v>1458</v>
      </c>
      <c r="AF66" t="s">
        <v>74</v>
      </c>
      <c r="AG66">
        <v>45</v>
      </c>
      <c r="AH66">
        <v>0</v>
      </c>
      <c r="AI66">
        <v>0</v>
      </c>
      <c r="AJ66">
        <v>2</v>
      </c>
      <c r="AK66">
        <v>2</v>
      </c>
      <c r="AL66" t="s">
        <v>426</v>
      </c>
      <c r="AM66" t="s">
        <v>427</v>
      </c>
      <c r="AN66" t="s">
        <v>428</v>
      </c>
      <c r="AO66" t="s">
        <v>1459</v>
      </c>
      <c r="AP66" t="s">
        <v>1460</v>
      </c>
      <c r="AQ66" t="s">
        <v>74</v>
      </c>
      <c r="AR66" t="s">
        <v>1461</v>
      </c>
      <c r="AS66" t="s">
        <v>1462</v>
      </c>
      <c r="AT66" t="s">
        <v>1437</v>
      </c>
      <c r="AU66">
        <v>2023</v>
      </c>
      <c r="AV66" t="s">
        <v>74</v>
      </c>
      <c r="AW66" t="s">
        <v>74</v>
      </c>
      <c r="AX66" t="s">
        <v>74</v>
      </c>
      <c r="AY66" t="s">
        <v>74</v>
      </c>
      <c r="AZ66" t="s">
        <v>74</v>
      </c>
      <c r="BA66" t="s">
        <v>74</v>
      </c>
      <c r="BB66" t="s">
        <v>74</v>
      </c>
      <c r="BC66" t="s">
        <v>74</v>
      </c>
      <c r="BD66" t="s">
        <v>74</v>
      </c>
      <c r="BE66" t="s">
        <v>1463</v>
      </c>
      <c r="BF66" t="str">
        <f>HYPERLINK("http://dx.doi.org/10.1002/mabi.202300306","http://dx.doi.org/10.1002/mabi.202300306")</f>
        <v>http://dx.doi.org/10.1002/mabi.202300306</v>
      </c>
      <c r="BG66" t="s">
        <v>74</v>
      </c>
      <c r="BH66" t="s">
        <v>407</v>
      </c>
      <c r="BI66">
        <v>12</v>
      </c>
      <c r="BJ66" t="s">
        <v>1464</v>
      </c>
      <c r="BK66" t="s">
        <v>119</v>
      </c>
      <c r="BL66" t="s">
        <v>1465</v>
      </c>
      <c r="BM66" t="s">
        <v>1466</v>
      </c>
      <c r="BN66">
        <v>37691533</v>
      </c>
      <c r="BO66" t="s">
        <v>74</v>
      </c>
      <c r="BP66" t="s">
        <v>74</v>
      </c>
      <c r="BQ66" t="s">
        <v>74</v>
      </c>
      <c r="BR66" t="s">
        <v>99</v>
      </c>
      <c r="BS66" t="s">
        <v>1467</v>
      </c>
      <c r="BT66" t="str">
        <f>HYPERLINK("https%3A%2F%2Fwww.webofscience.com%2Fwos%2Fwoscc%2Ffull-record%2FWOS:001068936800001","View Full Record in Web of Science")</f>
        <v>View Full Record in Web of Science</v>
      </c>
    </row>
    <row r="67" spans="1:72" x14ac:dyDescent="0.15">
      <c r="A67" t="s">
        <v>72</v>
      </c>
      <c r="B67" t="s">
        <v>1468</v>
      </c>
      <c r="C67" t="s">
        <v>74</v>
      </c>
      <c r="D67" t="s">
        <v>74</v>
      </c>
      <c r="E67" t="s">
        <v>74</v>
      </c>
      <c r="F67" t="s">
        <v>1469</v>
      </c>
      <c r="G67" t="s">
        <v>74</v>
      </c>
      <c r="H67" t="s">
        <v>74</v>
      </c>
      <c r="I67" t="s">
        <v>1470</v>
      </c>
      <c r="J67" t="s">
        <v>1275</v>
      </c>
      <c r="K67" t="s">
        <v>74</v>
      </c>
      <c r="L67" t="s">
        <v>74</v>
      </c>
      <c r="M67" t="s">
        <v>78</v>
      </c>
      <c r="N67" t="s">
        <v>338</v>
      </c>
      <c r="O67" t="s">
        <v>74</v>
      </c>
      <c r="P67" t="s">
        <v>74</v>
      </c>
      <c r="Q67" t="s">
        <v>74</v>
      </c>
      <c r="R67" t="s">
        <v>74</v>
      </c>
      <c r="S67" t="s">
        <v>74</v>
      </c>
      <c r="T67" t="s">
        <v>1471</v>
      </c>
      <c r="U67" t="s">
        <v>1472</v>
      </c>
      <c r="V67" t="s">
        <v>1473</v>
      </c>
      <c r="W67" t="s">
        <v>1474</v>
      </c>
      <c r="X67" t="s">
        <v>1475</v>
      </c>
      <c r="Y67" t="s">
        <v>1476</v>
      </c>
      <c r="Z67" t="s">
        <v>1477</v>
      </c>
      <c r="AA67" t="s">
        <v>74</v>
      </c>
      <c r="AB67" t="s">
        <v>74</v>
      </c>
      <c r="AC67" t="s">
        <v>1478</v>
      </c>
      <c r="AD67" t="s">
        <v>1479</v>
      </c>
      <c r="AE67" t="s">
        <v>1480</v>
      </c>
      <c r="AF67" t="s">
        <v>74</v>
      </c>
      <c r="AG67">
        <v>34</v>
      </c>
      <c r="AH67">
        <v>0</v>
      </c>
      <c r="AI67">
        <v>0</v>
      </c>
      <c r="AJ67">
        <v>0</v>
      </c>
      <c r="AK67">
        <v>0</v>
      </c>
      <c r="AL67" t="s">
        <v>87</v>
      </c>
      <c r="AM67" t="s">
        <v>88</v>
      </c>
      <c r="AN67" t="s">
        <v>89</v>
      </c>
      <c r="AO67" t="s">
        <v>1285</v>
      </c>
      <c r="AP67" t="s">
        <v>1286</v>
      </c>
      <c r="AQ67" t="s">
        <v>74</v>
      </c>
      <c r="AR67" t="s">
        <v>1287</v>
      </c>
      <c r="AS67" t="s">
        <v>1288</v>
      </c>
      <c r="AT67" t="s">
        <v>1437</v>
      </c>
      <c r="AU67">
        <v>2023</v>
      </c>
      <c r="AV67" t="s">
        <v>74</v>
      </c>
      <c r="AW67" t="s">
        <v>74</v>
      </c>
      <c r="AX67" t="s">
        <v>74</v>
      </c>
      <c r="AY67" t="s">
        <v>74</v>
      </c>
      <c r="AZ67" t="s">
        <v>74</v>
      </c>
      <c r="BA67" t="s">
        <v>74</v>
      </c>
      <c r="BB67" t="s">
        <v>74</v>
      </c>
      <c r="BC67" t="s">
        <v>74</v>
      </c>
      <c r="BD67" t="s">
        <v>74</v>
      </c>
      <c r="BE67" t="s">
        <v>1481</v>
      </c>
      <c r="BF67" t="str">
        <f>HYPERLINK("http://dx.doi.org/10.1002/mp.16753","http://dx.doi.org/10.1002/mp.16753")</f>
        <v>http://dx.doi.org/10.1002/mp.16753</v>
      </c>
      <c r="BG67" t="s">
        <v>74</v>
      </c>
      <c r="BH67" t="s">
        <v>407</v>
      </c>
      <c r="BI67">
        <v>14</v>
      </c>
      <c r="BJ67" t="s">
        <v>1290</v>
      </c>
      <c r="BK67" t="s">
        <v>119</v>
      </c>
      <c r="BL67" t="s">
        <v>1290</v>
      </c>
      <c r="BM67" t="s">
        <v>1482</v>
      </c>
      <c r="BN67">
        <v>37742344</v>
      </c>
      <c r="BO67" t="s">
        <v>122</v>
      </c>
      <c r="BP67" t="s">
        <v>74</v>
      </c>
      <c r="BQ67" t="s">
        <v>74</v>
      </c>
      <c r="BR67" t="s">
        <v>99</v>
      </c>
      <c r="BS67" t="s">
        <v>1483</v>
      </c>
      <c r="BT67" t="str">
        <f>HYPERLINK("https%3A%2F%2Fwww.webofscience.com%2Fwos%2Fwoscc%2Ffull-record%2FWOS:001070618300001","View Full Record in Web of Science")</f>
        <v>View Full Record in Web of Science</v>
      </c>
    </row>
    <row r="68" spans="1:72" x14ac:dyDescent="0.15">
      <c r="A68" t="s">
        <v>72</v>
      </c>
      <c r="B68" t="s">
        <v>1484</v>
      </c>
      <c r="C68" t="s">
        <v>74</v>
      </c>
      <c r="D68" t="s">
        <v>74</v>
      </c>
      <c r="E68" t="s">
        <v>74</v>
      </c>
      <c r="F68" t="s">
        <v>1485</v>
      </c>
      <c r="G68" t="s">
        <v>74</v>
      </c>
      <c r="H68" t="s">
        <v>74</v>
      </c>
      <c r="I68" t="s">
        <v>1486</v>
      </c>
      <c r="J68" t="s">
        <v>1168</v>
      </c>
      <c r="K68" t="s">
        <v>74</v>
      </c>
      <c r="L68" t="s">
        <v>74</v>
      </c>
      <c r="M68" t="s">
        <v>78</v>
      </c>
      <c r="N68" t="s">
        <v>338</v>
      </c>
      <c r="O68" t="s">
        <v>74</v>
      </c>
      <c r="P68" t="s">
        <v>74</v>
      </c>
      <c r="Q68" t="s">
        <v>74</v>
      </c>
      <c r="R68" t="s">
        <v>74</v>
      </c>
      <c r="S68" t="s">
        <v>74</v>
      </c>
      <c r="T68" t="s">
        <v>1487</v>
      </c>
      <c r="U68" t="s">
        <v>1488</v>
      </c>
      <c r="V68" t="s">
        <v>1489</v>
      </c>
      <c r="W68" t="s">
        <v>1490</v>
      </c>
      <c r="X68" t="s">
        <v>1491</v>
      </c>
      <c r="Y68" t="s">
        <v>1492</v>
      </c>
      <c r="Z68" t="s">
        <v>1493</v>
      </c>
      <c r="AA68" t="s">
        <v>74</v>
      </c>
      <c r="AB68" t="s">
        <v>74</v>
      </c>
      <c r="AC68" t="s">
        <v>1494</v>
      </c>
      <c r="AD68" t="s">
        <v>1495</v>
      </c>
      <c r="AE68" t="s">
        <v>1496</v>
      </c>
      <c r="AF68" t="s">
        <v>74</v>
      </c>
      <c r="AG68">
        <v>55</v>
      </c>
      <c r="AH68">
        <v>0</v>
      </c>
      <c r="AI68">
        <v>0</v>
      </c>
      <c r="AJ68">
        <v>0</v>
      </c>
      <c r="AK68">
        <v>0</v>
      </c>
      <c r="AL68" t="s">
        <v>426</v>
      </c>
      <c r="AM68" t="s">
        <v>427</v>
      </c>
      <c r="AN68" t="s">
        <v>428</v>
      </c>
      <c r="AO68" t="s">
        <v>1179</v>
      </c>
      <c r="AP68" t="s">
        <v>1180</v>
      </c>
      <c r="AQ68" t="s">
        <v>74</v>
      </c>
      <c r="AR68" t="s">
        <v>1181</v>
      </c>
      <c r="AS68" t="s">
        <v>1182</v>
      </c>
      <c r="AT68" t="s">
        <v>1437</v>
      </c>
      <c r="AU68">
        <v>2023</v>
      </c>
      <c r="AV68" t="s">
        <v>74</v>
      </c>
      <c r="AW68" t="s">
        <v>74</v>
      </c>
      <c r="AX68" t="s">
        <v>74</v>
      </c>
      <c r="AY68" t="s">
        <v>74</v>
      </c>
      <c r="AZ68" t="s">
        <v>74</v>
      </c>
      <c r="BA68" t="s">
        <v>74</v>
      </c>
      <c r="BB68" t="s">
        <v>74</v>
      </c>
      <c r="BC68" t="s">
        <v>74</v>
      </c>
      <c r="BD68" t="s">
        <v>74</v>
      </c>
      <c r="BE68" t="s">
        <v>1497</v>
      </c>
      <c r="BF68" t="str">
        <f>HYPERLINK("http://dx.doi.org/10.1002/aenm.202302288","http://dx.doi.org/10.1002/aenm.202302288")</f>
        <v>http://dx.doi.org/10.1002/aenm.202302288</v>
      </c>
      <c r="BG68" t="s">
        <v>74</v>
      </c>
      <c r="BH68" t="s">
        <v>407</v>
      </c>
      <c r="BI68">
        <v>16</v>
      </c>
      <c r="BJ68" t="s">
        <v>1185</v>
      </c>
      <c r="BK68" t="s">
        <v>119</v>
      </c>
      <c r="BL68" t="s">
        <v>1186</v>
      </c>
      <c r="BM68" t="s">
        <v>1498</v>
      </c>
      <c r="BN68" t="s">
        <v>74</v>
      </c>
      <c r="BO68" t="s">
        <v>74</v>
      </c>
      <c r="BP68" t="s">
        <v>74</v>
      </c>
      <c r="BQ68" t="s">
        <v>74</v>
      </c>
      <c r="BR68" t="s">
        <v>99</v>
      </c>
      <c r="BS68" t="s">
        <v>1499</v>
      </c>
      <c r="BT68" t="str">
        <f>HYPERLINK("https%3A%2F%2Fwww.webofscience.com%2Fwos%2Fwoscc%2Ffull-record%2FWOS:001068933500001","View Full Record in Web of Science")</f>
        <v>View Full Record in Web of Science</v>
      </c>
    </row>
    <row r="69" spans="1:72" x14ac:dyDescent="0.15">
      <c r="A69" t="s">
        <v>72</v>
      </c>
      <c r="B69" t="s">
        <v>1500</v>
      </c>
      <c r="C69" t="s">
        <v>74</v>
      </c>
      <c r="D69" t="s">
        <v>74</v>
      </c>
      <c r="E69" t="s">
        <v>74</v>
      </c>
      <c r="F69" t="s">
        <v>1501</v>
      </c>
      <c r="G69" t="s">
        <v>74</v>
      </c>
      <c r="H69" t="s">
        <v>74</v>
      </c>
      <c r="I69" t="s">
        <v>1502</v>
      </c>
      <c r="J69" t="s">
        <v>1503</v>
      </c>
      <c r="K69" t="s">
        <v>74</v>
      </c>
      <c r="L69" t="s">
        <v>74</v>
      </c>
      <c r="M69" t="s">
        <v>78</v>
      </c>
      <c r="N69" t="s">
        <v>338</v>
      </c>
      <c r="O69" t="s">
        <v>74</v>
      </c>
      <c r="P69" t="s">
        <v>74</v>
      </c>
      <c r="Q69" t="s">
        <v>74</v>
      </c>
      <c r="R69" t="s">
        <v>74</v>
      </c>
      <c r="S69" t="s">
        <v>74</v>
      </c>
      <c r="T69" t="s">
        <v>1504</v>
      </c>
      <c r="U69" t="s">
        <v>1505</v>
      </c>
      <c r="V69" t="s">
        <v>1506</v>
      </c>
      <c r="W69" t="s">
        <v>1507</v>
      </c>
      <c r="X69" t="s">
        <v>1508</v>
      </c>
      <c r="Y69" t="s">
        <v>1509</v>
      </c>
      <c r="Z69" t="s">
        <v>1510</v>
      </c>
      <c r="AA69" t="s">
        <v>74</v>
      </c>
      <c r="AB69" t="s">
        <v>74</v>
      </c>
      <c r="AC69" t="s">
        <v>1511</v>
      </c>
      <c r="AD69" t="s">
        <v>1511</v>
      </c>
      <c r="AE69" t="s">
        <v>1511</v>
      </c>
      <c r="AF69" t="s">
        <v>74</v>
      </c>
      <c r="AG69">
        <v>32</v>
      </c>
      <c r="AH69">
        <v>0</v>
      </c>
      <c r="AI69">
        <v>0</v>
      </c>
      <c r="AJ69">
        <v>0</v>
      </c>
      <c r="AK69">
        <v>0</v>
      </c>
      <c r="AL69" t="s">
        <v>87</v>
      </c>
      <c r="AM69" t="s">
        <v>88</v>
      </c>
      <c r="AN69" t="s">
        <v>89</v>
      </c>
      <c r="AO69" t="s">
        <v>1512</v>
      </c>
      <c r="AP69" t="s">
        <v>1513</v>
      </c>
      <c r="AQ69" t="s">
        <v>74</v>
      </c>
      <c r="AR69" t="s">
        <v>1514</v>
      </c>
      <c r="AS69" t="s">
        <v>1515</v>
      </c>
      <c r="AT69" t="s">
        <v>1437</v>
      </c>
      <c r="AU69">
        <v>2023</v>
      </c>
      <c r="AV69" t="s">
        <v>74</v>
      </c>
      <c r="AW69" t="s">
        <v>74</v>
      </c>
      <c r="AX69" t="s">
        <v>74</v>
      </c>
      <c r="AY69" t="s">
        <v>74</v>
      </c>
      <c r="AZ69" t="s">
        <v>74</v>
      </c>
      <c r="BA69" t="s">
        <v>74</v>
      </c>
      <c r="BB69" t="s">
        <v>74</v>
      </c>
      <c r="BC69" t="s">
        <v>74</v>
      </c>
      <c r="BD69" t="s">
        <v>74</v>
      </c>
      <c r="BE69" t="s">
        <v>1516</v>
      </c>
      <c r="BF69" t="str">
        <f>HYPERLINK("http://dx.doi.org/10.1002/qre.3454","http://dx.doi.org/10.1002/qre.3454")</f>
        <v>http://dx.doi.org/10.1002/qre.3454</v>
      </c>
      <c r="BG69" t="s">
        <v>74</v>
      </c>
      <c r="BH69" t="s">
        <v>407</v>
      </c>
      <c r="BI69">
        <v>16</v>
      </c>
      <c r="BJ69" t="s">
        <v>1517</v>
      </c>
      <c r="BK69" t="s">
        <v>119</v>
      </c>
      <c r="BL69" t="s">
        <v>1518</v>
      </c>
      <c r="BM69" t="s">
        <v>1519</v>
      </c>
      <c r="BN69" t="s">
        <v>74</v>
      </c>
      <c r="BO69" t="s">
        <v>74</v>
      </c>
      <c r="BP69" t="s">
        <v>74</v>
      </c>
      <c r="BQ69" t="s">
        <v>74</v>
      </c>
      <c r="BR69" t="s">
        <v>99</v>
      </c>
      <c r="BS69" t="s">
        <v>1520</v>
      </c>
      <c r="BT69" t="str">
        <f>HYPERLINK("https%3A%2F%2Fwww.webofscience.com%2Fwos%2Fwoscc%2Ffull-record%2FWOS:001070659500001","View Full Record in Web of Science")</f>
        <v>View Full Record in Web of Science</v>
      </c>
    </row>
    <row r="70" spans="1:72" x14ac:dyDescent="0.15">
      <c r="A70" t="s">
        <v>72</v>
      </c>
      <c r="B70" t="s">
        <v>1521</v>
      </c>
      <c r="C70" t="s">
        <v>74</v>
      </c>
      <c r="D70" t="s">
        <v>74</v>
      </c>
      <c r="E70" t="s">
        <v>74</v>
      </c>
      <c r="F70" t="s">
        <v>1522</v>
      </c>
      <c r="G70" t="s">
        <v>74</v>
      </c>
      <c r="H70" t="s">
        <v>74</v>
      </c>
      <c r="I70" t="s">
        <v>1523</v>
      </c>
      <c r="J70" t="s">
        <v>1524</v>
      </c>
      <c r="K70" t="s">
        <v>74</v>
      </c>
      <c r="L70" t="s">
        <v>74</v>
      </c>
      <c r="M70" t="s">
        <v>78</v>
      </c>
      <c r="N70" t="s">
        <v>594</v>
      </c>
      <c r="O70" t="s">
        <v>74</v>
      </c>
      <c r="P70" t="s">
        <v>74</v>
      </c>
      <c r="Q70" t="s">
        <v>74</v>
      </c>
      <c r="R70" t="s">
        <v>74</v>
      </c>
      <c r="S70" t="s">
        <v>74</v>
      </c>
      <c r="T70" t="s">
        <v>1525</v>
      </c>
      <c r="U70" t="s">
        <v>1526</v>
      </c>
      <c r="V70" t="s">
        <v>1527</v>
      </c>
      <c r="W70" t="s">
        <v>1528</v>
      </c>
      <c r="X70" t="s">
        <v>1529</v>
      </c>
      <c r="Y70" t="s">
        <v>1530</v>
      </c>
      <c r="Z70" t="s">
        <v>1531</v>
      </c>
      <c r="AA70" t="s">
        <v>74</v>
      </c>
      <c r="AB70" t="s">
        <v>1532</v>
      </c>
      <c r="AC70" t="s">
        <v>1533</v>
      </c>
      <c r="AD70" t="s">
        <v>1533</v>
      </c>
      <c r="AE70" t="s">
        <v>1533</v>
      </c>
      <c r="AF70" t="s">
        <v>74</v>
      </c>
      <c r="AG70">
        <v>108</v>
      </c>
      <c r="AH70">
        <v>0</v>
      </c>
      <c r="AI70">
        <v>0</v>
      </c>
      <c r="AJ70">
        <v>0</v>
      </c>
      <c r="AK70">
        <v>0</v>
      </c>
      <c r="AL70" t="s">
        <v>87</v>
      </c>
      <c r="AM70" t="s">
        <v>88</v>
      </c>
      <c r="AN70" t="s">
        <v>89</v>
      </c>
      <c r="AO70" t="s">
        <v>1534</v>
      </c>
      <c r="AP70" t="s">
        <v>1535</v>
      </c>
      <c r="AQ70" t="s">
        <v>74</v>
      </c>
      <c r="AR70" t="s">
        <v>1536</v>
      </c>
      <c r="AS70" t="s">
        <v>1537</v>
      </c>
      <c r="AT70" t="s">
        <v>1437</v>
      </c>
      <c r="AU70">
        <v>2023</v>
      </c>
      <c r="AV70" t="s">
        <v>74</v>
      </c>
      <c r="AW70" t="s">
        <v>74</v>
      </c>
      <c r="AX70" t="s">
        <v>74</v>
      </c>
      <c r="AY70" t="s">
        <v>74</v>
      </c>
      <c r="AZ70" t="s">
        <v>74</v>
      </c>
      <c r="BA70" t="s">
        <v>74</v>
      </c>
      <c r="BB70" t="s">
        <v>74</v>
      </c>
      <c r="BC70" t="s">
        <v>74</v>
      </c>
      <c r="BD70" t="s">
        <v>74</v>
      </c>
      <c r="BE70" t="s">
        <v>1538</v>
      </c>
      <c r="BF70" t="str">
        <f>HYPERLINK("http://dx.doi.org/10.1002/ajim.23540","http://dx.doi.org/10.1002/ajim.23540")</f>
        <v>http://dx.doi.org/10.1002/ajim.23540</v>
      </c>
      <c r="BG70" t="s">
        <v>74</v>
      </c>
      <c r="BH70" t="s">
        <v>407</v>
      </c>
      <c r="BI70">
        <v>15</v>
      </c>
      <c r="BJ70" t="s">
        <v>1539</v>
      </c>
      <c r="BK70" t="s">
        <v>119</v>
      </c>
      <c r="BL70" t="s">
        <v>1539</v>
      </c>
      <c r="BM70" t="s">
        <v>1540</v>
      </c>
      <c r="BN70">
        <v>37742097</v>
      </c>
      <c r="BO70" t="s">
        <v>74</v>
      </c>
      <c r="BP70" t="s">
        <v>74</v>
      </c>
      <c r="BQ70" t="s">
        <v>74</v>
      </c>
      <c r="BR70" t="s">
        <v>99</v>
      </c>
      <c r="BS70" t="s">
        <v>1541</v>
      </c>
      <c r="BT70" t="str">
        <f>HYPERLINK("https%3A%2F%2Fwww.webofscience.com%2Fwos%2Fwoscc%2Ffull-record%2FWOS:001068835300001","View Full Record in Web of Science")</f>
        <v>View Full Record in Web of Science</v>
      </c>
    </row>
    <row r="71" spans="1:72" x14ac:dyDescent="0.15">
      <c r="A71" t="s">
        <v>72</v>
      </c>
      <c r="B71" t="s">
        <v>1542</v>
      </c>
      <c r="C71" t="s">
        <v>74</v>
      </c>
      <c r="D71" t="s">
        <v>74</v>
      </c>
      <c r="E71" t="s">
        <v>74</v>
      </c>
      <c r="F71" t="s">
        <v>1543</v>
      </c>
      <c r="G71" t="s">
        <v>74</v>
      </c>
      <c r="H71" t="s">
        <v>74</v>
      </c>
      <c r="I71" t="s">
        <v>1544</v>
      </c>
      <c r="J71" t="s">
        <v>1545</v>
      </c>
      <c r="K71" t="s">
        <v>74</v>
      </c>
      <c r="L71" t="s">
        <v>74</v>
      </c>
      <c r="M71" t="s">
        <v>78</v>
      </c>
      <c r="N71" t="s">
        <v>338</v>
      </c>
      <c r="O71" t="s">
        <v>74</v>
      </c>
      <c r="P71" t="s">
        <v>74</v>
      </c>
      <c r="Q71" t="s">
        <v>74</v>
      </c>
      <c r="R71" t="s">
        <v>74</v>
      </c>
      <c r="S71" t="s">
        <v>74</v>
      </c>
      <c r="T71" t="s">
        <v>74</v>
      </c>
      <c r="U71" t="s">
        <v>1546</v>
      </c>
      <c r="V71" t="s">
        <v>74</v>
      </c>
      <c r="W71" t="s">
        <v>1547</v>
      </c>
      <c r="X71" t="s">
        <v>1548</v>
      </c>
      <c r="Y71" t="s">
        <v>1549</v>
      </c>
      <c r="Z71" t="s">
        <v>1550</v>
      </c>
      <c r="AA71" t="s">
        <v>1551</v>
      </c>
      <c r="AB71" t="s">
        <v>1552</v>
      </c>
      <c r="AC71" t="s">
        <v>1553</v>
      </c>
      <c r="AD71" t="s">
        <v>1554</v>
      </c>
      <c r="AE71" t="s">
        <v>1555</v>
      </c>
      <c r="AF71" t="s">
        <v>74</v>
      </c>
      <c r="AG71">
        <v>9</v>
      </c>
      <c r="AH71">
        <v>0</v>
      </c>
      <c r="AI71">
        <v>0</v>
      </c>
      <c r="AJ71">
        <v>0</v>
      </c>
      <c r="AK71">
        <v>0</v>
      </c>
      <c r="AL71" t="s">
        <v>87</v>
      </c>
      <c r="AM71" t="s">
        <v>88</v>
      </c>
      <c r="AN71" t="s">
        <v>89</v>
      </c>
      <c r="AO71" t="s">
        <v>1556</v>
      </c>
      <c r="AP71" t="s">
        <v>1557</v>
      </c>
      <c r="AQ71" t="s">
        <v>74</v>
      </c>
      <c r="AR71" t="s">
        <v>1545</v>
      </c>
      <c r="AS71" t="s">
        <v>1558</v>
      </c>
      <c r="AT71" t="s">
        <v>1559</v>
      </c>
      <c r="AU71">
        <v>2023</v>
      </c>
      <c r="AV71" t="s">
        <v>74</v>
      </c>
      <c r="AW71" t="s">
        <v>74</v>
      </c>
      <c r="AX71" t="s">
        <v>74</v>
      </c>
      <c r="AY71" t="s">
        <v>74</v>
      </c>
      <c r="AZ71" t="s">
        <v>74</v>
      </c>
      <c r="BA71" t="s">
        <v>74</v>
      </c>
      <c r="BB71" t="s">
        <v>74</v>
      </c>
      <c r="BC71" t="s">
        <v>74</v>
      </c>
      <c r="BD71" t="s">
        <v>74</v>
      </c>
      <c r="BE71" t="s">
        <v>1560</v>
      </c>
      <c r="BF71" t="str">
        <f>HYPERLINK("http://dx.doi.org/10.1111/head.14630","http://dx.doi.org/10.1111/head.14630")</f>
        <v>http://dx.doi.org/10.1111/head.14630</v>
      </c>
      <c r="BG71" t="s">
        <v>74</v>
      </c>
      <c r="BH71" t="s">
        <v>407</v>
      </c>
      <c r="BI71">
        <v>3</v>
      </c>
      <c r="BJ71" t="s">
        <v>1561</v>
      </c>
      <c r="BK71" t="s">
        <v>119</v>
      </c>
      <c r="BL71" t="s">
        <v>1562</v>
      </c>
      <c r="BM71" t="s">
        <v>1563</v>
      </c>
      <c r="BN71">
        <v>37740579</v>
      </c>
      <c r="BO71" t="s">
        <v>122</v>
      </c>
      <c r="BP71" t="s">
        <v>74</v>
      </c>
      <c r="BQ71" t="s">
        <v>74</v>
      </c>
      <c r="BR71" t="s">
        <v>99</v>
      </c>
      <c r="BS71" t="s">
        <v>1564</v>
      </c>
      <c r="BT71" t="str">
        <f>HYPERLINK("https%3A%2F%2Fwww.webofscience.com%2Fwos%2Fwoscc%2Ffull-record%2FWOS:001070324000001","View Full Record in Web of Science")</f>
        <v>View Full Record in Web of Science</v>
      </c>
    </row>
    <row r="72" spans="1:72" x14ac:dyDescent="0.15">
      <c r="A72" t="s">
        <v>72</v>
      </c>
      <c r="B72" t="s">
        <v>1565</v>
      </c>
      <c r="C72" t="s">
        <v>74</v>
      </c>
      <c r="D72" t="s">
        <v>74</v>
      </c>
      <c r="E72" t="s">
        <v>74</v>
      </c>
      <c r="F72" t="s">
        <v>1566</v>
      </c>
      <c r="G72" t="s">
        <v>74</v>
      </c>
      <c r="H72" t="s">
        <v>74</v>
      </c>
      <c r="I72" t="s">
        <v>1567</v>
      </c>
      <c r="J72" t="s">
        <v>1568</v>
      </c>
      <c r="K72" t="s">
        <v>74</v>
      </c>
      <c r="L72" t="s">
        <v>74</v>
      </c>
      <c r="M72" t="s">
        <v>78</v>
      </c>
      <c r="N72" t="s">
        <v>338</v>
      </c>
      <c r="O72" t="s">
        <v>74</v>
      </c>
      <c r="P72" t="s">
        <v>74</v>
      </c>
      <c r="Q72" t="s">
        <v>74</v>
      </c>
      <c r="R72" t="s">
        <v>74</v>
      </c>
      <c r="S72" t="s">
        <v>74</v>
      </c>
      <c r="T72" t="s">
        <v>1569</v>
      </c>
      <c r="U72" t="s">
        <v>1570</v>
      </c>
      <c r="V72" t="s">
        <v>1571</v>
      </c>
      <c r="W72" t="s">
        <v>1572</v>
      </c>
      <c r="X72" t="s">
        <v>1573</v>
      </c>
      <c r="Y72" t="s">
        <v>1574</v>
      </c>
      <c r="Z72" t="s">
        <v>1575</v>
      </c>
      <c r="AA72" t="s">
        <v>74</v>
      </c>
      <c r="AB72" t="s">
        <v>1576</v>
      </c>
      <c r="AC72" t="s">
        <v>1577</v>
      </c>
      <c r="AD72" t="s">
        <v>1577</v>
      </c>
      <c r="AE72" t="s">
        <v>1577</v>
      </c>
      <c r="AF72" t="s">
        <v>74</v>
      </c>
      <c r="AG72">
        <v>58</v>
      </c>
      <c r="AH72">
        <v>0</v>
      </c>
      <c r="AI72">
        <v>0</v>
      </c>
      <c r="AJ72">
        <v>0</v>
      </c>
      <c r="AK72">
        <v>0</v>
      </c>
      <c r="AL72" t="s">
        <v>87</v>
      </c>
      <c r="AM72" t="s">
        <v>88</v>
      </c>
      <c r="AN72" t="s">
        <v>89</v>
      </c>
      <c r="AO72" t="s">
        <v>1578</v>
      </c>
      <c r="AP72" t="s">
        <v>74</v>
      </c>
      <c r="AQ72" t="s">
        <v>74</v>
      </c>
      <c r="AR72" t="s">
        <v>1579</v>
      </c>
      <c r="AS72" t="s">
        <v>1580</v>
      </c>
      <c r="AT72" t="s">
        <v>1559</v>
      </c>
      <c r="AU72">
        <v>2023</v>
      </c>
      <c r="AV72" t="s">
        <v>74</v>
      </c>
      <c r="AW72" t="s">
        <v>74</v>
      </c>
      <c r="AX72" t="s">
        <v>74</v>
      </c>
      <c r="AY72" t="s">
        <v>74</v>
      </c>
      <c r="AZ72" t="s">
        <v>74</v>
      </c>
      <c r="BA72" t="s">
        <v>74</v>
      </c>
      <c r="BB72" t="s">
        <v>74</v>
      </c>
      <c r="BC72" t="s">
        <v>74</v>
      </c>
      <c r="BD72" t="s">
        <v>74</v>
      </c>
      <c r="BE72" t="s">
        <v>1581</v>
      </c>
      <c r="BF72" t="str">
        <f>HYPERLINK("http://dx.doi.org/10.1002/cam4.6587","http://dx.doi.org/10.1002/cam4.6587")</f>
        <v>http://dx.doi.org/10.1002/cam4.6587</v>
      </c>
      <c r="BG72" t="s">
        <v>74</v>
      </c>
      <c r="BH72" t="s">
        <v>407</v>
      </c>
      <c r="BI72">
        <v>13</v>
      </c>
      <c r="BJ72" t="s">
        <v>789</v>
      </c>
      <c r="BK72" t="s">
        <v>119</v>
      </c>
      <c r="BL72" t="s">
        <v>789</v>
      </c>
      <c r="BM72" t="s">
        <v>1582</v>
      </c>
      <c r="BN72">
        <v>37740609</v>
      </c>
      <c r="BO72" t="s">
        <v>234</v>
      </c>
      <c r="BP72" t="s">
        <v>74</v>
      </c>
      <c r="BQ72" t="s">
        <v>74</v>
      </c>
      <c r="BR72" t="s">
        <v>99</v>
      </c>
      <c r="BS72" t="s">
        <v>1583</v>
      </c>
      <c r="BT72" t="str">
        <f>HYPERLINK("https%3A%2F%2Fwww.webofscience.com%2Fwos%2Fwoscc%2Ffull-record%2FWOS:001068503300001","View Full Record in Web of Science")</f>
        <v>View Full Record in Web of Science</v>
      </c>
    </row>
    <row r="73" spans="1:72" x14ac:dyDescent="0.15">
      <c r="A73" t="s">
        <v>72</v>
      </c>
      <c r="B73" t="s">
        <v>1584</v>
      </c>
      <c r="C73" t="s">
        <v>74</v>
      </c>
      <c r="D73" t="s">
        <v>74</v>
      </c>
      <c r="E73" t="s">
        <v>74</v>
      </c>
      <c r="F73" t="s">
        <v>1585</v>
      </c>
      <c r="G73" t="s">
        <v>74</v>
      </c>
      <c r="H73" t="s">
        <v>74</v>
      </c>
      <c r="I73" t="s">
        <v>1586</v>
      </c>
      <c r="J73" t="s">
        <v>1587</v>
      </c>
      <c r="K73" t="s">
        <v>74</v>
      </c>
      <c r="L73" t="s">
        <v>74</v>
      </c>
      <c r="M73" t="s">
        <v>78</v>
      </c>
      <c r="N73" t="s">
        <v>338</v>
      </c>
      <c r="O73" t="s">
        <v>74</v>
      </c>
      <c r="P73" t="s">
        <v>74</v>
      </c>
      <c r="Q73" t="s">
        <v>74</v>
      </c>
      <c r="R73" t="s">
        <v>74</v>
      </c>
      <c r="S73" t="s">
        <v>74</v>
      </c>
      <c r="T73" t="s">
        <v>1588</v>
      </c>
      <c r="U73" t="s">
        <v>1589</v>
      </c>
      <c r="V73" t="s">
        <v>1590</v>
      </c>
      <c r="W73" t="s">
        <v>1591</v>
      </c>
      <c r="X73" t="s">
        <v>1592</v>
      </c>
      <c r="Y73" t="s">
        <v>1593</v>
      </c>
      <c r="Z73" t="s">
        <v>1594</v>
      </c>
      <c r="AA73" t="s">
        <v>1595</v>
      </c>
      <c r="AB73" t="s">
        <v>1596</v>
      </c>
      <c r="AC73" t="s">
        <v>1597</v>
      </c>
      <c r="AD73" t="s">
        <v>1597</v>
      </c>
      <c r="AE73" t="s">
        <v>1598</v>
      </c>
      <c r="AF73" t="s">
        <v>74</v>
      </c>
      <c r="AG73">
        <v>26</v>
      </c>
      <c r="AH73">
        <v>0</v>
      </c>
      <c r="AI73">
        <v>0</v>
      </c>
      <c r="AJ73">
        <v>0</v>
      </c>
      <c r="AK73">
        <v>0</v>
      </c>
      <c r="AL73" t="s">
        <v>87</v>
      </c>
      <c r="AM73" t="s">
        <v>88</v>
      </c>
      <c r="AN73" t="s">
        <v>89</v>
      </c>
      <c r="AO73" t="s">
        <v>1599</v>
      </c>
      <c r="AP73" t="s">
        <v>1600</v>
      </c>
      <c r="AQ73" t="s">
        <v>74</v>
      </c>
      <c r="AR73" t="s">
        <v>1601</v>
      </c>
      <c r="AS73" t="s">
        <v>1602</v>
      </c>
      <c r="AT73" t="s">
        <v>1559</v>
      </c>
      <c r="AU73">
        <v>2023</v>
      </c>
      <c r="AV73" t="s">
        <v>74</v>
      </c>
      <c r="AW73" t="s">
        <v>74</v>
      </c>
      <c r="AX73" t="s">
        <v>74</v>
      </c>
      <c r="AY73" t="s">
        <v>74</v>
      </c>
      <c r="AZ73" t="s">
        <v>74</v>
      </c>
      <c r="BA73" t="s">
        <v>74</v>
      </c>
      <c r="BB73" t="s">
        <v>74</v>
      </c>
      <c r="BC73" t="s">
        <v>74</v>
      </c>
      <c r="BD73" t="s">
        <v>74</v>
      </c>
      <c r="BE73" t="s">
        <v>1603</v>
      </c>
      <c r="BF73" t="str">
        <f>HYPERLINK("http://dx.doi.org/10.1111/1756-185X.14926","http://dx.doi.org/10.1111/1756-185X.14926")</f>
        <v>http://dx.doi.org/10.1111/1756-185X.14926</v>
      </c>
      <c r="BG73" t="s">
        <v>74</v>
      </c>
      <c r="BH73" t="s">
        <v>407</v>
      </c>
      <c r="BI73">
        <v>9</v>
      </c>
      <c r="BJ73" t="s">
        <v>1604</v>
      </c>
      <c r="BK73" t="s">
        <v>119</v>
      </c>
      <c r="BL73" t="s">
        <v>1604</v>
      </c>
      <c r="BM73" t="s">
        <v>1605</v>
      </c>
      <c r="BN73">
        <v>37740642</v>
      </c>
      <c r="BO73" t="s">
        <v>122</v>
      </c>
      <c r="BP73" t="s">
        <v>74</v>
      </c>
      <c r="BQ73" t="s">
        <v>74</v>
      </c>
      <c r="BR73" t="s">
        <v>99</v>
      </c>
      <c r="BS73" t="s">
        <v>1606</v>
      </c>
      <c r="BT73" t="str">
        <f>HYPERLINK("https%3A%2F%2Fwww.webofscience.com%2Fwos%2Fwoscc%2Ffull-record%2FWOS:001070741100001","View Full Record in Web of Science")</f>
        <v>View Full Record in Web of Science</v>
      </c>
    </row>
    <row r="74" spans="1:72" x14ac:dyDescent="0.15">
      <c r="A74" t="s">
        <v>72</v>
      </c>
      <c r="B74" t="s">
        <v>1607</v>
      </c>
      <c r="C74" t="s">
        <v>74</v>
      </c>
      <c r="D74" t="s">
        <v>74</v>
      </c>
      <c r="E74" t="s">
        <v>74</v>
      </c>
      <c r="F74" t="s">
        <v>1608</v>
      </c>
      <c r="G74" t="s">
        <v>74</v>
      </c>
      <c r="H74" t="s">
        <v>74</v>
      </c>
      <c r="I74" t="s">
        <v>1609</v>
      </c>
      <c r="J74" t="s">
        <v>1610</v>
      </c>
      <c r="K74" t="s">
        <v>74</v>
      </c>
      <c r="L74" t="s">
        <v>74</v>
      </c>
      <c r="M74" t="s">
        <v>78</v>
      </c>
      <c r="N74" t="s">
        <v>338</v>
      </c>
      <c r="O74" t="s">
        <v>74</v>
      </c>
      <c r="P74" t="s">
        <v>74</v>
      </c>
      <c r="Q74" t="s">
        <v>74</v>
      </c>
      <c r="R74" t="s">
        <v>74</v>
      </c>
      <c r="S74" t="s">
        <v>74</v>
      </c>
      <c r="T74" t="s">
        <v>74</v>
      </c>
      <c r="U74" t="s">
        <v>1611</v>
      </c>
      <c r="V74" t="s">
        <v>1612</v>
      </c>
      <c r="W74" t="s">
        <v>1613</v>
      </c>
      <c r="X74" t="s">
        <v>74</v>
      </c>
      <c r="Y74" t="s">
        <v>1614</v>
      </c>
      <c r="Z74" t="s">
        <v>1615</v>
      </c>
      <c r="AA74" t="s">
        <v>74</v>
      </c>
      <c r="AB74" t="s">
        <v>1616</v>
      </c>
      <c r="AC74" t="s">
        <v>1617</v>
      </c>
      <c r="AD74" t="s">
        <v>1618</v>
      </c>
      <c r="AE74" t="s">
        <v>1619</v>
      </c>
      <c r="AF74" t="s">
        <v>74</v>
      </c>
      <c r="AG74">
        <v>31</v>
      </c>
      <c r="AH74">
        <v>0</v>
      </c>
      <c r="AI74">
        <v>0</v>
      </c>
      <c r="AJ74">
        <v>0</v>
      </c>
      <c r="AK74">
        <v>0</v>
      </c>
      <c r="AL74" t="s">
        <v>87</v>
      </c>
      <c r="AM74" t="s">
        <v>88</v>
      </c>
      <c r="AN74" t="s">
        <v>89</v>
      </c>
      <c r="AO74" t="s">
        <v>1620</v>
      </c>
      <c r="AP74" t="s">
        <v>1621</v>
      </c>
      <c r="AQ74" t="s">
        <v>74</v>
      </c>
      <c r="AR74" t="s">
        <v>1622</v>
      </c>
      <c r="AS74" t="s">
        <v>1623</v>
      </c>
      <c r="AT74" t="s">
        <v>1559</v>
      </c>
      <c r="AU74">
        <v>2023</v>
      </c>
      <c r="AV74" t="s">
        <v>74</v>
      </c>
      <c r="AW74" t="s">
        <v>74</v>
      </c>
      <c r="AX74" t="s">
        <v>74</v>
      </c>
      <c r="AY74" t="s">
        <v>74</v>
      </c>
      <c r="AZ74" t="s">
        <v>74</v>
      </c>
      <c r="BA74" t="s">
        <v>74</v>
      </c>
      <c r="BB74" t="s">
        <v>74</v>
      </c>
      <c r="BC74" t="s">
        <v>74</v>
      </c>
      <c r="BD74" t="s">
        <v>74</v>
      </c>
      <c r="BE74" t="s">
        <v>1624</v>
      </c>
      <c r="BF74" t="str">
        <f>HYPERLINK("http://dx.doi.org/10.1002/ajh.27094","http://dx.doi.org/10.1002/ajh.27094")</f>
        <v>http://dx.doi.org/10.1002/ajh.27094</v>
      </c>
      <c r="BG74" t="s">
        <v>74</v>
      </c>
      <c r="BH74" t="s">
        <v>407</v>
      </c>
      <c r="BI74">
        <v>11</v>
      </c>
      <c r="BJ74" t="s">
        <v>1625</v>
      </c>
      <c r="BK74" t="s">
        <v>119</v>
      </c>
      <c r="BL74" t="s">
        <v>1625</v>
      </c>
      <c r="BM74" t="s">
        <v>1626</v>
      </c>
      <c r="BN74">
        <v>37740926</v>
      </c>
      <c r="BO74" t="s">
        <v>74</v>
      </c>
      <c r="BP74" t="s">
        <v>74</v>
      </c>
      <c r="BQ74" t="s">
        <v>74</v>
      </c>
      <c r="BR74" t="s">
        <v>99</v>
      </c>
      <c r="BS74" t="s">
        <v>1627</v>
      </c>
      <c r="BT74" t="str">
        <f>HYPERLINK("https%3A%2F%2Fwww.webofscience.com%2Fwos%2Fwoscc%2Ffull-record%2FWOS:001070562500001","View Full Record in Web of Science")</f>
        <v>View Full Record in Web of Science</v>
      </c>
    </row>
    <row r="75" spans="1:72" x14ac:dyDescent="0.15">
      <c r="A75" t="s">
        <v>72</v>
      </c>
      <c r="B75" t="s">
        <v>1628</v>
      </c>
      <c r="C75" t="s">
        <v>74</v>
      </c>
      <c r="D75" t="s">
        <v>74</v>
      </c>
      <c r="E75" t="s">
        <v>74</v>
      </c>
      <c r="F75" t="s">
        <v>1629</v>
      </c>
      <c r="G75" t="s">
        <v>74</v>
      </c>
      <c r="H75" t="s">
        <v>74</v>
      </c>
      <c r="I75" t="s">
        <v>1630</v>
      </c>
      <c r="J75" t="s">
        <v>1631</v>
      </c>
      <c r="K75" t="s">
        <v>74</v>
      </c>
      <c r="L75" t="s">
        <v>74</v>
      </c>
      <c r="M75" t="s">
        <v>78</v>
      </c>
      <c r="N75" t="s">
        <v>338</v>
      </c>
      <c r="O75" t="s">
        <v>74</v>
      </c>
      <c r="P75" t="s">
        <v>74</v>
      </c>
      <c r="Q75" t="s">
        <v>74</v>
      </c>
      <c r="R75" t="s">
        <v>74</v>
      </c>
      <c r="S75" t="s">
        <v>74</v>
      </c>
      <c r="T75" t="s">
        <v>1632</v>
      </c>
      <c r="U75" t="s">
        <v>1633</v>
      </c>
      <c r="V75" t="s">
        <v>1634</v>
      </c>
      <c r="W75" t="s">
        <v>1635</v>
      </c>
      <c r="X75" t="s">
        <v>1636</v>
      </c>
      <c r="Y75" t="s">
        <v>1637</v>
      </c>
      <c r="Z75" t="s">
        <v>1638</v>
      </c>
      <c r="AA75" t="s">
        <v>1639</v>
      </c>
      <c r="AB75" t="s">
        <v>1640</v>
      </c>
      <c r="AC75" t="s">
        <v>1641</v>
      </c>
      <c r="AD75" t="s">
        <v>1642</v>
      </c>
      <c r="AE75" t="s">
        <v>1643</v>
      </c>
      <c r="AF75" t="s">
        <v>74</v>
      </c>
      <c r="AG75">
        <v>51</v>
      </c>
      <c r="AH75">
        <v>0</v>
      </c>
      <c r="AI75">
        <v>0</v>
      </c>
      <c r="AJ75">
        <v>2</v>
      </c>
      <c r="AK75">
        <v>2</v>
      </c>
      <c r="AL75" t="s">
        <v>426</v>
      </c>
      <c r="AM75" t="s">
        <v>427</v>
      </c>
      <c r="AN75" t="s">
        <v>428</v>
      </c>
      <c r="AO75" t="s">
        <v>1644</v>
      </c>
      <c r="AP75" t="s">
        <v>1645</v>
      </c>
      <c r="AQ75" t="s">
        <v>74</v>
      </c>
      <c r="AR75" t="s">
        <v>1631</v>
      </c>
      <c r="AS75" t="s">
        <v>1646</v>
      </c>
      <c r="AT75" t="s">
        <v>1647</v>
      </c>
      <c r="AU75">
        <v>2023</v>
      </c>
      <c r="AV75" t="s">
        <v>74</v>
      </c>
      <c r="AW75" t="s">
        <v>74</v>
      </c>
      <c r="AX75" t="s">
        <v>74</v>
      </c>
      <c r="AY75" t="s">
        <v>74</v>
      </c>
      <c r="AZ75" t="s">
        <v>74</v>
      </c>
      <c r="BA75" t="s">
        <v>74</v>
      </c>
      <c r="BB75" t="s">
        <v>74</v>
      </c>
      <c r="BC75" t="s">
        <v>74</v>
      </c>
      <c r="BD75" t="s">
        <v>74</v>
      </c>
      <c r="BE75" t="s">
        <v>1648</v>
      </c>
      <c r="BF75" t="str">
        <f>HYPERLINK("http://dx.doi.org/10.1002/cphc.202300294","http://dx.doi.org/10.1002/cphc.202300294")</f>
        <v>http://dx.doi.org/10.1002/cphc.202300294</v>
      </c>
      <c r="BG75" t="s">
        <v>74</v>
      </c>
      <c r="BH75" t="s">
        <v>407</v>
      </c>
      <c r="BI75">
        <v>8</v>
      </c>
      <c r="BJ75" t="s">
        <v>1649</v>
      </c>
      <c r="BK75" t="s">
        <v>119</v>
      </c>
      <c r="BL75" t="s">
        <v>1650</v>
      </c>
      <c r="BM75" t="s">
        <v>1651</v>
      </c>
      <c r="BN75">
        <v>37640688</v>
      </c>
      <c r="BO75" t="s">
        <v>74</v>
      </c>
      <c r="BP75" t="s">
        <v>74</v>
      </c>
      <c r="BQ75" t="s">
        <v>74</v>
      </c>
      <c r="BR75" t="s">
        <v>99</v>
      </c>
      <c r="BS75" t="s">
        <v>1652</v>
      </c>
      <c r="BT75" t="str">
        <f>HYPERLINK("https%3A%2F%2Fwww.webofscience.com%2Fwos%2Fwoscc%2Ffull-record%2FWOS:001069540800001","View Full Record in Web of Science")</f>
        <v>View Full Record in Web of Science</v>
      </c>
    </row>
    <row r="76" spans="1:72" x14ac:dyDescent="0.15">
      <c r="A76" t="s">
        <v>72</v>
      </c>
      <c r="B76" t="s">
        <v>1653</v>
      </c>
      <c r="C76" t="s">
        <v>74</v>
      </c>
      <c r="D76" t="s">
        <v>74</v>
      </c>
      <c r="E76" t="s">
        <v>74</v>
      </c>
      <c r="F76" t="s">
        <v>1654</v>
      </c>
      <c r="G76" t="s">
        <v>74</v>
      </c>
      <c r="H76" t="s">
        <v>74</v>
      </c>
      <c r="I76" t="s">
        <v>1655</v>
      </c>
      <c r="J76" t="s">
        <v>1656</v>
      </c>
      <c r="K76" t="s">
        <v>74</v>
      </c>
      <c r="L76" t="s">
        <v>74</v>
      </c>
      <c r="M76" t="s">
        <v>78</v>
      </c>
      <c r="N76" t="s">
        <v>338</v>
      </c>
      <c r="O76" t="s">
        <v>74</v>
      </c>
      <c r="P76" t="s">
        <v>74</v>
      </c>
      <c r="Q76" t="s">
        <v>74</v>
      </c>
      <c r="R76" t="s">
        <v>74</v>
      </c>
      <c r="S76" t="s">
        <v>74</v>
      </c>
      <c r="T76" t="s">
        <v>1657</v>
      </c>
      <c r="U76" t="s">
        <v>1658</v>
      </c>
      <c r="V76" t="s">
        <v>1659</v>
      </c>
      <c r="W76" t="s">
        <v>1660</v>
      </c>
      <c r="X76" t="s">
        <v>1661</v>
      </c>
      <c r="Y76" t="s">
        <v>1662</v>
      </c>
      <c r="Z76" t="s">
        <v>1663</v>
      </c>
      <c r="AA76" t="s">
        <v>74</v>
      </c>
      <c r="AB76" t="s">
        <v>1664</v>
      </c>
      <c r="AC76" t="s">
        <v>74</v>
      </c>
      <c r="AD76" t="s">
        <v>74</v>
      </c>
      <c r="AE76" t="s">
        <v>74</v>
      </c>
      <c r="AF76" t="s">
        <v>74</v>
      </c>
      <c r="AG76">
        <v>54</v>
      </c>
      <c r="AH76">
        <v>0</v>
      </c>
      <c r="AI76">
        <v>0</v>
      </c>
      <c r="AJ76">
        <v>0</v>
      </c>
      <c r="AK76">
        <v>0</v>
      </c>
      <c r="AL76" t="s">
        <v>87</v>
      </c>
      <c r="AM76" t="s">
        <v>88</v>
      </c>
      <c r="AN76" t="s">
        <v>89</v>
      </c>
      <c r="AO76" t="s">
        <v>1665</v>
      </c>
      <c r="AP76" t="s">
        <v>1666</v>
      </c>
      <c r="AQ76" t="s">
        <v>74</v>
      </c>
      <c r="AR76" t="s">
        <v>1667</v>
      </c>
      <c r="AS76" t="s">
        <v>1668</v>
      </c>
      <c r="AT76" t="s">
        <v>1647</v>
      </c>
      <c r="AU76">
        <v>2023</v>
      </c>
      <c r="AV76" t="s">
        <v>74</v>
      </c>
      <c r="AW76" t="s">
        <v>74</v>
      </c>
      <c r="AX76" t="s">
        <v>74</v>
      </c>
      <c r="AY76" t="s">
        <v>74</v>
      </c>
      <c r="AZ76" t="s">
        <v>74</v>
      </c>
      <c r="BA76" t="s">
        <v>74</v>
      </c>
      <c r="BB76" t="s">
        <v>74</v>
      </c>
      <c r="BC76" t="s">
        <v>74</v>
      </c>
      <c r="BD76" t="s">
        <v>74</v>
      </c>
      <c r="BE76" t="s">
        <v>1669</v>
      </c>
      <c r="BF76" t="str">
        <f>HYPERLINK("http://dx.doi.org/10.1111/ene.16064","http://dx.doi.org/10.1111/ene.16064")</f>
        <v>http://dx.doi.org/10.1111/ene.16064</v>
      </c>
      <c r="BG76" t="s">
        <v>74</v>
      </c>
      <c r="BH76" t="s">
        <v>407</v>
      </c>
      <c r="BI76">
        <v>10</v>
      </c>
      <c r="BJ76" t="s">
        <v>1670</v>
      </c>
      <c r="BK76" t="s">
        <v>119</v>
      </c>
      <c r="BL76" t="s">
        <v>1562</v>
      </c>
      <c r="BM76" t="s">
        <v>1671</v>
      </c>
      <c r="BN76">
        <v>37738526</v>
      </c>
      <c r="BO76" t="s">
        <v>122</v>
      </c>
      <c r="BP76" t="s">
        <v>74</v>
      </c>
      <c r="BQ76" t="s">
        <v>74</v>
      </c>
      <c r="BR76" t="s">
        <v>99</v>
      </c>
      <c r="BS76" t="s">
        <v>1672</v>
      </c>
      <c r="BT76" t="str">
        <f>HYPERLINK("https%3A%2F%2Fwww.webofscience.com%2Fwos%2Fwoscc%2Ffull-record%2FWOS:001069772000001","View Full Record in Web of Science")</f>
        <v>View Full Record in Web of Science</v>
      </c>
    </row>
    <row r="77" spans="1:72" x14ac:dyDescent="0.15">
      <c r="A77" t="s">
        <v>72</v>
      </c>
      <c r="B77" t="s">
        <v>1673</v>
      </c>
      <c r="C77" t="s">
        <v>74</v>
      </c>
      <c r="D77" t="s">
        <v>74</v>
      </c>
      <c r="E77" t="s">
        <v>74</v>
      </c>
      <c r="F77" t="s">
        <v>1674</v>
      </c>
      <c r="G77" t="s">
        <v>74</v>
      </c>
      <c r="H77" t="s">
        <v>74</v>
      </c>
      <c r="I77" t="s">
        <v>1675</v>
      </c>
      <c r="J77" t="s">
        <v>1676</v>
      </c>
      <c r="K77" t="s">
        <v>74</v>
      </c>
      <c r="L77" t="s">
        <v>74</v>
      </c>
      <c r="M77" t="s">
        <v>78</v>
      </c>
      <c r="N77" t="s">
        <v>594</v>
      </c>
      <c r="O77" t="s">
        <v>74</v>
      </c>
      <c r="P77" t="s">
        <v>74</v>
      </c>
      <c r="Q77" t="s">
        <v>74</v>
      </c>
      <c r="R77" t="s">
        <v>74</v>
      </c>
      <c r="S77" t="s">
        <v>74</v>
      </c>
      <c r="T77" t="s">
        <v>1677</v>
      </c>
      <c r="U77" t="s">
        <v>1678</v>
      </c>
      <c r="V77" t="s">
        <v>1679</v>
      </c>
      <c r="W77" t="s">
        <v>1680</v>
      </c>
      <c r="X77" t="s">
        <v>1681</v>
      </c>
      <c r="Y77" t="s">
        <v>1682</v>
      </c>
      <c r="Z77" t="s">
        <v>1683</v>
      </c>
      <c r="AA77" t="s">
        <v>74</v>
      </c>
      <c r="AB77" t="s">
        <v>1684</v>
      </c>
      <c r="AC77" t="s">
        <v>1685</v>
      </c>
      <c r="AD77" t="s">
        <v>1686</v>
      </c>
      <c r="AE77" t="s">
        <v>1687</v>
      </c>
      <c r="AF77" t="s">
        <v>74</v>
      </c>
      <c r="AG77">
        <v>51</v>
      </c>
      <c r="AH77">
        <v>0</v>
      </c>
      <c r="AI77">
        <v>0</v>
      </c>
      <c r="AJ77">
        <v>0</v>
      </c>
      <c r="AK77">
        <v>0</v>
      </c>
      <c r="AL77" t="s">
        <v>87</v>
      </c>
      <c r="AM77" t="s">
        <v>88</v>
      </c>
      <c r="AN77" t="s">
        <v>89</v>
      </c>
      <c r="AO77" t="s">
        <v>1688</v>
      </c>
      <c r="AP77" t="s">
        <v>1689</v>
      </c>
      <c r="AQ77" t="s">
        <v>74</v>
      </c>
      <c r="AR77" t="s">
        <v>1690</v>
      </c>
      <c r="AS77" t="s">
        <v>1691</v>
      </c>
      <c r="AT77" t="s">
        <v>1647</v>
      </c>
      <c r="AU77">
        <v>2023</v>
      </c>
      <c r="AV77" t="s">
        <v>74</v>
      </c>
      <c r="AW77" t="s">
        <v>74</v>
      </c>
      <c r="AX77" t="s">
        <v>74</v>
      </c>
      <c r="AY77" t="s">
        <v>74</v>
      </c>
      <c r="AZ77" t="s">
        <v>74</v>
      </c>
      <c r="BA77" t="s">
        <v>74</v>
      </c>
      <c r="BB77" t="s">
        <v>74</v>
      </c>
      <c r="BC77" t="s">
        <v>74</v>
      </c>
      <c r="BD77" t="s">
        <v>74</v>
      </c>
      <c r="BE77" t="s">
        <v>1692</v>
      </c>
      <c r="BF77" t="str">
        <f>HYPERLINK("http://dx.doi.org/10.1111/mmi.15166","http://dx.doi.org/10.1111/mmi.15166")</f>
        <v>http://dx.doi.org/10.1111/mmi.15166</v>
      </c>
      <c r="BG77" t="s">
        <v>74</v>
      </c>
      <c r="BH77" t="s">
        <v>407</v>
      </c>
      <c r="BI77">
        <v>9</v>
      </c>
      <c r="BJ77" t="s">
        <v>1693</v>
      </c>
      <c r="BK77" t="s">
        <v>119</v>
      </c>
      <c r="BL77" t="s">
        <v>1693</v>
      </c>
      <c r="BM77" t="s">
        <v>1694</v>
      </c>
      <c r="BN77">
        <v>37740453</v>
      </c>
      <c r="BO77" t="s">
        <v>122</v>
      </c>
      <c r="BP77" t="s">
        <v>74</v>
      </c>
      <c r="BQ77" t="s">
        <v>74</v>
      </c>
      <c r="BR77" t="s">
        <v>99</v>
      </c>
      <c r="BS77" t="s">
        <v>1695</v>
      </c>
      <c r="BT77" t="str">
        <f>HYPERLINK("https%3A%2F%2Fwww.webofscience.com%2Fwos%2Fwoscc%2Ffull-record%2FWOS:001070286600001","View Full Record in Web of Science")</f>
        <v>View Full Record in Web of Science</v>
      </c>
    </row>
    <row r="78" spans="1:72" x14ac:dyDescent="0.15">
      <c r="A78" t="s">
        <v>72</v>
      </c>
      <c r="B78" t="s">
        <v>1696</v>
      </c>
      <c r="C78" t="s">
        <v>74</v>
      </c>
      <c r="D78" t="s">
        <v>74</v>
      </c>
      <c r="E78" t="s">
        <v>74</v>
      </c>
      <c r="F78" t="s">
        <v>1697</v>
      </c>
      <c r="G78" t="s">
        <v>74</v>
      </c>
      <c r="H78" t="s">
        <v>74</v>
      </c>
      <c r="I78" t="s">
        <v>1698</v>
      </c>
      <c r="J78" t="s">
        <v>1699</v>
      </c>
      <c r="K78" t="s">
        <v>74</v>
      </c>
      <c r="L78" t="s">
        <v>74</v>
      </c>
      <c r="M78" t="s">
        <v>78</v>
      </c>
      <c r="N78" t="s">
        <v>594</v>
      </c>
      <c r="O78" t="s">
        <v>74</v>
      </c>
      <c r="P78" t="s">
        <v>74</v>
      </c>
      <c r="Q78" t="s">
        <v>74</v>
      </c>
      <c r="R78" t="s">
        <v>74</v>
      </c>
      <c r="S78" t="s">
        <v>74</v>
      </c>
      <c r="T78" t="s">
        <v>1700</v>
      </c>
      <c r="U78" t="s">
        <v>1701</v>
      </c>
      <c r="V78" t="s">
        <v>1702</v>
      </c>
      <c r="W78" t="s">
        <v>1703</v>
      </c>
      <c r="X78" t="s">
        <v>1704</v>
      </c>
      <c r="Y78" t="s">
        <v>1705</v>
      </c>
      <c r="Z78" t="s">
        <v>1706</v>
      </c>
      <c r="AA78" t="s">
        <v>74</v>
      </c>
      <c r="AB78" t="s">
        <v>1707</v>
      </c>
      <c r="AC78" t="s">
        <v>1708</v>
      </c>
      <c r="AD78" t="s">
        <v>1708</v>
      </c>
      <c r="AE78" t="s">
        <v>1708</v>
      </c>
      <c r="AF78" t="s">
        <v>74</v>
      </c>
      <c r="AG78">
        <v>83</v>
      </c>
      <c r="AH78">
        <v>0</v>
      </c>
      <c r="AI78">
        <v>0</v>
      </c>
      <c r="AJ78">
        <v>0</v>
      </c>
      <c r="AK78">
        <v>0</v>
      </c>
      <c r="AL78" t="s">
        <v>87</v>
      </c>
      <c r="AM78" t="s">
        <v>88</v>
      </c>
      <c r="AN78" t="s">
        <v>89</v>
      </c>
      <c r="AO78" t="s">
        <v>1709</v>
      </c>
      <c r="AP78" t="s">
        <v>1710</v>
      </c>
      <c r="AQ78" t="s">
        <v>74</v>
      </c>
      <c r="AR78" t="s">
        <v>1711</v>
      </c>
      <c r="AS78" t="s">
        <v>1712</v>
      </c>
      <c r="AT78" t="s">
        <v>1647</v>
      </c>
      <c r="AU78">
        <v>2023</v>
      </c>
      <c r="AV78" t="s">
        <v>74</v>
      </c>
      <c r="AW78" t="s">
        <v>74</v>
      </c>
      <c r="AX78" t="s">
        <v>74</v>
      </c>
      <c r="AY78" t="s">
        <v>74</v>
      </c>
      <c r="AZ78" t="s">
        <v>74</v>
      </c>
      <c r="BA78" t="s">
        <v>74</v>
      </c>
      <c r="BB78" t="s">
        <v>74</v>
      </c>
      <c r="BC78" t="s">
        <v>74</v>
      </c>
      <c r="BD78" t="s">
        <v>74</v>
      </c>
      <c r="BE78" t="s">
        <v>1713</v>
      </c>
      <c r="BF78" t="str">
        <f>HYPERLINK("http://dx.doi.org/10.1111/iwj.14399","http://dx.doi.org/10.1111/iwj.14399")</f>
        <v>http://dx.doi.org/10.1111/iwj.14399</v>
      </c>
      <c r="BG78" t="s">
        <v>74</v>
      </c>
      <c r="BH78" t="s">
        <v>407</v>
      </c>
      <c r="BI78">
        <v>11</v>
      </c>
      <c r="BJ78" t="s">
        <v>1714</v>
      </c>
      <c r="BK78" t="s">
        <v>119</v>
      </c>
      <c r="BL78" t="s">
        <v>1714</v>
      </c>
      <c r="BM78" t="s">
        <v>1715</v>
      </c>
      <c r="BN78">
        <v>37736955</v>
      </c>
      <c r="BO78" t="s">
        <v>234</v>
      </c>
      <c r="BP78" t="s">
        <v>74</v>
      </c>
      <c r="BQ78" t="s">
        <v>74</v>
      </c>
      <c r="BR78" t="s">
        <v>99</v>
      </c>
      <c r="BS78" t="s">
        <v>1716</v>
      </c>
      <c r="BT78" t="str">
        <f>HYPERLINK("https%3A%2F%2Fwww.webofscience.com%2Fwos%2Fwoscc%2Ffull-record%2FWOS:001068151900001","View Full Record in Web of Science")</f>
        <v>View Full Record in Web of Science</v>
      </c>
    </row>
    <row r="79" spans="1:72" x14ac:dyDescent="0.15">
      <c r="A79" t="s">
        <v>72</v>
      </c>
      <c r="B79" t="s">
        <v>1717</v>
      </c>
      <c r="C79" t="s">
        <v>74</v>
      </c>
      <c r="D79" t="s">
        <v>74</v>
      </c>
      <c r="E79" t="s">
        <v>74</v>
      </c>
      <c r="F79" t="s">
        <v>1718</v>
      </c>
      <c r="G79" t="s">
        <v>74</v>
      </c>
      <c r="H79" t="s">
        <v>74</v>
      </c>
      <c r="I79" t="s">
        <v>1719</v>
      </c>
      <c r="J79" t="s">
        <v>1587</v>
      </c>
      <c r="K79" t="s">
        <v>74</v>
      </c>
      <c r="L79" t="s">
        <v>74</v>
      </c>
      <c r="M79" t="s">
        <v>78</v>
      </c>
      <c r="N79" t="s">
        <v>338</v>
      </c>
      <c r="O79" t="s">
        <v>74</v>
      </c>
      <c r="P79" t="s">
        <v>74</v>
      </c>
      <c r="Q79" t="s">
        <v>74</v>
      </c>
      <c r="R79" t="s">
        <v>74</v>
      </c>
      <c r="S79" t="s">
        <v>74</v>
      </c>
      <c r="T79" t="s">
        <v>1720</v>
      </c>
      <c r="U79" t="s">
        <v>74</v>
      </c>
      <c r="V79" t="s">
        <v>1721</v>
      </c>
      <c r="W79" t="s">
        <v>1722</v>
      </c>
      <c r="X79" t="s">
        <v>1723</v>
      </c>
      <c r="Y79" t="s">
        <v>1724</v>
      </c>
      <c r="Z79" t="s">
        <v>1725</v>
      </c>
      <c r="AA79" t="s">
        <v>74</v>
      </c>
      <c r="AB79" t="s">
        <v>1726</v>
      </c>
      <c r="AC79" t="s">
        <v>1727</v>
      </c>
      <c r="AD79" t="s">
        <v>1727</v>
      </c>
      <c r="AE79" t="s">
        <v>1727</v>
      </c>
      <c r="AF79" t="s">
        <v>74</v>
      </c>
      <c r="AG79">
        <v>6</v>
      </c>
      <c r="AH79">
        <v>0</v>
      </c>
      <c r="AI79">
        <v>0</v>
      </c>
      <c r="AJ79">
        <v>0</v>
      </c>
      <c r="AK79">
        <v>0</v>
      </c>
      <c r="AL79" t="s">
        <v>87</v>
      </c>
      <c r="AM79" t="s">
        <v>88</v>
      </c>
      <c r="AN79" t="s">
        <v>89</v>
      </c>
      <c r="AO79" t="s">
        <v>1599</v>
      </c>
      <c r="AP79" t="s">
        <v>1600</v>
      </c>
      <c r="AQ79" t="s">
        <v>74</v>
      </c>
      <c r="AR79" t="s">
        <v>1601</v>
      </c>
      <c r="AS79" t="s">
        <v>1602</v>
      </c>
      <c r="AT79" t="s">
        <v>1647</v>
      </c>
      <c r="AU79">
        <v>2023</v>
      </c>
      <c r="AV79" t="s">
        <v>74</v>
      </c>
      <c r="AW79" t="s">
        <v>74</v>
      </c>
      <c r="AX79" t="s">
        <v>74</v>
      </c>
      <c r="AY79" t="s">
        <v>74</v>
      </c>
      <c r="AZ79" t="s">
        <v>74</v>
      </c>
      <c r="BA79" t="s">
        <v>74</v>
      </c>
      <c r="BB79" t="s">
        <v>74</v>
      </c>
      <c r="BC79" t="s">
        <v>74</v>
      </c>
      <c r="BD79" t="s">
        <v>74</v>
      </c>
      <c r="BE79" t="s">
        <v>1728</v>
      </c>
      <c r="BF79" t="str">
        <f>HYPERLINK("http://dx.doi.org/10.1111/1756-185X.14906","http://dx.doi.org/10.1111/1756-185X.14906")</f>
        <v>http://dx.doi.org/10.1111/1756-185X.14906</v>
      </c>
      <c r="BG79" t="s">
        <v>74</v>
      </c>
      <c r="BH79" t="s">
        <v>407</v>
      </c>
      <c r="BI79">
        <v>3</v>
      </c>
      <c r="BJ79" t="s">
        <v>1604</v>
      </c>
      <c r="BK79" t="s">
        <v>119</v>
      </c>
      <c r="BL79" t="s">
        <v>1604</v>
      </c>
      <c r="BM79" t="s">
        <v>1729</v>
      </c>
      <c r="BN79">
        <v>37737545</v>
      </c>
      <c r="BO79" t="s">
        <v>74</v>
      </c>
      <c r="BP79" t="s">
        <v>74</v>
      </c>
      <c r="BQ79" t="s">
        <v>74</v>
      </c>
      <c r="BR79" t="s">
        <v>99</v>
      </c>
      <c r="BS79" t="s">
        <v>1730</v>
      </c>
      <c r="BT79" t="str">
        <f>HYPERLINK("https%3A%2F%2Fwww.webofscience.com%2Fwos%2Fwoscc%2Ffull-record%2FWOS:001069729300001","View Full Record in Web of Science")</f>
        <v>View Full Record in Web of Science</v>
      </c>
    </row>
    <row r="80" spans="1:72" x14ac:dyDescent="0.15">
      <c r="A80" t="s">
        <v>72</v>
      </c>
      <c r="B80" t="s">
        <v>1731</v>
      </c>
      <c r="C80" t="s">
        <v>74</v>
      </c>
      <c r="D80" t="s">
        <v>74</v>
      </c>
      <c r="E80" t="s">
        <v>74</v>
      </c>
      <c r="F80" t="s">
        <v>1732</v>
      </c>
      <c r="G80" t="s">
        <v>74</v>
      </c>
      <c r="H80" t="s">
        <v>74</v>
      </c>
      <c r="I80" t="s">
        <v>1733</v>
      </c>
      <c r="J80" t="s">
        <v>1734</v>
      </c>
      <c r="K80" t="s">
        <v>74</v>
      </c>
      <c r="L80" t="s">
        <v>74</v>
      </c>
      <c r="M80" t="s">
        <v>78</v>
      </c>
      <c r="N80" t="s">
        <v>338</v>
      </c>
      <c r="O80" t="s">
        <v>74</v>
      </c>
      <c r="P80" t="s">
        <v>74</v>
      </c>
      <c r="Q80" t="s">
        <v>74</v>
      </c>
      <c r="R80" t="s">
        <v>74</v>
      </c>
      <c r="S80" t="s">
        <v>74</v>
      </c>
      <c r="T80" t="s">
        <v>1735</v>
      </c>
      <c r="U80" t="s">
        <v>1736</v>
      </c>
      <c r="V80" t="s">
        <v>1737</v>
      </c>
      <c r="W80" t="s">
        <v>1738</v>
      </c>
      <c r="X80" t="s">
        <v>1739</v>
      </c>
      <c r="Y80" t="s">
        <v>1740</v>
      </c>
      <c r="Z80" t="s">
        <v>1741</v>
      </c>
      <c r="AA80" t="s">
        <v>74</v>
      </c>
      <c r="AB80" t="s">
        <v>1742</v>
      </c>
      <c r="AC80" t="s">
        <v>1743</v>
      </c>
      <c r="AD80" t="s">
        <v>1744</v>
      </c>
      <c r="AE80" t="s">
        <v>1745</v>
      </c>
      <c r="AF80" t="s">
        <v>74</v>
      </c>
      <c r="AG80">
        <v>76</v>
      </c>
      <c r="AH80">
        <v>0</v>
      </c>
      <c r="AI80">
        <v>0</v>
      </c>
      <c r="AJ80">
        <v>3</v>
      </c>
      <c r="AK80">
        <v>3</v>
      </c>
      <c r="AL80" t="s">
        <v>87</v>
      </c>
      <c r="AM80" t="s">
        <v>88</v>
      </c>
      <c r="AN80" t="s">
        <v>89</v>
      </c>
      <c r="AO80" t="s">
        <v>1746</v>
      </c>
      <c r="AP80" t="s">
        <v>1747</v>
      </c>
      <c r="AQ80" t="s">
        <v>74</v>
      </c>
      <c r="AR80" t="s">
        <v>1748</v>
      </c>
      <c r="AS80" t="s">
        <v>1749</v>
      </c>
      <c r="AT80" t="s">
        <v>1647</v>
      </c>
      <c r="AU80">
        <v>2023</v>
      </c>
      <c r="AV80" t="s">
        <v>74</v>
      </c>
      <c r="AW80" t="s">
        <v>74</v>
      </c>
      <c r="AX80" t="s">
        <v>74</v>
      </c>
      <c r="AY80" t="s">
        <v>74</v>
      </c>
      <c r="AZ80" t="s">
        <v>74</v>
      </c>
      <c r="BA80" t="s">
        <v>74</v>
      </c>
      <c r="BB80" t="s">
        <v>74</v>
      </c>
      <c r="BC80" t="s">
        <v>74</v>
      </c>
      <c r="BD80" t="s">
        <v>74</v>
      </c>
      <c r="BE80" t="s">
        <v>1750</v>
      </c>
      <c r="BF80" t="str">
        <f>HYPERLINK("http://dx.doi.org/10.1111/nph.19249","http://dx.doi.org/10.1111/nph.19249")</f>
        <v>http://dx.doi.org/10.1111/nph.19249</v>
      </c>
      <c r="BG80" t="s">
        <v>74</v>
      </c>
      <c r="BH80" t="s">
        <v>407</v>
      </c>
      <c r="BI80">
        <v>13</v>
      </c>
      <c r="BJ80" t="s">
        <v>1751</v>
      </c>
      <c r="BK80" t="s">
        <v>119</v>
      </c>
      <c r="BL80" t="s">
        <v>1751</v>
      </c>
      <c r="BM80" t="s">
        <v>1752</v>
      </c>
      <c r="BN80">
        <v>37737029</v>
      </c>
      <c r="BO80" t="s">
        <v>122</v>
      </c>
      <c r="BP80" t="s">
        <v>74</v>
      </c>
      <c r="BQ80" t="s">
        <v>74</v>
      </c>
      <c r="BR80" t="s">
        <v>99</v>
      </c>
      <c r="BS80" t="s">
        <v>1753</v>
      </c>
      <c r="BT80" t="str">
        <f>HYPERLINK("https%3A%2F%2Fwww.webofscience.com%2Fwos%2Fwoscc%2Ffull-record%2FWOS:001069521500001","View Full Record in Web of Science")</f>
        <v>View Full Record in Web of Science</v>
      </c>
    </row>
    <row r="81" spans="1:72" x14ac:dyDescent="0.15">
      <c r="A81" t="s">
        <v>72</v>
      </c>
      <c r="B81" t="s">
        <v>1754</v>
      </c>
      <c r="C81" t="s">
        <v>74</v>
      </c>
      <c r="D81" t="s">
        <v>74</v>
      </c>
      <c r="E81" t="s">
        <v>74</v>
      </c>
      <c r="F81" t="s">
        <v>1755</v>
      </c>
      <c r="G81" t="s">
        <v>74</v>
      </c>
      <c r="H81" t="s">
        <v>74</v>
      </c>
      <c r="I81" t="s">
        <v>1756</v>
      </c>
      <c r="J81" t="s">
        <v>1757</v>
      </c>
      <c r="K81" t="s">
        <v>74</v>
      </c>
      <c r="L81" t="s">
        <v>74</v>
      </c>
      <c r="M81" t="s">
        <v>78</v>
      </c>
      <c r="N81" t="s">
        <v>338</v>
      </c>
      <c r="O81" t="s">
        <v>74</v>
      </c>
      <c r="P81" t="s">
        <v>74</v>
      </c>
      <c r="Q81" t="s">
        <v>74</v>
      </c>
      <c r="R81" t="s">
        <v>74</v>
      </c>
      <c r="S81" t="s">
        <v>74</v>
      </c>
      <c r="T81" t="s">
        <v>74</v>
      </c>
      <c r="U81" t="s">
        <v>74</v>
      </c>
      <c r="V81" t="s">
        <v>1758</v>
      </c>
      <c r="W81" t="s">
        <v>1759</v>
      </c>
      <c r="X81" t="s">
        <v>74</v>
      </c>
      <c r="Y81" t="s">
        <v>1760</v>
      </c>
      <c r="Z81" t="s">
        <v>1761</v>
      </c>
      <c r="AA81" t="s">
        <v>74</v>
      </c>
      <c r="AB81" t="s">
        <v>74</v>
      </c>
      <c r="AC81" t="s">
        <v>74</v>
      </c>
      <c r="AD81" t="s">
        <v>74</v>
      </c>
      <c r="AE81" t="s">
        <v>74</v>
      </c>
      <c r="AF81" t="s">
        <v>74</v>
      </c>
      <c r="AG81">
        <v>68</v>
      </c>
      <c r="AH81">
        <v>0</v>
      </c>
      <c r="AI81">
        <v>0</v>
      </c>
      <c r="AJ81">
        <v>0</v>
      </c>
      <c r="AK81">
        <v>0</v>
      </c>
      <c r="AL81" t="s">
        <v>87</v>
      </c>
      <c r="AM81" t="s">
        <v>88</v>
      </c>
      <c r="AN81" t="s">
        <v>89</v>
      </c>
      <c r="AO81" t="s">
        <v>1762</v>
      </c>
      <c r="AP81" t="s">
        <v>1763</v>
      </c>
      <c r="AQ81" t="s">
        <v>74</v>
      </c>
      <c r="AR81" t="s">
        <v>1764</v>
      </c>
      <c r="AS81" t="s">
        <v>1765</v>
      </c>
      <c r="AT81" t="s">
        <v>1647</v>
      </c>
      <c r="AU81">
        <v>2023</v>
      </c>
      <c r="AV81" t="s">
        <v>74</v>
      </c>
      <c r="AW81" t="s">
        <v>74</v>
      </c>
      <c r="AX81" t="s">
        <v>74</v>
      </c>
      <c r="AY81" t="s">
        <v>74</v>
      </c>
      <c r="AZ81" t="s">
        <v>74</v>
      </c>
      <c r="BA81" t="s">
        <v>74</v>
      </c>
      <c r="BB81" t="s">
        <v>74</v>
      </c>
      <c r="BC81" t="s">
        <v>74</v>
      </c>
      <c r="BD81" t="s">
        <v>74</v>
      </c>
      <c r="BE81" t="s">
        <v>1766</v>
      </c>
      <c r="BF81" t="str">
        <f>HYPERLINK("http://dx.doi.org/10.1111/dech.12787","http://dx.doi.org/10.1111/dech.12787")</f>
        <v>http://dx.doi.org/10.1111/dech.12787</v>
      </c>
      <c r="BG81" t="s">
        <v>74</v>
      </c>
      <c r="BH81" t="s">
        <v>407</v>
      </c>
      <c r="BI81">
        <v>22</v>
      </c>
      <c r="BJ81" t="s">
        <v>1767</v>
      </c>
      <c r="BK81" t="s">
        <v>546</v>
      </c>
      <c r="BL81" t="s">
        <v>1767</v>
      </c>
      <c r="BM81" t="s">
        <v>1768</v>
      </c>
      <c r="BN81" t="s">
        <v>74</v>
      </c>
      <c r="BO81" t="s">
        <v>74</v>
      </c>
      <c r="BP81" t="s">
        <v>74</v>
      </c>
      <c r="BQ81" t="s">
        <v>74</v>
      </c>
      <c r="BR81" t="s">
        <v>99</v>
      </c>
      <c r="BS81" t="s">
        <v>1769</v>
      </c>
      <c r="BT81" t="str">
        <f>HYPERLINK("https%3A%2F%2Fwww.webofscience.com%2Fwos%2Fwoscc%2Ffull-record%2FWOS:001069861800001","View Full Record in Web of Science")</f>
        <v>View Full Record in Web of Science</v>
      </c>
    </row>
    <row r="82" spans="1:72" x14ac:dyDescent="0.15">
      <c r="A82" t="s">
        <v>72</v>
      </c>
      <c r="B82" t="s">
        <v>1770</v>
      </c>
      <c r="C82" t="s">
        <v>74</v>
      </c>
      <c r="D82" t="s">
        <v>74</v>
      </c>
      <c r="E82" t="s">
        <v>74</v>
      </c>
      <c r="F82" t="s">
        <v>1771</v>
      </c>
      <c r="G82" t="s">
        <v>74</v>
      </c>
      <c r="H82" t="s">
        <v>74</v>
      </c>
      <c r="I82" t="s">
        <v>1772</v>
      </c>
      <c r="J82" t="s">
        <v>1773</v>
      </c>
      <c r="K82" t="s">
        <v>74</v>
      </c>
      <c r="L82" t="s">
        <v>74</v>
      </c>
      <c r="M82" t="s">
        <v>78</v>
      </c>
      <c r="N82" t="s">
        <v>338</v>
      </c>
      <c r="O82" t="s">
        <v>74</v>
      </c>
      <c r="P82" t="s">
        <v>74</v>
      </c>
      <c r="Q82" t="s">
        <v>74</v>
      </c>
      <c r="R82" t="s">
        <v>74</v>
      </c>
      <c r="S82" t="s">
        <v>74</v>
      </c>
      <c r="T82" t="s">
        <v>1774</v>
      </c>
      <c r="U82" t="s">
        <v>1775</v>
      </c>
      <c r="V82" t="s">
        <v>1776</v>
      </c>
      <c r="W82" t="s">
        <v>1777</v>
      </c>
      <c r="X82" t="s">
        <v>1778</v>
      </c>
      <c r="Y82" t="s">
        <v>1779</v>
      </c>
      <c r="Z82" t="s">
        <v>1780</v>
      </c>
      <c r="AA82" t="s">
        <v>74</v>
      </c>
      <c r="AB82" t="s">
        <v>1781</v>
      </c>
      <c r="AC82" t="s">
        <v>1782</v>
      </c>
      <c r="AD82" t="s">
        <v>1783</v>
      </c>
      <c r="AE82" t="s">
        <v>1784</v>
      </c>
      <c r="AF82" t="s">
        <v>74</v>
      </c>
      <c r="AG82">
        <v>54</v>
      </c>
      <c r="AH82">
        <v>0</v>
      </c>
      <c r="AI82">
        <v>0</v>
      </c>
      <c r="AJ82">
        <v>12</v>
      </c>
      <c r="AK82">
        <v>12</v>
      </c>
      <c r="AL82" t="s">
        <v>426</v>
      </c>
      <c r="AM82" t="s">
        <v>427</v>
      </c>
      <c r="AN82" t="s">
        <v>428</v>
      </c>
      <c r="AO82" t="s">
        <v>1785</v>
      </c>
      <c r="AP82" t="s">
        <v>1786</v>
      </c>
      <c r="AQ82" t="s">
        <v>74</v>
      </c>
      <c r="AR82" t="s">
        <v>1787</v>
      </c>
      <c r="AS82" t="s">
        <v>1788</v>
      </c>
      <c r="AT82" t="s">
        <v>1647</v>
      </c>
      <c r="AU82">
        <v>2023</v>
      </c>
      <c r="AV82" t="s">
        <v>74</v>
      </c>
      <c r="AW82" t="s">
        <v>74</v>
      </c>
      <c r="AX82" t="s">
        <v>74</v>
      </c>
      <c r="AY82" t="s">
        <v>74</v>
      </c>
      <c r="AZ82" t="s">
        <v>74</v>
      </c>
      <c r="BA82" t="s">
        <v>74</v>
      </c>
      <c r="BB82" t="s">
        <v>74</v>
      </c>
      <c r="BC82" t="s">
        <v>74</v>
      </c>
      <c r="BD82" t="s">
        <v>74</v>
      </c>
      <c r="BE82" t="s">
        <v>1789</v>
      </c>
      <c r="BF82" t="str">
        <f>HYPERLINK("http://dx.doi.org/10.1002/adma.202304625","http://dx.doi.org/10.1002/adma.202304625")</f>
        <v>http://dx.doi.org/10.1002/adma.202304625</v>
      </c>
      <c r="BG82" t="s">
        <v>74</v>
      </c>
      <c r="BH82" t="s">
        <v>407</v>
      </c>
      <c r="BI82">
        <v>8</v>
      </c>
      <c r="BJ82" t="s">
        <v>609</v>
      </c>
      <c r="BK82" t="s">
        <v>119</v>
      </c>
      <c r="BL82" t="s">
        <v>610</v>
      </c>
      <c r="BM82" t="s">
        <v>1790</v>
      </c>
      <c r="BN82">
        <v>37466632</v>
      </c>
      <c r="BO82" t="s">
        <v>74</v>
      </c>
      <c r="BP82" t="s">
        <v>74</v>
      </c>
      <c r="BQ82" t="s">
        <v>74</v>
      </c>
      <c r="BR82" t="s">
        <v>99</v>
      </c>
      <c r="BS82" t="s">
        <v>1791</v>
      </c>
      <c r="BT82" t="str">
        <f>HYPERLINK("https%3A%2F%2Fwww.webofscience.com%2Fwos%2Fwoscc%2Ffull-record%2FWOS:001070287500001","View Full Record in Web of Science")</f>
        <v>View Full Record in Web of Science</v>
      </c>
    </row>
    <row r="83" spans="1:72" x14ac:dyDescent="0.15">
      <c r="A83" t="s">
        <v>72</v>
      </c>
      <c r="B83" t="s">
        <v>1792</v>
      </c>
      <c r="C83" t="s">
        <v>74</v>
      </c>
      <c r="D83" t="s">
        <v>74</v>
      </c>
      <c r="E83" t="s">
        <v>74</v>
      </c>
      <c r="F83" t="s">
        <v>1793</v>
      </c>
      <c r="G83" t="s">
        <v>74</v>
      </c>
      <c r="H83" t="s">
        <v>74</v>
      </c>
      <c r="I83" t="s">
        <v>1794</v>
      </c>
      <c r="J83" t="s">
        <v>1795</v>
      </c>
      <c r="K83" t="s">
        <v>74</v>
      </c>
      <c r="L83" t="s">
        <v>74</v>
      </c>
      <c r="M83" t="s">
        <v>78</v>
      </c>
      <c r="N83" t="s">
        <v>338</v>
      </c>
      <c r="O83" t="s">
        <v>74</v>
      </c>
      <c r="P83" t="s">
        <v>74</v>
      </c>
      <c r="Q83" t="s">
        <v>74</v>
      </c>
      <c r="R83" t="s">
        <v>74</v>
      </c>
      <c r="S83" t="s">
        <v>74</v>
      </c>
      <c r="T83" t="s">
        <v>1796</v>
      </c>
      <c r="U83" t="s">
        <v>1797</v>
      </c>
      <c r="V83" t="s">
        <v>1798</v>
      </c>
      <c r="W83" t="s">
        <v>1799</v>
      </c>
      <c r="X83" t="s">
        <v>1800</v>
      </c>
      <c r="Y83" t="s">
        <v>1801</v>
      </c>
      <c r="Z83" t="s">
        <v>1802</v>
      </c>
      <c r="AA83" t="s">
        <v>74</v>
      </c>
      <c r="AB83" t="s">
        <v>74</v>
      </c>
      <c r="AC83" t="s">
        <v>1803</v>
      </c>
      <c r="AD83" t="s">
        <v>1804</v>
      </c>
      <c r="AE83" t="s">
        <v>1805</v>
      </c>
      <c r="AF83" t="s">
        <v>74</v>
      </c>
      <c r="AG83">
        <v>18</v>
      </c>
      <c r="AH83">
        <v>0</v>
      </c>
      <c r="AI83">
        <v>0</v>
      </c>
      <c r="AJ83">
        <v>0</v>
      </c>
      <c r="AK83">
        <v>0</v>
      </c>
      <c r="AL83" t="s">
        <v>87</v>
      </c>
      <c r="AM83" t="s">
        <v>88</v>
      </c>
      <c r="AN83" t="s">
        <v>89</v>
      </c>
      <c r="AO83" t="s">
        <v>1806</v>
      </c>
      <c r="AP83" t="s">
        <v>1807</v>
      </c>
      <c r="AQ83" t="s">
        <v>74</v>
      </c>
      <c r="AR83" t="s">
        <v>1808</v>
      </c>
      <c r="AS83" t="s">
        <v>1809</v>
      </c>
      <c r="AT83" t="s">
        <v>1647</v>
      </c>
      <c r="AU83">
        <v>2023</v>
      </c>
      <c r="AV83" t="s">
        <v>74</v>
      </c>
      <c r="AW83" t="s">
        <v>74</v>
      </c>
      <c r="AX83" t="s">
        <v>74</v>
      </c>
      <c r="AY83" t="s">
        <v>74</v>
      </c>
      <c r="AZ83" t="s">
        <v>74</v>
      </c>
      <c r="BA83" t="s">
        <v>74</v>
      </c>
      <c r="BB83" t="s">
        <v>74</v>
      </c>
      <c r="BC83" t="s">
        <v>74</v>
      </c>
      <c r="BD83" t="s">
        <v>74</v>
      </c>
      <c r="BE83" t="s">
        <v>1810</v>
      </c>
      <c r="BF83" t="str">
        <f>HYPERLINK("http://dx.doi.org/10.1002/num.23071","http://dx.doi.org/10.1002/num.23071")</f>
        <v>http://dx.doi.org/10.1002/num.23071</v>
      </c>
      <c r="BG83" t="s">
        <v>74</v>
      </c>
      <c r="BH83" t="s">
        <v>407</v>
      </c>
      <c r="BI83">
        <v>26</v>
      </c>
      <c r="BJ83" t="s">
        <v>1811</v>
      </c>
      <c r="BK83" t="s">
        <v>119</v>
      </c>
      <c r="BL83" t="s">
        <v>120</v>
      </c>
      <c r="BM83" t="s">
        <v>1812</v>
      </c>
      <c r="BN83" t="s">
        <v>74</v>
      </c>
      <c r="BO83" t="s">
        <v>301</v>
      </c>
      <c r="BP83" t="s">
        <v>74</v>
      </c>
      <c r="BQ83" t="s">
        <v>74</v>
      </c>
      <c r="BR83" t="s">
        <v>99</v>
      </c>
      <c r="BS83" t="s">
        <v>1813</v>
      </c>
      <c r="BT83" t="str">
        <f>HYPERLINK("https%3A%2F%2Fwww.webofscience.com%2Fwos%2Fwoscc%2Ffull-record%2FWOS:001069541600001","View Full Record in Web of Science")</f>
        <v>View Full Record in Web of Science</v>
      </c>
    </row>
    <row r="84" spans="1:72" x14ac:dyDescent="0.15">
      <c r="A84" t="s">
        <v>72</v>
      </c>
      <c r="B84" t="s">
        <v>1814</v>
      </c>
      <c r="C84" t="s">
        <v>74</v>
      </c>
      <c r="D84" t="s">
        <v>74</v>
      </c>
      <c r="E84" t="s">
        <v>74</v>
      </c>
      <c r="F84" t="s">
        <v>1815</v>
      </c>
      <c r="G84" t="s">
        <v>74</v>
      </c>
      <c r="H84" t="s">
        <v>74</v>
      </c>
      <c r="I84" t="s">
        <v>1816</v>
      </c>
      <c r="J84" t="s">
        <v>1817</v>
      </c>
      <c r="K84" t="s">
        <v>74</v>
      </c>
      <c r="L84" t="s">
        <v>74</v>
      </c>
      <c r="M84" t="s">
        <v>78</v>
      </c>
      <c r="N84" t="s">
        <v>338</v>
      </c>
      <c r="O84" t="s">
        <v>74</v>
      </c>
      <c r="P84" t="s">
        <v>74</v>
      </c>
      <c r="Q84" t="s">
        <v>74</v>
      </c>
      <c r="R84" t="s">
        <v>74</v>
      </c>
      <c r="S84" t="s">
        <v>74</v>
      </c>
      <c r="T84" t="s">
        <v>1818</v>
      </c>
      <c r="U84" t="s">
        <v>1819</v>
      </c>
      <c r="V84" t="s">
        <v>1820</v>
      </c>
      <c r="W84" t="s">
        <v>1821</v>
      </c>
      <c r="X84" t="s">
        <v>1822</v>
      </c>
      <c r="Y84" t="s">
        <v>1823</v>
      </c>
      <c r="Z84" t="s">
        <v>1824</v>
      </c>
      <c r="AA84" t="s">
        <v>74</v>
      </c>
      <c r="AB84" t="s">
        <v>1825</v>
      </c>
      <c r="AC84" t="s">
        <v>1826</v>
      </c>
      <c r="AD84" t="s">
        <v>1826</v>
      </c>
      <c r="AE84" t="s">
        <v>1826</v>
      </c>
      <c r="AF84" t="s">
        <v>74</v>
      </c>
      <c r="AG84">
        <v>35</v>
      </c>
      <c r="AH84">
        <v>0</v>
      </c>
      <c r="AI84">
        <v>0</v>
      </c>
      <c r="AJ84">
        <v>0</v>
      </c>
      <c r="AK84">
        <v>0</v>
      </c>
      <c r="AL84" t="s">
        <v>87</v>
      </c>
      <c r="AM84" t="s">
        <v>88</v>
      </c>
      <c r="AN84" t="s">
        <v>89</v>
      </c>
      <c r="AO84" t="s">
        <v>1827</v>
      </c>
      <c r="AP84" t="s">
        <v>1828</v>
      </c>
      <c r="AQ84" t="s">
        <v>74</v>
      </c>
      <c r="AR84" t="s">
        <v>1829</v>
      </c>
      <c r="AS84" t="s">
        <v>1830</v>
      </c>
      <c r="AT84" t="s">
        <v>1831</v>
      </c>
      <c r="AU84">
        <v>2023</v>
      </c>
      <c r="AV84" t="s">
        <v>74</v>
      </c>
      <c r="AW84" t="s">
        <v>74</v>
      </c>
      <c r="AX84" t="s">
        <v>74</v>
      </c>
      <c r="AY84" t="s">
        <v>74</v>
      </c>
      <c r="AZ84" t="s">
        <v>74</v>
      </c>
      <c r="BA84" t="s">
        <v>74</v>
      </c>
      <c r="BB84" t="s">
        <v>74</v>
      </c>
      <c r="BC84" t="s">
        <v>74</v>
      </c>
      <c r="BD84" t="s">
        <v>74</v>
      </c>
      <c r="BE84" t="s">
        <v>1832</v>
      </c>
      <c r="BF84" t="str">
        <f>HYPERLINK("http://dx.doi.org/10.1111/iji.12638","http://dx.doi.org/10.1111/iji.12638")</f>
        <v>http://dx.doi.org/10.1111/iji.12638</v>
      </c>
      <c r="BG84" t="s">
        <v>74</v>
      </c>
      <c r="BH84" t="s">
        <v>407</v>
      </c>
      <c r="BI84">
        <v>7</v>
      </c>
      <c r="BJ84" t="s">
        <v>1833</v>
      </c>
      <c r="BK84" t="s">
        <v>119</v>
      </c>
      <c r="BL84" t="s">
        <v>1833</v>
      </c>
      <c r="BM84" t="s">
        <v>1834</v>
      </c>
      <c r="BN84">
        <v>37735774</v>
      </c>
      <c r="BO84" t="s">
        <v>122</v>
      </c>
      <c r="BP84" t="s">
        <v>74</v>
      </c>
      <c r="BQ84" t="s">
        <v>74</v>
      </c>
      <c r="BR84" t="s">
        <v>99</v>
      </c>
      <c r="BS84" t="s">
        <v>1835</v>
      </c>
      <c r="BT84" t="str">
        <f>HYPERLINK("https%3A%2F%2Fwww.webofscience.com%2Fwos%2Fwoscc%2Ffull-record%2FWOS:001069494600001","View Full Record in Web of Science")</f>
        <v>View Full Record in Web of Science</v>
      </c>
    </row>
    <row r="85" spans="1:72" x14ac:dyDescent="0.15">
      <c r="A85" t="s">
        <v>72</v>
      </c>
      <c r="B85" t="s">
        <v>1836</v>
      </c>
      <c r="C85" t="s">
        <v>74</v>
      </c>
      <c r="D85" t="s">
        <v>74</v>
      </c>
      <c r="E85" t="s">
        <v>74</v>
      </c>
      <c r="F85" t="s">
        <v>1837</v>
      </c>
      <c r="G85" t="s">
        <v>74</v>
      </c>
      <c r="H85" t="s">
        <v>74</v>
      </c>
      <c r="I85" t="s">
        <v>1838</v>
      </c>
      <c r="J85" t="s">
        <v>1839</v>
      </c>
      <c r="K85" t="s">
        <v>74</v>
      </c>
      <c r="L85" t="s">
        <v>74</v>
      </c>
      <c r="M85" t="s">
        <v>78</v>
      </c>
      <c r="N85" t="s">
        <v>1297</v>
      </c>
      <c r="O85" t="s">
        <v>74</v>
      </c>
      <c r="P85" t="s">
        <v>74</v>
      </c>
      <c r="Q85" t="s">
        <v>74</v>
      </c>
      <c r="R85" t="s">
        <v>74</v>
      </c>
      <c r="S85" t="s">
        <v>74</v>
      </c>
      <c r="T85" t="s">
        <v>1840</v>
      </c>
      <c r="U85" t="s">
        <v>74</v>
      </c>
      <c r="V85" t="s">
        <v>74</v>
      </c>
      <c r="W85" t="s">
        <v>1841</v>
      </c>
      <c r="X85" t="s">
        <v>74</v>
      </c>
      <c r="Y85" t="s">
        <v>1842</v>
      </c>
      <c r="Z85" t="s">
        <v>1843</v>
      </c>
      <c r="AA85" t="s">
        <v>74</v>
      </c>
      <c r="AB85" t="s">
        <v>74</v>
      </c>
      <c r="AC85" t="s">
        <v>74</v>
      </c>
      <c r="AD85" t="s">
        <v>74</v>
      </c>
      <c r="AE85" t="s">
        <v>74</v>
      </c>
      <c r="AF85" t="s">
        <v>74</v>
      </c>
      <c r="AG85">
        <v>2</v>
      </c>
      <c r="AH85">
        <v>0</v>
      </c>
      <c r="AI85">
        <v>0</v>
      </c>
      <c r="AJ85">
        <v>0</v>
      </c>
      <c r="AK85">
        <v>0</v>
      </c>
      <c r="AL85" t="s">
        <v>87</v>
      </c>
      <c r="AM85" t="s">
        <v>88</v>
      </c>
      <c r="AN85" t="s">
        <v>89</v>
      </c>
      <c r="AO85" t="s">
        <v>1844</v>
      </c>
      <c r="AP85" t="s">
        <v>1845</v>
      </c>
      <c r="AQ85" t="s">
        <v>74</v>
      </c>
      <c r="AR85" t="s">
        <v>1846</v>
      </c>
      <c r="AS85" t="s">
        <v>1847</v>
      </c>
      <c r="AT85" t="s">
        <v>1831</v>
      </c>
      <c r="AU85">
        <v>2023</v>
      </c>
      <c r="AV85" t="s">
        <v>74</v>
      </c>
      <c r="AW85" t="s">
        <v>74</v>
      </c>
      <c r="AX85" t="s">
        <v>74</v>
      </c>
      <c r="AY85" t="s">
        <v>74</v>
      </c>
      <c r="AZ85" t="s">
        <v>74</v>
      </c>
      <c r="BA85" t="s">
        <v>74</v>
      </c>
      <c r="BB85" t="s">
        <v>74</v>
      </c>
      <c r="BC85" t="s">
        <v>74</v>
      </c>
      <c r="BD85" t="s">
        <v>74</v>
      </c>
      <c r="BE85" t="s">
        <v>1848</v>
      </c>
      <c r="BF85" t="str">
        <f>HYPERLINK("http://dx.doi.org/10.1111/jce.16080","http://dx.doi.org/10.1111/jce.16080")</f>
        <v>http://dx.doi.org/10.1111/jce.16080</v>
      </c>
      <c r="BG85" t="s">
        <v>74</v>
      </c>
      <c r="BH85" t="s">
        <v>407</v>
      </c>
      <c r="BI85">
        <v>2</v>
      </c>
      <c r="BJ85" t="s">
        <v>1849</v>
      </c>
      <c r="BK85" t="s">
        <v>119</v>
      </c>
      <c r="BL85" t="s">
        <v>1850</v>
      </c>
      <c r="BM85" t="s">
        <v>1851</v>
      </c>
      <c r="BN85">
        <v>37735945</v>
      </c>
      <c r="BO85" t="s">
        <v>74</v>
      </c>
      <c r="BP85" t="s">
        <v>74</v>
      </c>
      <c r="BQ85" t="s">
        <v>74</v>
      </c>
      <c r="BR85" t="s">
        <v>99</v>
      </c>
      <c r="BS85" t="s">
        <v>1852</v>
      </c>
      <c r="BT85" t="str">
        <f>HYPERLINK("https%3A%2F%2Fwww.webofscience.com%2Fwos%2Fwoscc%2Ffull-record%2FWOS:001071085400001","View Full Record in Web of Science")</f>
        <v>View Full Record in Web of Science</v>
      </c>
    </row>
    <row r="86" spans="1:72" x14ac:dyDescent="0.15">
      <c r="A86" t="s">
        <v>72</v>
      </c>
      <c r="B86" t="s">
        <v>1853</v>
      </c>
      <c r="C86" t="s">
        <v>74</v>
      </c>
      <c r="D86" t="s">
        <v>74</v>
      </c>
      <c r="E86" t="s">
        <v>74</v>
      </c>
      <c r="F86" t="s">
        <v>1854</v>
      </c>
      <c r="G86" t="s">
        <v>74</v>
      </c>
      <c r="H86" t="s">
        <v>74</v>
      </c>
      <c r="I86" t="s">
        <v>1855</v>
      </c>
      <c r="J86" t="s">
        <v>1856</v>
      </c>
      <c r="K86" t="s">
        <v>74</v>
      </c>
      <c r="L86" t="s">
        <v>74</v>
      </c>
      <c r="M86" t="s">
        <v>78</v>
      </c>
      <c r="N86" t="s">
        <v>338</v>
      </c>
      <c r="O86" t="s">
        <v>74</v>
      </c>
      <c r="P86" t="s">
        <v>74</v>
      </c>
      <c r="Q86" t="s">
        <v>74</v>
      </c>
      <c r="R86" t="s">
        <v>74</v>
      </c>
      <c r="S86" t="s">
        <v>74</v>
      </c>
      <c r="T86" t="s">
        <v>1857</v>
      </c>
      <c r="U86" t="s">
        <v>74</v>
      </c>
      <c r="V86" t="s">
        <v>1858</v>
      </c>
      <c r="W86" t="s">
        <v>1859</v>
      </c>
      <c r="X86" t="s">
        <v>1860</v>
      </c>
      <c r="Y86" t="s">
        <v>1861</v>
      </c>
      <c r="Z86" t="s">
        <v>1862</v>
      </c>
      <c r="AA86" t="s">
        <v>74</v>
      </c>
      <c r="AB86" t="s">
        <v>74</v>
      </c>
      <c r="AC86" t="s">
        <v>1863</v>
      </c>
      <c r="AD86" t="s">
        <v>1864</v>
      </c>
      <c r="AE86" t="s">
        <v>1865</v>
      </c>
      <c r="AF86" t="s">
        <v>74</v>
      </c>
      <c r="AG86">
        <v>56</v>
      </c>
      <c r="AH86">
        <v>0</v>
      </c>
      <c r="AI86">
        <v>0</v>
      </c>
      <c r="AJ86">
        <v>0</v>
      </c>
      <c r="AK86">
        <v>0</v>
      </c>
      <c r="AL86" t="s">
        <v>1866</v>
      </c>
      <c r="AM86" t="s">
        <v>1867</v>
      </c>
      <c r="AN86" t="s">
        <v>1868</v>
      </c>
      <c r="AO86" t="s">
        <v>1869</v>
      </c>
      <c r="AP86" t="s">
        <v>1870</v>
      </c>
      <c r="AQ86" t="s">
        <v>74</v>
      </c>
      <c r="AR86" t="s">
        <v>1871</v>
      </c>
      <c r="AS86" t="s">
        <v>1872</v>
      </c>
      <c r="AT86" t="s">
        <v>1831</v>
      </c>
      <c r="AU86">
        <v>2023</v>
      </c>
      <c r="AV86" t="s">
        <v>74</v>
      </c>
      <c r="AW86" t="s">
        <v>74</v>
      </c>
      <c r="AX86" t="s">
        <v>74</v>
      </c>
      <c r="AY86" t="s">
        <v>74</v>
      </c>
      <c r="AZ86" t="s">
        <v>74</v>
      </c>
      <c r="BA86" t="s">
        <v>74</v>
      </c>
      <c r="BB86" t="s">
        <v>74</v>
      </c>
      <c r="BC86" t="s">
        <v>74</v>
      </c>
      <c r="BD86" t="s">
        <v>74</v>
      </c>
      <c r="BE86" t="s">
        <v>1873</v>
      </c>
      <c r="BF86" t="str">
        <f>HYPERLINK("http://dx.doi.org/10.1002/widm.1518","http://dx.doi.org/10.1002/widm.1518")</f>
        <v>http://dx.doi.org/10.1002/widm.1518</v>
      </c>
      <c r="BG86" t="s">
        <v>74</v>
      </c>
      <c r="BH86" t="s">
        <v>407</v>
      </c>
      <c r="BI86">
        <v>10</v>
      </c>
      <c r="BJ86" t="s">
        <v>1874</v>
      </c>
      <c r="BK86" t="s">
        <v>119</v>
      </c>
      <c r="BL86" t="s">
        <v>1875</v>
      </c>
      <c r="BM86" t="s">
        <v>1876</v>
      </c>
      <c r="BN86" t="s">
        <v>74</v>
      </c>
      <c r="BO86" t="s">
        <v>74</v>
      </c>
      <c r="BP86" t="s">
        <v>74</v>
      </c>
      <c r="BQ86" t="s">
        <v>74</v>
      </c>
      <c r="BR86" t="s">
        <v>99</v>
      </c>
      <c r="BS86" t="s">
        <v>1877</v>
      </c>
      <c r="BT86" t="str">
        <f>HYPERLINK("https%3A%2F%2Fwww.webofscience.com%2Fwos%2Fwoscc%2Ffull-record%2FWOS:001070635500001","View Full Record in Web of Science")</f>
        <v>View Full Record in Web of Science</v>
      </c>
    </row>
    <row r="87" spans="1:72" x14ac:dyDescent="0.15">
      <c r="A87" t="s">
        <v>72</v>
      </c>
      <c r="B87" t="s">
        <v>1878</v>
      </c>
      <c r="C87" t="s">
        <v>74</v>
      </c>
      <c r="D87" t="s">
        <v>74</v>
      </c>
      <c r="E87" t="s">
        <v>74</v>
      </c>
      <c r="F87" t="s">
        <v>1879</v>
      </c>
      <c r="G87" t="s">
        <v>74</v>
      </c>
      <c r="H87" t="s">
        <v>74</v>
      </c>
      <c r="I87" t="s">
        <v>1880</v>
      </c>
      <c r="J87" t="s">
        <v>1568</v>
      </c>
      <c r="K87" t="s">
        <v>74</v>
      </c>
      <c r="L87" t="s">
        <v>74</v>
      </c>
      <c r="M87" t="s">
        <v>78</v>
      </c>
      <c r="N87" t="s">
        <v>338</v>
      </c>
      <c r="O87" t="s">
        <v>74</v>
      </c>
      <c r="P87" t="s">
        <v>74</v>
      </c>
      <c r="Q87" t="s">
        <v>74</v>
      </c>
      <c r="R87" t="s">
        <v>74</v>
      </c>
      <c r="S87" t="s">
        <v>74</v>
      </c>
      <c r="T87" t="s">
        <v>1881</v>
      </c>
      <c r="U87" t="s">
        <v>1882</v>
      </c>
      <c r="V87" t="s">
        <v>1883</v>
      </c>
      <c r="W87" t="s">
        <v>1884</v>
      </c>
      <c r="X87" t="s">
        <v>1885</v>
      </c>
      <c r="Y87" t="s">
        <v>1886</v>
      </c>
      <c r="Z87" t="s">
        <v>1887</v>
      </c>
      <c r="AA87" t="s">
        <v>74</v>
      </c>
      <c r="AB87" t="s">
        <v>74</v>
      </c>
      <c r="AC87" t="s">
        <v>1888</v>
      </c>
      <c r="AD87" t="s">
        <v>1888</v>
      </c>
      <c r="AE87" t="s">
        <v>1888</v>
      </c>
      <c r="AF87" t="s">
        <v>74</v>
      </c>
      <c r="AG87">
        <v>41</v>
      </c>
      <c r="AH87">
        <v>0</v>
      </c>
      <c r="AI87">
        <v>0</v>
      </c>
      <c r="AJ87">
        <v>2</v>
      </c>
      <c r="AK87">
        <v>2</v>
      </c>
      <c r="AL87" t="s">
        <v>87</v>
      </c>
      <c r="AM87" t="s">
        <v>88</v>
      </c>
      <c r="AN87" t="s">
        <v>89</v>
      </c>
      <c r="AO87" t="s">
        <v>1578</v>
      </c>
      <c r="AP87" t="s">
        <v>74</v>
      </c>
      <c r="AQ87" t="s">
        <v>74</v>
      </c>
      <c r="AR87" t="s">
        <v>1579</v>
      </c>
      <c r="AS87" t="s">
        <v>1580</v>
      </c>
      <c r="AT87" t="s">
        <v>1831</v>
      </c>
      <c r="AU87">
        <v>2023</v>
      </c>
      <c r="AV87" t="s">
        <v>74</v>
      </c>
      <c r="AW87" t="s">
        <v>74</v>
      </c>
      <c r="AX87" t="s">
        <v>74</v>
      </c>
      <c r="AY87" t="s">
        <v>74</v>
      </c>
      <c r="AZ87" t="s">
        <v>74</v>
      </c>
      <c r="BA87" t="s">
        <v>74</v>
      </c>
      <c r="BB87" t="s">
        <v>74</v>
      </c>
      <c r="BC87" t="s">
        <v>74</v>
      </c>
      <c r="BD87" t="s">
        <v>74</v>
      </c>
      <c r="BE87" t="s">
        <v>1889</v>
      </c>
      <c r="BF87" t="str">
        <f>HYPERLINK("http://dx.doi.org/10.1002/cam4.6543","http://dx.doi.org/10.1002/cam4.6543")</f>
        <v>http://dx.doi.org/10.1002/cam4.6543</v>
      </c>
      <c r="BG87" t="s">
        <v>74</v>
      </c>
      <c r="BH87" t="s">
        <v>407</v>
      </c>
      <c r="BI87">
        <v>17</v>
      </c>
      <c r="BJ87" t="s">
        <v>789</v>
      </c>
      <c r="BK87" t="s">
        <v>119</v>
      </c>
      <c r="BL87" t="s">
        <v>789</v>
      </c>
      <c r="BM87" t="s">
        <v>1890</v>
      </c>
      <c r="BN87">
        <v>37732632</v>
      </c>
      <c r="BO87" t="s">
        <v>234</v>
      </c>
      <c r="BP87" t="s">
        <v>74</v>
      </c>
      <c r="BQ87" t="s">
        <v>74</v>
      </c>
      <c r="BR87" t="s">
        <v>99</v>
      </c>
      <c r="BS87" t="s">
        <v>1891</v>
      </c>
      <c r="BT87" t="str">
        <f>HYPERLINK("https%3A%2F%2Fwww.webofscience.com%2Fwos%2Fwoscc%2Ffull-record%2FWOS:001069861900001","View Full Record in Web of Science")</f>
        <v>View Full Record in Web of Science</v>
      </c>
    </row>
    <row r="88" spans="1:72" x14ac:dyDescent="0.15">
      <c r="A88" t="s">
        <v>72</v>
      </c>
      <c r="B88" t="s">
        <v>1892</v>
      </c>
      <c r="C88" t="s">
        <v>74</v>
      </c>
      <c r="D88" t="s">
        <v>74</v>
      </c>
      <c r="E88" t="s">
        <v>74</v>
      </c>
      <c r="F88" t="s">
        <v>1893</v>
      </c>
      <c r="G88" t="s">
        <v>74</v>
      </c>
      <c r="H88" t="s">
        <v>74</v>
      </c>
      <c r="I88" t="s">
        <v>1894</v>
      </c>
      <c r="J88" t="s">
        <v>1895</v>
      </c>
      <c r="K88" t="s">
        <v>74</v>
      </c>
      <c r="L88" t="s">
        <v>74</v>
      </c>
      <c r="M88" t="s">
        <v>78</v>
      </c>
      <c r="N88" t="s">
        <v>338</v>
      </c>
      <c r="O88" t="s">
        <v>74</v>
      </c>
      <c r="P88" t="s">
        <v>74</v>
      </c>
      <c r="Q88" t="s">
        <v>74</v>
      </c>
      <c r="R88" t="s">
        <v>74</v>
      </c>
      <c r="S88" t="s">
        <v>74</v>
      </c>
      <c r="T88" t="s">
        <v>1896</v>
      </c>
      <c r="U88" t="s">
        <v>1897</v>
      </c>
      <c r="V88" t="s">
        <v>1898</v>
      </c>
      <c r="W88" t="s">
        <v>1899</v>
      </c>
      <c r="X88" t="s">
        <v>1900</v>
      </c>
      <c r="Y88" t="s">
        <v>1901</v>
      </c>
      <c r="Z88" t="s">
        <v>1902</v>
      </c>
      <c r="AA88" t="s">
        <v>74</v>
      </c>
      <c r="AB88" t="s">
        <v>74</v>
      </c>
      <c r="AC88" t="s">
        <v>1903</v>
      </c>
      <c r="AD88" t="s">
        <v>1903</v>
      </c>
      <c r="AE88" t="s">
        <v>1903</v>
      </c>
      <c r="AF88" t="s">
        <v>74</v>
      </c>
      <c r="AG88">
        <v>65</v>
      </c>
      <c r="AH88">
        <v>0</v>
      </c>
      <c r="AI88">
        <v>0</v>
      </c>
      <c r="AJ88">
        <v>0</v>
      </c>
      <c r="AK88">
        <v>0</v>
      </c>
      <c r="AL88" t="s">
        <v>87</v>
      </c>
      <c r="AM88" t="s">
        <v>88</v>
      </c>
      <c r="AN88" t="s">
        <v>89</v>
      </c>
      <c r="AO88" t="s">
        <v>74</v>
      </c>
      <c r="AP88" t="s">
        <v>1904</v>
      </c>
      <c r="AQ88" t="s">
        <v>74</v>
      </c>
      <c r="AR88" t="s">
        <v>1905</v>
      </c>
      <c r="AS88" t="s">
        <v>1906</v>
      </c>
      <c r="AT88" t="s">
        <v>1831</v>
      </c>
      <c r="AU88">
        <v>2023</v>
      </c>
      <c r="AV88" t="s">
        <v>74</v>
      </c>
      <c r="AW88" t="s">
        <v>74</v>
      </c>
      <c r="AX88" t="s">
        <v>74</v>
      </c>
      <c r="AY88" t="s">
        <v>74</v>
      </c>
      <c r="AZ88" t="s">
        <v>74</v>
      </c>
      <c r="BA88" t="s">
        <v>74</v>
      </c>
      <c r="BB88" t="s">
        <v>74</v>
      </c>
      <c r="BC88" t="s">
        <v>74</v>
      </c>
      <c r="BD88" t="s">
        <v>74</v>
      </c>
      <c r="BE88" t="s">
        <v>1907</v>
      </c>
      <c r="BF88" t="str">
        <f>HYPERLINK("http://dx.doi.org/10.1111/spc3.12898","http://dx.doi.org/10.1111/spc3.12898")</f>
        <v>http://dx.doi.org/10.1111/spc3.12898</v>
      </c>
      <c r="BG88" t="s">
        <v>74</v>
      </c>
      <c r="BH88" t="s">
        <v>407</v>
      </c>
      <c r="BI88">
        <v>12</v>
      </c>
      <c r="BJ88" t="s">
        <v>1209</v>
      </c>
      <c r="BK88" t="s">
        <v>546</v>
      </c>
      <c r="BL88" t="s">
        <v>1210</v>
      </c>
      <c r="BM88" t="s">
        <v>1908</v>
      </c>
      <c r="BN88" t="s">
        <v>74</v>
      </c>
      <c r="BO88" t="s">
        <v>74</v>
      </c>
      <c r="BP88" t="s">
        <v>74</v>
      </c>
      <c r="BQ88" t="s">
        <v>74</v>
      </c>
      <c r="BR88" t="s">
        <v>99</v>
      </c>
      <c r="BS88" t="s">
        <v>1909</v>
      </c>
      <c r="BT88" t="str">
        <f>HYPERLINK("https%3A%2F%2Fwww.webofscience.com%2Fwos%2Fwoscc%2Ffull-record%2FWOS:001067554600001","View Full Record in Web of Science")</f>
        <v>View Full Record in Web of Science</v>
      </c>
    </row>
    <row r="89" spans="1:72" x14ac:dyDescent="0.15">
      <c r="A89" t="s">
        <v>72</v>
      </c>
      <c r="B89" t="s">
        <v>1910</v>
      </c>
      <c r="C89" t="s">
        <v>74</v>
      </c>
      <c r="D89" t="s">
        <v>74</v>
      </c>
      <c r="E89" t="s">
        <v>74</v>
      </c>
      <c r="F89" t="s">
        <v>1911</v>
      </c>
      <c r="G89" t="s">
        <v>74</v>
      </c>
      <c r="H89" t="s">
        <v>74</v>
      </c>
      <c r="I89" t="s">
        <v>1912</v>
      </c>
      <c r="J89" t="s">
        <v>1913</v>
      </c>
      <c r="K89" t="s">
        <v>74</v>
      </c>
      <c r="L89" t="s">
        <v>74</v>
      </c>
      <c r="M89" t="s">
        <v>78</v>
      </c>
      <c r="N89" t="s">
        <v>338</v>
      </c>
      <c r="O89" t="s">
        <v>74</v>
      </c>
      <c r="P89" t="s">
        <v>74</v>
      </c>
      <c r="Q89" t="s">
        <v>74</v>
      </c>
      <c r="R89" t="s">
        <v>74</v>
      </c>
      <c r="S89" t="s">
        <v>74</v>
      </c>
      <c r="T89" t="s">
        <v>1914</v>
      </c>
      <c r="U89" t="s">
        <v>1915</v>
      </c>
      <c r="V89" t="s">
        <v>1916</v>
      </c>
      <c r="W89" t="s">
        <v>1917</v>
      </c>
      <c r="X89" t="s">
        <v>1918</v>
      </c>
      <c r="Y89" t="s">
        <v>1919</v>
      </c>
      <c r="Z89" t="s">
        <v>1920</v>
      </c>
      <c r="AA89" t="s">
        <v>74</v>
      </c>
      <c r="AB89" t="s">
        <v>74</v>
      </c>
      <c r="AC89" t="s">
        <v>1921</v>
      </c>
      <c r="AD89" t="s">
        <v>1921</v>
      </c>
      <c r="AE89" t="s">
        <v>1921</v>
      </c>
      <c r="AF89" t="s">
        <v>74</v>
      </c>
      <c r="AG89">
        <v>29</v>
      </c>
      <c r="AH89">
        <v>0</v>
      </c>
      <c r="AI89">
        <v>0</v>
      </c>
      <c r="AJ89">
        <v>0</v>
      </c>
      <c r="AK89">
        <v>0</v>
      </c>
      <c r="AL89" t="s">
        <v>87</v>
      </c>
      <c r="AM89" t="s">
        <v>88</v>
      </c>
      <c r="AN89" t="s">
        <v>89</v>
      </c>
      <c r="AO89" t="s">
        <v>1922</v>
      </c>
      <c r="AP89" t="s">
        <v>74</v>
      </c>
      <c r="AQ89" t="s">
        <v>74</v>
      </c>
      <c r="AR89" t="s">
        <v>1923</v>
      </c>
      <c r="AS89" t="s">
        <v>1924</v>
      </c>
      <c r="AT89" t="s">
        <v>1831</v>
      </c>
      <c r="AU89">
        <v>2023</v>
      </c>
      <c r="AV89" t="s">
        <v>74</v>
      </c>
      <c r="AW89" t="s">
        <v>74</v>
      </c>
      <c r="AX89" t="s">
        <v>74</v>
      </c>
      <c r="AY89" t="s">
        <v>74</v>
      </c>
      <c r="AZ89" t="s">
        <v>74</v>
      </c>
      <c r="BA89" t="s">
        <v>74</v>
      </c>
      <c r="BB89" t="s">
        <v>74</v>
      </c>
      <c r="BC89" t="s">
        <v>74</v>
      </c>
      <c r="BD89" t="s">
        <v>74</v>
      </c>
      <c r="BE89" t="s">
        <v>1925</v>
      </c>
      <c r="BF89" t="str">
        <f>HYPERLINK("http://dx.doi.org/10.1002/acm2.14123","http://dx.doi.org/10.1002/acm2.14123")</f>
        <v>http://dx.doi.org/10.1002/acm2.14123</v>
      </c>
      <c r="BG89" t="s">
        <v>74</v>
      </c>
      <c r="BH89" t="s">
        <v>407</v>
      </c>
      <c r="BI89">
        <v>10</v>
      </c>
      <c r="BJ89" t="s">
        <v>1290</v>
      </c>
      <c r="BK89" t="s">
        <v>119</v>
      </c>
      <c r="BL89" t="s">
        <v>1290</v>
      </c>
      <c r="BM89" t="s">
        <v>1926</v>
      </c>
      <c r="BN89">
        <v>37735825</v>
      </c>
      <c r="BO89" t="s">
        <v>234</v>
      </c>
      <c r="BP89" t="s">
        <v>74</v>
      </c>
      <c r="BQ89" t="s">
        <v>74</v>
      </c>
      <c r="BR89" t="s">
        <v>99</v>
      </c>
      <c r="BS89" t="s">
        <v>1927</v>
      </c>
      <c r="BT89" t="str">
        <f>HYPERLINK("https%3A%2F%2Fwww.webofscience.com%2Fwos%2Fwoscc%2Ffull-record%2FWOS:001071050100001","View Full Record in Web of Science")</f>
        <v>View Full Record in Web of Science</v>
      </c>
    </row>
    <row r="90" spans="1:72" x14ac:dyDescent="0.15">
      <c r="A90" t="s">
        <v>72</v>
      </c>
      <c r="B90" t="s">
        <v>1928</v>
      </c>
      <c r="C90" t="s">
        <v>74</v>
      </c>
      <c r="D90" t="s">
        <v>74</v>
      </c>
      <c r="E90" t="s">
        <v>74</v>
      </c>
      <c r="F90" t="s">
        <v>1929</v>
      </c>
      <c r="G90" t="s">
        <v>74</v>
      </c>
      <c r="H90" t="s">
        <v>74</v>
      </c>
      <c r="I90" t="s">
        <v>1930</v>
      </c>
      <c r="J90" t="s">
        <v>1001</v>
      </c>
      <c r="K90" t="s">
        <v>74</v>
      </c>
      <c r="L90" t="s">
        <v>74</v>
      </c>
      <c r="M90" t="s">
        <v>78</v>
      </c>
      <c r="N90" t="s">
        <v>338</v>
      </c>
      <c r="O90" t="s">
        <v>74</v>
      </c>
      <c r="P90" t="s">
        <v>74</v>
      </c>
      <c r="Q90" t="s">
        <v>74</v>
      </c>
      <c r="R90" t="s">
        <v>74</v>
      </c>
      <c r="S90" t="s">
        <v>74</v>
      </c>
      <c r="T90" t="s">
        <v>1931</v>
      </c>
      <c r="U90" t="s">
        <v>1932</v>
      </c>
      <c r="V90" t="s">
        <v>1933</v>
      </c>
      <c r="W90" t="s">
        <v>1934</v>
      </c>
      <c r="X90" t="s">
        <v>1935</v>
      </c>
      <c r="Y90" t="s">
        <v>1936</v>
      </c>
      <c r="Z90" t="s">
        <v>1937</v>
      </c>
      <c r="AA90" t="s">
        <v>74</v>
      </c>
      <c r="AB90" t="s">
        <v>74</v>
      </c>
      <c r="AC90" t="s">
        <v>1938</v>
      </c>
      <c r="AD90" t="s">
        <v>1938</v>
      </c>
      <c r="AE90" t="s">
        <v>1939</v>
      </c>
      <c r="AF90" t="s">
        <v>74</v>
      </c>
      <c r="AG90">
        <v>93</v>
      </c>
      <c r="AH90">
        <v>0</v>
      </c>
      <c r="AI90">
        <v>0</v>
      </c>
      <c r="AJ90">
        <v>3</v>
      </c>
      <c r="AK90">
        <v>3</v>
      </c>
      <c r="AL90" t="s">
        <v>426</v>
      </c>
      <c r="AM90" t="s">
        <v>427</v>
      </c>
      <c r="AN90" t="s">
        <v>428</v>
      </c>
      <c r="AO90" t="s">
        <v>1014</v>
      </c>
      <c r="AP90" t="s">
        <v>1015</v>
      </c>
      <c r="AQ90" t="s">
        <v>74</v>
      </c>
      <c r="AR90" t="s">
        <v>1016</v>
      </c>
      <c r="AS90" t="s">
        <v>1017</v>
      </c>
      <c r="AT90" t="s">
        <v>1831</v>
      </c>
      <c r="AU90">
        <v>2023</v>
      </c>
      <c r="AV90" t="s">
        <v>74</v>
      </c>
      <c r="AW90" t="s">
        <v>74</v>
      </c>
      <c r="AX90" t="s">
        <v>74</v>
      </c>
      <c r="AY90" t="s">
        <v>74</v>
      </c>
      <c r="AZ90" t="s">
        <v>74</v>
      </c>
      <c r="BA90" t="s">
        <v>74</v>
      </c>
      <c r="BB90" t="s">
        <v>74</v>
      </c>
      <c r="BC90" t="s">
        <v>74</v>
      </c>
      <c r="BD90" t="s">
        <v>74</v>
      </c>
      <c r="BE90" t="s">
        <v>1940</v>
      </c>
      <c r="BF90" t="str">
        <f>HYPERLINK("http://dx.doi.org/10.1002/anie.202311598","http://dx.doi.org/10.1002/anie.202311598")</f>
        <v>http://dx.doi.org/10.1002/anie.202311598</v>
      </c>
      <c r="BG90" t="s">
        <v>74</v>
      </c>
      <c r="BH90" t="s">
        <v>407</v>
      </c>
      <c r="BI90">
        <v>7</v>
      </c>
      <c r="BJ90" t="s">
        <v>523</v>
      </c>
      <c r="BK90" t="s">
        <v>119</v>
      </c>
      <c r="BL90" t="s">
        <v>524</v>
      </c>
      <c r="BM90" t="s">
        <v>1941</v>
      </c>
      <c r="BN90">
        <v>37698240</v>
      </c>
      <c r="BO90" t="s">
        <v>122</v>
      </c>
      <c r="BP90" t="s">
        <v>74</v>
      </c>
      <c r="BQ90" t="s">
        <v>74</v>
      </c>
      <c r="BR90" t="s">
        <v>99</v>
      </c>
      <c r="BS90" t="s">
        <v>1942</v>
      </c>
      <c r="BT90" t="str">
        <f>HYPERLINK("https%3A%2F%2Fwww.webofscience.com%2Fwos%2Fwoscc%2Ffull-record%2FWOS:001067515300001","View Full Record in Web of Science")</f>
        <v>View Full Record in Web of Science</v>
      </c>
    </row>
    <row r="91" spans="1:72" x14ac:dyDescent="0.15">
      <c r="A91" t="s">
        <v>72</v>
      </c>
      <c r="B91" t="s">
        <v>1943</v>
      </c>
      <c r="C91" t="s">
        <v>74</v>
      </c>
      <c r="D91" t="s">
        <v>74</v>
      </c>
      <c r="E91" t="s">
        <v>74</v>
      </c>
      <c r="F91" t="s">
        <v>1944</v>
      </c>
      <c r="G91" t="s">
        <v>74</v>
      </c>
      <c r="H91" t="s">
        <v>74</v>
      </c>
      <c r="I91" t="s">
        <v>1945</v>
      </c>
      <c r="J91" t="s">
        <v>1946</v>
      </c>
      <c r="K91" t="s">
        <v>74</v>
      </c>
      <c r="L91" t="s">
        <v>74</v>
      </c>
      <c r="M91" t="s">
        <v>78</v>
      </c>
      <c r="N91" t="s">
        <v>594</v>
      </c>
      <c r="O91" t="s">
        <v>74</v>
      </c>
      <c r="P91" t="s">
        <v>74</v>
      </c>
      <c r="Q91" t="s">
        <v>74</v>
      </c>
      <c r="R91" t="s">
        <v>74</v>
      </c>
      <c r="S91" t="s">
        <v>74</v>
      </c>
      <c r="T91" t="s">
        <v>1947</v>
      </c>
      <c r="U91" t="s">
        <v>1948</v>
      </c>
      <c r="V91" t="s">
        <v>1949</v>
      </c>
      <c r="W91" t="s">
        <v>1950</v>
      </c>
      <c r="X91" t="s">
        <v>1951</v>
      </c>
      <c r="Y91" t="s">
        <v>1952</v>
      </c>
      <c r="Z91" t="s">
        <v>1953</v>
      </c>
      <c r="AA91" t="s">
        <v>74</v>
      </c>
      <c r="AB91" t="s">
        <v>1954</v>
      </c>
      <c r="AC91" t="s">
        <v>74</v>
      </c>
      <c r="AD91" t="s">
        <v>74</v>
      </c>
      <c r="AE91" t="s">
        <v>74</v>
      </c>
      <c r="AF91" t="s">
        <v>74</v>
      </c>
      <c r="AG91">
        <v>79</v>
      </c>
      <c r="AH91">
        <v>0</v>
      </c>
      <c r="AI91">
        <v>0</v>
      </c>
      <c r="AJ91">
        <v>0</v>
      </c>
      <c r="AK91">
        <v>0</v>
      </c>
      <c r="AL91" t="s">
        <v>87</v>
      </c>
      <c r="AM91" t="s">
        <v>88</v>
      </c>
      <c r="AN91" t="s">
        <v>89</v>
      </c>
      <c r="AO91" t="s">
        <v>1955</v>
      </c>
      <c r="AP91" t="s">
        <v>1956</v>
      </c>
      <c r="AQ91" t="s">
        <v>74</v>
      </c>
      <c r="AR91" t="s">
        <v>1957</v>
      </c>
      <c r="AS91" t="s">
        <v>1958</v>
      </c>
      <c r="AT91" t="s">
        <v>1831</v>
      </c>
      <c r="AU91">
        <v>2023</v>
      </c>
      <c r="AV91" t="s">
        <v>74</v>
      </c>
      <c r="AW91" t="s">
        <v>74</v>
      </c>
      <c r="AX91" t="s">
        <v>74</v>
      </c>
      <c r="AY91" t="s">
        <v>74</v>
      </c>
      <c r="AZ91" t="s">
        <v>74</v>
      </c>
      <c r="BA91" t="s">
        <v>74</v>
      </c>
      <c r="BB91" t="s">
        <v>74</v>
      </c>
      <c r="BC91" t="s">
        <v>74</v>
      </c>
      <c r="BD91" t="s">
        <v>74</v>
      </c>
      <c r="BE91" t="s">
        <v>1959</v>
      </c>
      <c r="BF91" t="str">
        <f>HYPERLINK("http://dx.doi.org/10.1111/bcp.15903","http://dx.doi.org/10.1111/bcp.15903")</f>
        <v>http://dx.doi.org/10.1111/bcp.15903</v>
      </c>
      <c r="BG91" t="s">
        <v>74</v>
      </c>
      <c r="BH91" t="s">
        <v>407</v>
      </c>
      <c r="BI91">
        <v>8</v>
      </c>
      <c r="BJ91" t="s">
        <v>299</v>
      </c>
      <c r="BK91" t="s">
        <v>119</v>
      </c>
      <c r="BL91" t="s">
        <v>299</v>
      </c>
      <c r="BM91" t="s">
        <v>1960</v>
      </c>
      <c r="BN91">
        <v>37683599</v>
      </c>
      <c r="BO91" t="s">
        <v>74</v>
      </c>
      <c r="BP91" t="s">
        <v>74</v>
      </c>
      <c r="BQ91" t="s">
        <v>74</v>
      </c>
      <c r="BR91" t="s">
        <v>99</v>
      </c>
      <c r="BS91" t="s">
        <v>1961</v>
      </c>
      <c r="BT91" t="str">
        <f>HYPERLINK("https%3A%2F%2Fwww.webofscience.com%2Fwos%2Fwoscc%2Ffull-record%2FWOS:001071054600001","View Full Record in Web of Science")</f>
        <v>View Full Record in Web of Science</v>
      </c>
    </row>
    <row r="92" spans="1:72" x14ac:dyDescent="0.15">
      <c r="A92" t="s">
        <v>72</v>
      </c>
      <c r="B92" t="s">
        <v>1962</v>
      </c>
      <c r="C92" t="s">
        <v>74</v>
      </c>
      <c r="D92" t="s">
        <v>74</v>
      </c>
      <c r="E92" t="s">
        <v>74</v>
      </c>
      <c r="F92" t="s">
        <v>1963</v>
      </c>
      <c r="G92" t="s">
        <v>74</v>
      </c>
      <c r="H92" t="s">
        <v>74</v>
      </c>
      <c r="I92" t="s">
        <v>1964</v>
      </c>
      <c r="J92" t="s">
        <v>1965</v>
      </c>
      <c r="K92" t="s">
        <v>74</v>
      </c>
      <c r="L92" t="s">
        <v>74</v>
      </c>
      <c r="M92" t="s">
        <v>78</v>
      </c>
      <c r="N92" t="s">
        <v>1297</v>
      </c>
      <c r="O92" t="s">
        <v>74</v>
      </c>
      <c r="P92" t="s">
        <v>74</v>
      </c>
      <c r="Q92" t="s">
        <v>74</v>
      </c>
      <c r="R92" t="s">
        <v>74</v>
      </c>
      <c r="S92" t="s">
        <v>74</v>
      </c>
      <c r="T92" t="s">
        <v>1966</v>
      </c>
      <c r="U92" t="s">
        <v>74</v>
      </c>
      <c r="V92" t="s">
        <v>74</v>
      </c>
      <c r="W92" t="s">
        <v>1967</v>
      </c>
      <c r="X92" t="s">
        <v>1968</v>
      </c>
      <c r="Y92" t="s">
        <v>1969</v>
      </c>
      <c r="Z92" t="s">
        <v>1970</v>
      </c>
      <c r="AA92" t="s">
        <v>74</v>
      </c>
      <c r="AB92" t="s">
        <v>74</v>
      </c>
      <c r="AC92" t="s">
        <v>1971</v>
      </c>
      <c r="AD92" t="s">
        <v>1971</v>
      </c>
      <c r="AE92" t="s">
        <v>1972</v>
      </c>
      <c r="AF92" t="s">
        <v>74</v>
      </c>
      <c r="AG92">
        <v>7</v>
      </c>
      <c r="AH92">
        <v>0</v>
      </c>
      <c r="AI92">
        <v>0</v>
      </c>
      <c r="AJ92">
        <v>0</v>
      </c>
      <c r="AK92">
        <v>0</v>
      </c>
      <c r="AL92" t="s">
        <v>87</v>
      </c>
      <c r="AM92" t="s">
        <v>88</v>
      </c>
      <c r="AN92" t="s">
        <v>89</v>
      </c>
      <c r="AO92" t="s">
        <v>1973</v>
      </c>
      <c r="AP92" t="s">
        <v>74</v>
      </c>
      <c r="AQ92" t="s">
        <v>74</v>
      </c>
      <c r="AR92" t="s">
        <v>1974</v>
      </c>
      <c r="AS92" t="s">
        <v>1975</v>
      </c>
      <c r="AT92" t="s">
        <v>1831</v>
      </c>
      <c r="AU92">
        <v>2023</v>
      </c>
      <c r="AV92" t="s">
        <v>74</v>
      </c>
      <c r="AW92" t="s">
        <v>74</v>
      </c>
      <c r="AX92" t="s">
        <v>74</v>
      </c>
      <c r="AY92" t="s">
        <v>74</v>
      </c>
      <c r="AZ92" t="s">
        <v>74</v>
      </c>
      <c r="BA92" t="s">
        <v>74</v>
      </c>
      <c r="BB92" t="s">
        <v>74</v>
      </c>
      <c r="BC92" t="s">
        <v>74</v>
      </c>
      <c r="BD92" t="s">
        <v>74</v>
      </c>
      <c r="BE92" t="s">
        <v>1976</v>
      </c>
      <c r="BF92" t="str">
        <f>HYPERLINK("http://dx.doi.org/10.1002/mdc3.13875","http://dx.doi.org/10.1002/mdc3.13875")</f>
        <v>http://dx.doi.org/10.1002/mdc3.13875</v>
      </c>
      <c r="BG92" t="s">
        <v>74</v>
      </c>
      <c r="BH92" t="s">
        <v>407</v>
      </c>
      <c r="BI92">
        <v>2</v>
      </c>
      <c r="BJ92" t="s">
        <v>1561</v>
      </c>
      <c r="BK92" t="s">
        <v>119</v>
      </c>
      <c r="BL92" t="s">
        <v>1562</v>
      </c>
      <c r="BM92" t="s">
        <v>1977</v>
      </c>
      <c r="BN92" t="s">
        <v>74</v>
      </c>
      <c r="BO92" t="s">
        <v>74</v>
      </c>
      <c r="BP92" t="s">
        <v>74</v>
      </c>
      <c r="BQ92" t="s">
        <v>74</v>
      </c>
      <c r="BR92" t="s">
        <v>99</v>
      </c>
      <c r="BS92" t="s">
        <v>1978</v>
      </c>
      <c r="BT92" t="str">
        <f>HYPERLINK("https%3A%2F%2Fwww.webofscience.com%2Fwos%2Fwoscc%2Ffull-record%2FWOS:001072971600001","View Full Record in Web of Science")</f>
        <v>View Full Record in Web of Science</v>
      </c>
    </row>
    <row r="93" spans="1:72" x14ac:dyDescent="0.15">
      <c r="A93" t="s">
        <v>72</v>
      </c>
      <c r="B93" t="s">
        <v>1979</v>
      </c>
      <c r="C93" t="s">
        <v>74</v>
      </c>
      <c r="D93" t="s">
        <v>74</v>
      </c>
      <c r="E93" t="s">
        <v>74</v>
      </c>
      <c r="F93" t="s">
        <v>1980</v>
      </c>
      <c r="G93" t="s">
        <v>74</v>
      </c>
      <c r="H93" t="s">
        <v>74</v>
      </c>
      <c r="I93" t="s">
        <v>1981</v>
      </c>
      <c r="J93" t="s">
        <v>1982</v>
      </c>
      <c r="K93" t="s">
        <v>74</v>
      </c>
      <c r="L93" t="s">
        <v>74</v>
      </c>
      <c r="M93" t="s">
        <v>78</v>
      </c>
      <c r="N93" t="s">
        <v>338</v>
      </c>
      <c r="O93" t="s">
        <v>74</v>
      </c>
      <c r="P93" t="s">
        <v>74</v>
      </c>
      <c r="Q93" t="s">
        <v>74</v>
      </c>
      <c r="R93" t="s">
        <v>74</v>
      </c>
      <c r="S93" t="s">
        <v>74</v>
      </c>
      <c r="T93" t="s">
        <v>1983</v>
      </c>
      <c r="U93" t="s">
        <v>1984</v>
      </c>
      <c r="V93" t="s">
        <v>1985</v>
      </c>
      <c r="W93" t="s">
        <v>1986</v>
      </c>
      <c r="X93" t="s">
        <v>1987</v>
      </c>
      <c r="Y93" t="s">
        <v>1988</v>
      </c>
      <c r="Z93" t="s">
        <v>1989</v>
      </c>
      <c r="AA93" t="s">
        <v>74</v>
      </c>
      <c r="AB93" t="s">
        <v>74</v>
      </c>
      <c r="AC93" t="s">
        <v>1990</v>
      </c>
      <c r="AD93" t="s">
        <v>1991</v>
      </c>
      <c r="AE93" t="s">
        <v>1992</v>
      </c>
      <c r="AF93" t="s">
        <v>74</v>
      </c>
      <c r="AG93">
        <v>42</v>
      </c>
      <c r="AH93">
        <v>0</v>
      </c>
      <c r="AI93">
        <v>0</v>
      </c>
      <c r="AJ93">
        <v>1</v>
      </c>
      <c r="AK93">
        <v>1</v>
      </c>
      <c r="AL93" t="s">
        <v>426</v>
      </c>
      <c r="AM93" t="s">
        <v>427</v>
      </c>
      <c r="AN93" t="s">
        <v>428</v>
      </c>
      <c r="AO93" t="s">
        <v>1993</v>
      </c>
      <c r="AP93" t="s">
        <v>1994</v>
      </c>
      <c r="AQ93" t="s">
        <v>74</v>
      </c>
      <c r="AR93" t="s">
        <v>1995</v>
      </c>
      <c r="AS93" t="s">
        <v>1996</v>
      </c>
      <c r="AT93" t="s">
        <v>1831</v>
      </c>
      <c r="AU93">
        <v>2023</v>
      </c>
      <c r="AV93" t="s">
        <v>74</v>
      </c>
      <c r="AW93" t="s">
        <v>74</v>
      </c>
      <c r="AX93" t="s">
        <v>74</v>
      </c>
      <c r="AY93" t="s">
        <v>74</v>
      </c>
      <c r="AZ93" t="s">
        <v>74</v>
      </c>
      <c r="BA93" t="s">
        <v>74</v>
      </c>
      <c r="BB93" t="s">
        <v>74</v>
      </c>
      <c r="BC93" t="s">
        <v>74</v>
      </c>
      <c r="BD93" t="s">
        <v>74</v>
      </c>
      <c r="BE93" t="s">
        <v>1997</v>
      </c>
      <c r="BF93" t="str">
        <f>HYPERLINK("http://dx.doi.org/10.1002/adem.202301108","http://dx.doi.org/10.1002/adem.202301108")</f>
        <v>http://dx.doi.org/10.1002/adem.202301108</v>
      </c>
      <c r="BG93" t="s">
        <v>74</v>
      </c>
      <c r="BH93" t="s">
        <v>407</v>
      </c>
      <c r="BI93">
        <v>14</v>
      </c>
      <c r="BJ93" t="s">
        <v>1998</v>
      </c>
      <c r="BK93" t="s">
        <v>119</v>
      </c>
      <c r="BL93" t="s">
        <v>1999</v>
      </c>
      <c r="BM93" t="s">
        <v>2000</v>
      </c>
      <c r="BN93" t="s">
        <v>74</v>
      </c>
      <c r="BO93" t="s">
        <v>74</v>
      </c>
      <c r="BP93" t="s">
        <v>74</v>
      </c>
      <c r="BQ93" t="s">
        <v>74</v>
      </c>
      <c r="BR93" t="s">
        <v>99</v>
      </c>
      <c r="BS93" t="s">
        <v>2001</v>
      </c>
      <c r="BT93" t="str">
        <f>HYPERLINK("https%3A%2F%2Fwww.webofscience.com%2Fwos%2Fwoscc%2Ffull-record%2FWOS:001069097400001","View Full Record in Web of Science")</f>
        <v>View Full Record in Web of Science</v>
      </c>
    </row>
    <row r="94" spans="1:72" x14ac:dyDescent="0.15">
      <c r="A94" t="s">
        <v>72</v>
      </c>
      <c r="B94" t="s">
        <v>2002</v>
      </c>
      <c r="C94" t="s">
        <v>74</v>
      </c>
      <c r="D94" t="s">
        <v>74</v>
      </c>
      <c r="E94" t="s">
        <v>74</v>
      </c>
      <c r="F94" t="s">
        <v>2003</v>
      </c>
      <c r="G94" t="s">
        <v>74</v>
      </c>
      <c r="H94" t="s">
        <v>74</v>
      </c>
      <c r="I94" t="s">
        <v>2004</v>
      </c>
      <c r="J94" t="s">
        <v>2005</v>
      </c>
      <c r="K94" t="s">
        <v>74</v>
      </c>
      <c r="L94" t="s">
        <v>74</v>
      </c>
      <c r="M94" t="s">
        <v>78</v>
      </c>
      <c r="N94" t="s">
        <v>338</v>
      </c>
      <c r="O94" t="s">
        <v>74</v>
      </c>
      <c r="P94" t="s">
        <v>74</v>
      </c>
      <c r="Q94" t="s">
        <v>74</v>
      </c>
      <c r="R94" t="s">
        <v>74</v>
      </c>
      <c r="S94" t="s">
        <v>74</v>
      </c>
      <c r="T94" t="s">
        <v>2006</v>
      </c>
      <c r="U94" t="s">
        <v>2007</v>
      </c>
      <c r="V94" t="s">
        <v>2008</v>
      </c>
      <c r="W94" t="s">
        <v>2009</v>
      </c>
      <c r="X94" t="s">
        <v>2010</v>
      </c>
      <c r="Y94" t="s">
        <v>2011</v>
      </c>
      <c r="Z94" t="s">
        <v>2012</v>
      </c>
      <c r="AA94" t="s">
        <v>74</v>
      </c>
      <c r="AB94" t="s">
        <v>74</v>
      </c>
      <c r="AC94" t="s">
        <v>2013</v>
      </c>
      <c r="AD94" t="s">
        <v>2014</v>
      </c>
      <c r="AE94" t="s">
        <v>2015</v>
      </c>
      <c r="AF94" t="s">
        <v>74</v>
      </c>
      <c r="AG94">
        <v>45</v>
      </c>
      <c r="AH94">
        <v>0</v>
      </c>
      <c r="AI94">
        <v>0</v>
      </c>
      <c r="AJ94">
        <v>0</v>
      </c>
      <c r="AK94">
        <v>0</v>
      </c>
      <c r="AL94" t="s">
        <v>426</v>
      </c>
      <c r="AM94" t="s">
        <v>427</v>
      </c>
      <c r="AN94" t="s">
        <v>428</v>
      </c>
      <c r="AO94" t="s">
        <v>2016</v>
      </c>
      <c r="AP94" t="s">
        <v>2017</v>
      </c>
      <c r="AQ94" t="s">
        <v>74</v>
      </c>
      <c r="AR94" t="s">
        <v>2018</v>
      </c>
      <c r="AS94" t="s">
        <v>2019</v>
      </c>
      <c r="AT94" t="s">
        <v>2020</v>
      </c>
      <c r="AU94">
        <v>2023</v>
      </c>
      <c r="AV94" t="s">
        <v>74</v>
      </c>
      <c r="AW94" t="s">
        <v>74</v>
      </c>
      <c r="AX94" t="s">
        <v>74</v>
      </c>
      <c r="AY94" t="s">
        <v>74</v>
      </c>
      <c r="AZ94" t="s">
        <v>74</v>
      </c>
      <c r="BA94" t="s">
        <v>74</v>
      </c>
      <c r="BB94" t="s">
        <v>74</v>
      </c>
      <c r="BC94" t="s">
        <v>74</v>
      </c>
      <c r="BD94" t="s">
        <v>74</v>
      </c>
      <c r="BE94" t="s">
        <v>2021</v>
      </c>
      <c r="BF94" t="str">
        <f>HYPERLINK("http://dx.doi.org/10.1002/ente.202300490","http://dx.doi.org/10.1002/ente.202300490")</f>
        <v>http://dx.doi.org/10.1002/ente.202300490</v>
      </c>
      <c r="BG94" t="s">
        <v>74</v>
      </c>
      <c r="BH94" t="s">
        <v>407</v>
      </c>
      <c r="BI94">
        <v>8</v>
      </c>
      <c r="BJ94" t="s">
        <v>2022</v>
      </c>
      <c r="BK94" t="s">
        <v>119</v>
      </c>
      <c r="BL94" t="s">
        <v>2022</v>
      </c>
      <c r="BM94" t="s">
        <v>2023</v>
      </c>
      <c r="BN94" t="s">
        <v>74</v>
      </c>
      <c r="BO94" t="s">
        <v>74</v>
      </c>
      <c r="BP94" t="s">
        <v>74</v>
      </c>
      <c r="BQ94" t="s">
        <v>74</v>
      </c>
      <c r="BR94" t="s">
        <v>99</v>
      </c>
      <c r="BS94" t="s">
        <v>2024</v>
      </c>
      <c r="BT94" t="str">
        <f>HYPERLINK("https%3A%2F%2Fwww.webofscience.com%2Fwos%2Fwoscc%2Ffull-record%2FWOS:001069683400001","View Full Record in Web of Science")</f>
        <v>View Full Record in Web of Science</v>
      </c>
    </row>
    <row r="95" spans="1:72" x14ac:dyDescent="0.15">
      <c r="A95" t="s">
        <v>72</v>
      </c>
      <c r="B95" t="s">
        <v>2025</v>
      </c>
      <c r="C95" t="s">
        <v>74</v>
      </c>
      <c r="D95" t="s">
        <v>74</v>
      </c>
      <c r="E95" t="s">
        <v>74</v>
      </c>
      <c r="F95" t="s">
        <v>2026</v>
      </c>
      <c r="G95" t="s">
        <v>74</v>
      </c>
      <c r="H95" t="s">
        <v>74</v>
      </c>
      <c r="I95" t="s">
        <v>2027</v>
      </c>
      <c r="J95" t="s">
        <v>2028</v>
      </c>
      <c r="K95" t="s">
        <v>74</v>
      </c>
      <c r="L95" t="s">
        <v>74</v>
      </c>
      <c r="M95" t="s">
        <v>78</v>
      </c>
      <c r="N95" t="s">
        <v>79</v>
      </c>
      <c r="O95" t="s">
        <v>74</v>
      </c>
      <c r="P95" t="s">
        <v>74</v>
      </c>
      <c r="Q95" t="s">
        <v>74</v>
      </c>
      <c r="R95" t="s">
        <v>74</v>
      </c>
      <c r="S95" t="s">
        <v>74</v>
      </c>
      <c r="T95" t="s">
        <v>2029</v>
      </c>
      <c r="U95" t="s">
        <v>74</v>
      </c>
      <c r="V95" t="s">
        <v>2030</v>
      </c>
      <c r="W95" t="s">
        <v>2031</v>
      </c>
      <c r="X95" t="s">
        <v>2032</v>
      </c>
      <c r="Y95" t="s">
        <v>2033</v>
      </c>
      <c r="Z95" t="s">
        <v>2034</v>
      </c>
      <c r="AA95" t="s">
        <v>74</v>
      </c>
      <c r="AB95" t="s">
        <v>74</v>
      </c>
      <c r="AC95" t="s">
        <v>2035</v>
      </c>
      <c r="AD95" t="s">
        <v>2035</v>
      </c>
      <c r="AE95" t="s">
        <v>2036</v>
      </c>
      <c r="AF95" t="s">
        <v>74</v>
      </c>
      <c r="AG95">
        <v>34</v>
      </c>
      <c r="AH95">
        <v>0</v>
      </c>
      <c r="AI95">
        <v>0</v>
      </c>
      <c r="AJ95">
        <v>0</v>
      </c>
      <c r="AK95">
        <v>0</v>
      </c>
      <c r="AL95" t="s">
        <v>426</v>
      </c>
      <c r="AM95" t="s">
        <v>427</v>
      </c>
      <c r="AN95" t="s">
        <v>428</v>
      </c>
      <c r="AO95" t="s">
        <v>2037</v>
      </c>
      <c r="AP95" t="s">
        <v>74</v>
      </c>
      <c r="AQ95" t="s">
        <v>74</v>
      </c>
      <c r="AR95" t="s">
        <v>2028</v>
      </c>
      <c r="AS95" t="s">
        <v>2038</v>
      </c>
      <c r="AT95" t="s">
        <v>2039</v>
      </c>
      <c r="AU95">
        <v>2023</v>
      </c>
      <c r="AV95">
        <v>8</v>
      </c>
      <c r="AW95">
        <v>35</v>
      </c>
      <c r="AX95" t="s">
        <v>74</v>
      </c>
      <c r="AY95" t="s">
        <v>74</v>
      </c>
      <c r="AZ95" t="s">
        <v>74</v>
      </c>
      <c r="BA95" t="s">
        <v>74</v>
      </c>
      <c r="BB95" t="s">
        <v>74</v>
      </c>
      <c r="BC95" t="s">
        <v>74</v>
      </c>
      <c r="BD95" t="s">
        <v>2040</v>
      </c>
      <c r="BE95" t="s">
        <v>2041</v>
      </c>
      <c r="BF95" t="str">
        <f>HYPERLINK("http://dx.doi.org/10.1002/slct.202302032","http://dx.doi.org/10.1002/slct.202302032")</f>
        <v>http://dx.doi.org/10.1002/slct.202302032</v>
      </c>
      <c r="BG95" t="s">
        <v>74</v>
      </c>
      <c r="BH95" t="s">
        <v>74</v>
      </c>
      <c r="BI95">
        <v>10</v>
      </c>
      <c r="BJ95" t="s">
        <v>523</v>
      </c>
      <c r="BK95" t="s">
        <v>119</v>
      </c>
      <c r="BL95" t="s">
        <v>524</v>
      </c>
      <c r="BM95" t="s">
        <v>2042</v>
      </c>
      <c r="BN95" t="s">
        <v>74</v>
      </c>
      <c r="BO95" t="s">
        <v>74</v>
      </c>
      <c r="BP95" t="s">
        <v>74</v>
      </c>
      <c r="BQ95" t="s">
        <v>74</v>
      </c>
      <c r="BR95" t="s">
        <v>99</v>
      </c>
      <c r="BS95" t="s">
        <v>2043</v>
      </c>
      <c r="BT95" t="str">
        <f>HYPERLINK("https%3A%2F%2Fwww.webofscience.com%2Fwos%2Fwoscc%2Ffull-record%2FWOS:001066322300001","View Full Record in Web of Science")</f>
        <v>View Full Record in Web of Science</v>
      </c>
    </row>
    <row r="96" spans="1:72" x14ac:dyDescent="0.15">
      <c r="A96" t="s">
        <v>72</v>
      </c>
      <c r="B96" t="s">
        <v>2044</v>
      </c>
      <c r="C96" t="s">
        <v>74</v>
      </c>
      <c r="D96" t="s">
        <v>74</v>
      </c>
      <c r="E96" t="s">
        <v>74</v>
      </c>
      <c r="F96" t="s">
        <v>2045</v>
      </c>
      <c r="G96" t="s">
        <v>74</v>
      </c>
      <c r="H96" t="s">
        <v>74</v>
      </c>
      <c r="I96" t="s">
        <v>2046</v>
      </c>
      <c r="J96" t="s">
        <v>2047</v>
      </c>
      <c r="K96" t="s">
        <v>74</v>
      </c>
      <c r="L96" t="s">
        <v>74</v>
      </c>
      <c r="M96" t="s">
        <v>78</v>
      </c>
      <c r="N96" t="s">
        <v>338</v>
      </c>
      <c r="O96" t="s">
        <v>74</v>
      </c>
      <c r="P96" t="s">
        <v>74</v>
      </c>
      <c r="Q96" t="s">
        <v>74</v>
      </c>
      <c r="R96" t="s">
        <v>74</v>
      </c>
      <c r="S96" t="s">
        <v>74</v>
      </c>
      <c r="T96" t="s">
        <v>2048</v>
      </c>
      <c r="U96" t="s">
        <v>2049</v>
      </c>
      <c r="V96" t="s">
        <v>2050</v>
      </c>
      <c r="W96" t="s">
        <v>2051</v>
      </c>
      <c r="X96" t="s">
        <v>2052</v>
      </c>
      <c r="Y96" t="s">
        <v>2053</v>
      </c>
      <c r="Z96" t="s">
        <v>2054</v>
      </c>
      <c r="AA96" t="s">
        <v>74</v>
      </c>
      <c r="AB96" t="s">
        <v>2055</v>
      </c>
      <c r="AC96" t="s">
        <v>2056</v>
      </c>
      <c r="AD96" t="s">
        <v>2056</v>
      </c>
      <c r="AE96" t="s">
        <v>2057</v>
      </c>
      <c r="AF96" t="s">
        <v>74</v>
      </c>
      <c r="AG96">
        <v>85</v>
      </c>
      <c r="AH96">
        <v>0</v>
      </c>
      <c r="AI96">
        <v>0</v>
      </c>
      <c r="AJ96">
        <v>1</v>
      </c>
      <c r="AK96">
        <v>1</v>
      </c>
      <c r="AL96" t="s">
        <v>87</v>
      </c>
      <c r="AM96" t="s">
        <v>88</v>
      </c>
      <c r="AN96" t="s">
        <v>89</v>
      </c>
      <c r="AO96" t="s">
        <v>2058</v>
      </c>
      <c r="AP96" t="s">
        <v>2059</v>
      </c>
      <c r="AQ96" t="s">
        <v>74</v>
      </c>
      <c r="AR96" t="s">
        <v>2060</v>
      </c>
      <c r="AS96" t="s">
        <v>2061</v>
      </c>
      <c r="AT96" t="s">
        <v>2020</v>
      </c>
      <c r="AU96">
        <v>2023</v>
      </c>
      <c r="AV96" t="s">
        <v>74</v>
      </c>
      <c r="AW96" t="s">
        <v>74</v>
      </c>
      <c r="AX96" t="s">
        <v>74</v>
      </c>
      <c r="AY96" t="s">
        <v>74</v>
      </c>
      <c r="AZ96" t="s">
        <v>74</v>
      </c>
      <c r="BA96" t="s">
        <v>74</v>
      </c>
      <c r="BB96" t="s">
        <v>74</v>
      </c>
      <c r="BC96" t="s">
        <v>74</v>
      </c>
      <c r="BD96" t="s">
        <v>74</v>
      </c>
      <c r="BE96" t="s">
        <v>2062</v>
      </c>
      <c r="BF96" t="str">
        <f>HYPERLINK("http://dx.doi.org/10.1111/gcb.16935","http://dx.doi.org/10.1111/gcb.16935")</f>
        <v>http://dx.doi.org/10.1111/gcb.16935</v>
      </c>
      <c r="BG96" t="s">
        <v>74</v>
      </c>
      <c r="BH96" t="s">
        <v>407</v>
      </c>
      <c r="BI96">
        <v>12</v>
      </c>
      <c r="BJ96" t="s">
        <v>2063</v>
      </c>
      <c r="BK96" t="s">
        <v>119</v>
      </c>
      <c r="BL96" t="s">
        <v>766</v>
      </c>
      <c r="BM96" t="s">
        <v>2064</v>
      </c>
      <c r="BN96">
        <v>37728032</v>
      </c>
      <c r="BO96" t="s">
        <v>122</v>
      </c>
      <c r="BP96" t="s">
        <v>74</v>
      </c>
      <c r="BQ96" t="s">
        <v>74</v>
      </c>
      <c r="BR96" t="s">
        <v>99</v>
      </c>
      <c r="BS96" t="s">
        <v>2065</v>
      </c>
      <c r="BT96" t="str">
        <f>HYPERLINK("https%3A%2F%2Fwww.webofscience.com%2Fwos%2Fwoscc%2Ffull-record%2FWOS:001066606100001","View Full Record in Web of Science")</f>
        <v>View Full Record in Web of Science</v>
      </c>
    </row>
    <row r="97" spans="1:72" x14ac:dyDescent="0.15">
      <c r="A97" t="s">
        <v>72</v>
      </c>
      <c r="B97" t="s">
        <v>2066</v>
      </c>
      <c r="C97" t="s">
        <v>74</v>
      </c>
      <c r="D97" t="s">
        <v>74</v>
      </c>
      <c r="E97" t="s">
        <v>74</v>
      </c>
      <c r="F97" t="s">
        <v>2067</v>
      </c>
      <c r="G97" t="s">
        <v>74</v>
      </c>
      <c r="H97" t="s">
        <v>74</v>
      </c>
      <c r="I97" t="s">
        <v>2068</v>
      </c>
      <c r="J97" t="s">
        <v>2069</v>
      </c>
      <c r="K97" t="s">
        <v>74</v>
      </c>
      <c r="L97" t="s">
        <v>74</v>
      </c>
      <c r="M97" t="s">
        <v>78</v>
      </c>
      <c r="N97" t="s">
        <v>338</v>
      </c>
      <c r="O97" t="s">
        <v>74</v>
      </c>
      <c r="P97" t="s">
        <v>74</v>
      </c>
      <c r="Q97" t="s">
        <v>74</v>
      </c>
      <c r="R97" t="s">
        <v>74</v>
      </c>
      <c r="S97" t="s">
        <v>74</v>
      </c>
      <c r="T97" t="s">
        <v>2070</v>
      </c>
      <c r="U97" t="s">
        <v>2071</v>
      </c>
      <c r="V97" t="s">
        <v>2072</v>
      </c>
      <c r="W97" t="s">
        <v>2073</v>
      </c>
      <c r="X97" t="s">
        <v>2074</v>
      </c>
      <c r="Y97" t="s">
        <v>2075</v>
      </c>
      <c r="Z97" t="s">
        <v>2076</v>
      </c>
      <c r="AA97" t="s">
        <v>74</v>
      </c>
      <c r="AB97" t="s">
        <v>2077</v>
      </c>
      <c r="AC97" t="s">
        <v>2078</v>
      </c>
      <c r="AD97" t="s">
        <v>2079</v>
      </c>
      <c r="AE97" t="s">
        <v>2080</v>
      </c>
      <c r="AF97" t="s">
        <v>74</v>
      </c>
      <c r="AG97">
        <v>26</v>
      </c>
      <c r="AH97">
        <v>0</v>
      </c>
      <c r="AI97">
        <v>0</v>
      </c>
      <c r="AJ97">
        <v>0</v>
      </c>
      <c r="AK97">
        <v>0</v>
      </c>
      <c r="AL97" t="s">
        <v>87</v>
      </c>
      <c r="AM97" t="s">
        <v>88</v>
      </c>
      <c r="AN97" t="s">
        <v>89</v>
      </c>
      <c r="AO97" t="s">
        <v>2081</v>
      </c>
      <c r="AP97" t="s">
        <v>2082</v>
      </c>
      <c r="AQ97" t="s">
        <v>74</v>
      </c>
      <c r="AR97" t="s">
        <v>2083</v>
      </c>
      <c r="AS97" t="s">
        <v>2084</v>
      </c>
      <c r="AT97" t="s">
        <v>2020</v>
      </c>
      <c r="AU97">
        <v>2023</v>
      </c>
      <c r="AV97" t="s">
        <v>74</v>
      </c>
      <c r="AW97" t="s">
        <v>74</v>
      </c>
      <c r="AX97" t="s">
        <v>74</v>
      </c>
      <c r="AY97" t="s">
        <v>74</v>
      </c>
      <c r="AZ97" t="s">
        <v>74</v>
      </c>
      <c r="BA97" t="s">
        <v>74</v>
      </c>
      <c r="BB97" t="s">
        <v>74</v>
      </c>
      <c r="BC97" t="s">
        <v>74</v>
      </c>
      <c r="BD97" t="s">
        <v>74</v>
      </c>
      <c r="BE97" t="s">
        <v>2085</v>
      </c>
      <c r="BF97" t="str">
        <f>HYPERLINK("http://dx.doi.org/10.1111/joor.13595","http://dx.doi.org/10.1111/joor.13595")</f>
        <v>http://dx.doi.org/10.1111/joor.13595</v>
      </c>
      <c r="BG97" t="s">
        <v>74</v>
      </c>
      <c r="BH97" t="s">
        <v>407</v>
      </c>
      <c r="BI97">
        <v>8</v>
      </c>
      <c r="BJ97" t="s">
        <v>314</v>
      </c>
      <c r="BK97" t="s">
        <v>119</v>
      </c>
      <c r="BL97" t="s">
        <v>314</v>
      </c>
      <c r="BM97" t="s">
        <v>2086</v>
      </c>
      <c r="BN97">
        <v>37727994</v>
      </c>
      <c r="BO97" t="s">
        <v>301</v>
      </c>
      <c r="BP97" t="s">
        <v>74</v>
      </c>
      <c r="BQ97" t="s">
        <v>74</v>
      </c>
      <c r="BR97" t="s">
        <v>99</v>
      </c>
      <c r="BS97" t="s">
        <v>2087</v>
      </c>
      <c r="BT97" t="str">
        <f>HYPERLINK("https%3A%2F%2Fwww.webofscience.com%2Fwos%2Fwoscc%2Ffull-record%2FWOS:001066605100001","View Full Record in Web of Science")</f>
        <v>View Full Record in Web of Science</v>
      </c>
    </row>
    <row r="98" spans="1:72" x14ac:dyDescent="0.15">
      <c r="A98" t="s">
        <v>72</v>
      </c>
      <c r="B98" t="s">
        <v>2088</v>
      </c>
      <c r="C98" t="s">
        <v>74</v>
      </c>
      <c r="D98" t="s">
        <v>74</v>
      </c>
      <c r="E98" t="s">
        <v>74</v>
      </c>
      <c r="F98" t="s">
        <v>2089</v>
      </c>
      <c r="G98" t="s">
        <v>74</v>
      </c>
      <c r="H98" t="s">
        <v>74</v>
      </c>
      <c r="I98" t="s">
        <v>2090</v>
      </c>
      <c r="J98" t="s">
        <v>2091</v>
      </c>
      <c r="K98" t="s">
        <v>74</v>
      </c>
      <c r="L98" t="s">
        <v>74</v>
      </c>
      <c r="M98" t="s">
        <v>78</v>
      </c>
      <c r="N98" t="s">
        <v>338</v>
      </c>
      <c r="O98" t="s">
        <v>74</v>
      </c>
      <c r="P98" t="s">
        <v>74</v>
      </c>
      <c r="Q98" t="s">
        <v>74</v>
      </c>
      <c r="R98" t="s">
        <v>74</v>
      </c>
      <c r="S98" t="s">
        <v>74</v>
      </c>
      <c r="T98" t="s">
        <v>2092</v>
      </c>
      <c r="U98" t="s">
        <v>2093</v>
      </c>
      <c r="V98" t="s">
        <v>2094</v>
      </c>
      <c r="W98" t="s">
        <v>2095</v>
      </c>
      <c r="X98" t="s">
        <v>2096</v>
      </c>
      <c r="Y98" t="s">
        <v>2097</v>
      </c>
      <c r="Z98" t="s">
        <v>2098</v>
      </c>
      <c r="AA98" t="s">
        <v>74</v>
      </c>
      <c r="AB98" t="s">
        <v>2099</v>
      </c>
      <c r="AC98" t="s">
        <v>2100</v>
      </c>
      <c r="AD98" t="s">
        <v>2101</v>
      </c>
      <c r="AE98" t="s">
        <v>2102</v>
      </c>
      <c r="AF98" t="s">
        <v>74</v>
      </c>
      <c r="AG98">
        <v>42</v>
      </c>
      <c r="AH98">
        <v>0</v>
      </c>
      <c r="AI98">
        <v>0</v>
      </c>
      <c r="AJ98">
        <v>1</v>
      </c>
      <c r="AK98">
        <v>1</v>
      </c>
      <c r="AL98" t="s">
        <v>426</v>
      </c>
      <c r="AM98" t="s">
        <v>427</v>
      </c>
      <c r="AN98" t="s">
        <v>428</v>
      </c>
      <c r="AO98" t="s">
        <v>2103</v>
      </c>
      <c r="AP98" t="s">
        <v>2104</v>
      </c>
      <c r="AQ98" t="s">
        <v>74</v>
      </c>
      <c r="AR98" t="s">
        <v>2105</v>
      </c>
      <c r="AS98" t="s">
        <v>2106</v>
      </c>
      <c r="AT98" t="s">
        <v>2020</v>
      </c>
      <c r="AU98">
        <v>2023</v>
      </c>
      <c r="AV98" t="s">
        <v>74</v>
      </c>
      <c r="AW98" t="s">
        <v>74</v>
      </c>
      <c r="AX98" t="s">
        <v>74</v>
      </c>
      <c r="AY98" t="s">
        <v>74</v>
      </c>
      <c r="AZ98" t="s">
        <v>74</v>
      </c>
      <c r="BA98" t="s">
        <v>74</v>
      </c>
      <c r="BB98" t="s">
        <v>74</v>
      </c>
      <c r="BC98" t="s">
        <v>74</v>
      </c>
      <c r="BD98" t="s">
        <v>74</v>
      </c>
      <c r="BE98" t="s">
        <v>2107</v>
      </c>
      <c r="BF98" t="str">
        <f>HYPERLINK("http://dx.doi.org/10.1002/maco.202313931","http://dx.doi.org/10.1002/maco.202313931")</f>
        <v>http://dx.doi.org/10.1002/maco.202313931</v>
      </c>
      <c r="BG98" t="s">
        <v>74</v>
      </c>
      <c r="BH98" t="s">
        <v>407</v>
      </c>
      <c r="BI98">
        <v>7</v>
      </c>
      <c r="BJ98" t="s">
        <v>2108</v>
      </c>
      <c r="BK98" t="s">
        <v>119</v>
      </c>
      <c r="BL98" t="s">
        <v>2109</v>
      </c>
      <c r="BM98" t="s">
        <v>2110</v>
      </c>
      <c r="BN98" t="s">
        <v>74</v>
      </c>
      <c r="BO98" t="s">
        <v>122</v>
      </c>
      <c r="BP98" t="s">
        <v>74</v>
      </c>
      <c r="BQ98" t="s">
        <v>74</v>
      </c>
      <c r="BR98" t="s">
        <v>99</v>
      </c>
      <c r="BS98" t="s">
        <v>2111</v>
      </c>
      <c r="BT98" t="str">
        <f>HYPERLINK("https%3A%2F%2Fwww.webofscience.com%2Fwos%2Fwoscc%2Ffull-record%2FWOS:001068791600001","View Full Record in Web of Science")</f>
        <v>View Full Record in Web of Science</v>
      </c>
    </row>
    <row r="99" spans="1:72" x14ac:dyDescent="0.15">
      <c r="A99" t="s">
        <v>72</v>
      </c>
      <c r="B99" t="s">
        <v>2112</v>
      </c>
      <c r="C99" t="s">
        <v>74</v>
      </c>
      <c r="D99" t="s">
        <v>74</v>
      </c>
      <c r="E99" t="s">
        <v>74</v>
      </c>
      <c r="F99" t="s">
        <v>2113</v>
      </c>
      <c r="G99" t="s">
        <v>74</v>
      </c>
      <c r="H99" t="s">
        <v>74</v>
      </c>
      <c r="I99" t="s">
        <v>2114</v>
      </c>
      <c r="J99" t="s">
        <v>2115</v>
      </c>
      <c r="K99" t="s">
        <v>74</v>
      </c>
      <c r="L99" t="s">
        <v>74</v>
      </c>
      <c r="M99" t="s">
        <v>78</v>
      </c>
      <c r="N99" t="s">
        <v>338</v>
      </c>
      <c r="O99" t="s">
        <v>74</v>
      </c>
      <c r="P99" t="s">
        <v>74</v>
      </c>
      <c r="Q99" t="s">
        <v>74</v>
      </c>
      <c r="R99" t="s">
        <v>74</v>
      </c>
      <c r="S99" t="s">
        <v>74</v>
      </c>
      <c r="T99" t="s">
        <v>74</v>
      </c>
      <c r="U99" t="s">
        <v>2116</v>
      </c>
      <c r="V99" t="s">
        <v>2117</v>
      </c>
      <c r="W99" t="s">
        <v>2118</v>
      </c>
      <c r="X99" t="s">
        <v>2119</v>
      </c>
      <c r="Y99" t="s">
        <v>2120</v>
      </c>
      <c r="Z99" t="s">
        <v>2121</v>
      </c>
      <c r="AA99" t="s">
        <v>74</v>
      </c>
      <c r="AB99" t="s">
        <v>74</v>
      </c>
      <c r="AC99" t="s">
        <v>74</v>
      </c>
      <c r="AD99" t="s">
        <v>74</v>
      </c>
      <c r="AE99" t="s">
        <v>74</v>
      </c>
      <c r="AF99" t="s">
        <v>74</v>
      </c>
      <c r="AG99">
        <v>149</v>
      </c>
      <c r="AH99">
        <v>0</v>
      </c>
      <c r="AI99">
        <v>0</v>
      </c>
      <c r="AJ99">
        <v>0</v>
      </c>
      <c r="AK99">
        <v>0</v>
      </c>
      <c r="AL99" t="s">
        <v>87</v>
      </c>
      <c r="AM99" t="s">
        <v>88</v>
      </c>
      <c r="AN99" t="s">
        <v>89</v>
      </c>
      <c r="AO99" t="s">
        <v>2122</v>
      </c>
      <c r="AP99" t="s">
        <v>2123</v>
      </c>
      <c r="AQ99" t="s">
        <v>74</v>
      </c>
      <c r="AR99" t="s">
        <v>2124</v>
      </c>
      <c r="AS99" t="s">
        <v>2125</v>
      </c>
      <c r="AT99" t="s">
        <v>2020</v>
      </c>
      <c r="AU99">
        <v>2023</v>
      </c>
      <c r="AV99" t="s">
        <v>74</v>
      </c>
      <c r="AW99" t="s">
        <v>74</v>
      </c>
      <c r="AX99" t="s">
        <v>74</v>
      </c>
      <c r="AY99" t="s">
        <v>74</v>
      </c>
      <c r="AZ99" t="s">
        <v>74</v>
      </c>
      <c r="BA99" t="s">
        <v>74</v>
      </c>
      <c r="BB99" t="s">
        <v>74</v>
      </c>
      <c r="BC99" t="s">
        <v>74</v>
      </c>
      <c r="BD99" t="s">
        <v>74</v>
      </c>
      <c r="BE99" t="s">
        <v>2126</v>
      </c>
      <c r="BF99" t="str">
        <f>HYPERLINK("http://dx.doi.org/10.1111/1758-5899.13219","http://dx.doi.org/10.1111/1758-5899.13219")</f>
        <v>http://dx.doi.org/10.1111/1758-5899.13219</v>
      </c>
      <c r="BG99" t="s">
        <v>74</v>
      </c>
      <c r="BH99" t="s">
        <v>407</v>
      </c>
      <c r="BI99">
        <v>22</v>
      </c>
      <c r="BJ99" t="s">
        <v>2127</v>
      </c>
      <c r="BK99" t="s">
        <v>546</v>
      </c>
      <c r="BL99" t="s">
        <v>2128</v>
      </c>
      <c r="BM99" t="s">
        <v>2129</v>
      </c>
      <c r="BN99" t="s">
        <v>74</v>
      </c>
      <c r="BO99" t="s">
        <v>122</v>
      </c>
      <c r="BP99" t="s">
        <v>74</v>
      </c>
      <c r="BQ99" t="s">
        <v>74</v>
      </c>
      <c r="BR99" t="s">
        <v>99</v>
      </c>
      <c r="BS99" t="s">
        <v>2130</v>
      </c>
      <c r="BT99" t="str">
        <f>HYPERLINK("https%3A%2F%2Fwww.webofscience.com%2Fwos%2Fwoscc%2Ffull-record%2FWOS:001066742600001","View Full Record in Web of Science")</f>
        <v>View Full Record in Web of Science</v>
      </c>
    </row>
    <row r="100" spans="1:72" x14ac:dyDescent="0.15">
      <c r="A100" t="s">
        <v>72</v>
      </c>
      <c r="B100" t="s">
        <v>2131</v>
      </c>
      <c r="C100" t="s">
        <v>74</v>
      </c>
      <c r="D100" t="s">
        <v>74</v>
      </c>
      <c r="E100" t="s">
        <v>74</v>
      </c>
      <c r="F100" t="s">
        <v>2132</v>
      </c>
      <c r="G100" t="s">
        <v>74</v>
      </c>
      <c r="H100" t="s">
        <v>74</v>
      </c>
      <c r="I100" t="s">
        <v>2133</v>
      </c>
      <c r="J100" t="s">
        <v>2134</v>
      </c>
      <c r="K100" t="s">
        <v>74</v>
      </c>
      <c r="L100" t="s">
        <v>74</v>
      </c>
      <c r="M100" t="s">
        <v>78</v>
      </c>
      <c r="N100" t="s">
        <v>338</v>
      </c>
      <c r="O100" t="s">
        <v>74</v>
      </c>
      <c r="P100" t="s">
        <v>74</v>
      </c>
      <c r="Q100" t="s">
        <v>74</v>
      </c>
      <c r="R100" t="s">
        <v>74</v>
      </c>
      <c r="S100" t="s">
        <v>74</v>
      </c>
      <c r="T100" t="s">
        <v>2135</v>
      </c>
      <c r="U100" t="s">
        <v>2136</v>
      </c>
      <c r="V100" t="s">
        <v>2137</v>
      </c>
      <c r="W100" t="s">
        <v>2138</v>
      </c>
      <c r="X100" t="s">
        <v>2139</v>
      </c>
      <c r="Y100" t="s">
        <v>2140</v>
      </c>
      <c r="Z100" t="s">
        <v>2141</v>
      </c>
      <c r="AA100" t="s">
        <v>74</v>
      </c>
      <c r="AB100" t="s">
        <v>74</v>
      </c>
      <c r="AC100" t="s">
        <v>2142</v>
      </c>
      <c r="AD100" t="s">
        <v>2142</v>
      </c>
      <c r="AE100" t="s">
        <v>2142</v>
      </c>
      <c r="AF100" t="s">
        <v>74</v>
      </c>
      <c r="AG100">
        <v>36</v>
      </c>
      <c r="AH100">
        <v>0</v>
      </c>
      <c r="AI100">
        <v>0</v>
      </c>
      <c r="AJ100">
        <v>0</v>
      </c>
      <c r="AK100">
        <v>0</v>
      </c>
      <c r="AL100" t="s">
        <v>87</v>
      </c>
      <c r="AM100" t="s">
        <v>88</v>
      </c>
      <c r="AN100" t="s">
        <v>89</v>
      </c>
      <c r="AO100" t="s">
        <v>2143</v>
      </c>
      <c r="AP100" t="s">
        <v>2144</v>
      </c>
      <c r="AQ100" t="s">
        <v>74</v>
      </c>
      <c r="AR100" t="s">
        <v>2145</v>
      </c>
      <c r="AS100" t="s">
        <v>2146</v>
      </c>
      <c r="AT100" t="s">
        <v>2020</v>
      </c>
      <c r="AU100">
        <v>2023</v>
      </c>
      <c r="AV100" t="s">
        <v>74</v>
      </c>
      <c r="AW100" t="s">
        <v>74</v>
      </c>
      <c r="AX100" t="s">
        <v>74</v>
      </c>
      <c r="AY100" t="s">
        <v>74</v>
      </c>
      <c r="AZ100" t="s">
        <v>74</v>
      </c>
      <c r="BA100" t="s">
        <v>74</v>
      </c>
      <c r="BB100" t="s">
        <v>74</v>
      </c>
      <c r="BC100" t="s">
        <v>74</v>
      </c>
      <c r="BD100" t="s">
        <v>74</v>
      </c>
      <c r="BE100" t="s">
        <v>2147</v>
      </c>
      <c r="BF100" t="str">
        <f>HYPERLINK("http://dx.doi.org/10.1111/jnp.12345","http://dx.doi.org/10.1111/jnp.12345")</f>
        <v>http://dx.doi.org/10.1111/jnp.12345</v>
      </c>
      <c r="BG100" t="s">
        <v>74</v>
      </c>
      <c r="BH100" t="s">
        <v>407</v>
      </c>
      <c r="BI100">
        <v>12</v>
      </c>
      <c r="BJ100" t="s">
        <v>2148</v>
      </c>
      <c r="BK100" t="s">
        <v>409</v>
      </c>
      <c r="BL100" t="s">
        <v>1210</v>
      </c>
      <c r="BM100" t="s">
        <v>2149</v>
      </c>
      <c r="BN100">
        <v>37731206</v>
      </c>
      <c r="BO100" t="s">
        <v>74</v>
      </c>
      <c r="BP100" t="s">
        <v>74</v>
      </c>
      <c r="BQ100" t="s">
        <v>74</v>
      </c>
      <c r="BR100" t="s">
        <v>99</v>
      </c>
      <c r="BS100" t="s">
        <v>2150</v>
      </c>
      <c r="BT100" t="str">
        <f>HYPERLINK("https%3A%2F%2Fwww.webofscience.com%2Fwos%2Fwoscc%2Ffull-record%2FWOS:001067238300001","View Full Record in Web of Science")</f>
        <v>View Full Record in Web of Science</v>
      </c>
    </row>
    <row r="101" spans="1:72" x14ac:dyDescent="0.15">
      <c r="A101" t="s">
        <v>72</v>
      </c>
      <c r="B101" t="s">
        <v>2151</v>
      </c>
      <c r="C101" t="s">
        <v>74</v>
      </c>
      <c r="D101" t="s">
        <v>74</v>
      </c>
      <c r="E101" t="s">
        <v>74</v>
      </c>
      <c r="F101" t="s">
        <v>2152</v>
      </c>
      <c r="G101" t="s">
        <v>74</v>
      </c>
      <c r="H101" t="s">
        <v>74</v>
      </c>
      <c r="I101" t="s">
        <v>2153</v>
      </c>
      <c r="J101" t="s">
        <v>896</v>
      </c>
      <c r="K101" t="s">
        <v>74</v>
      </c>
      <c r="L101" t="s">
        <v>74</v>
      </c>
      <c r="M101" t="s">
        <v>78</v>
      </c>
      <c r="N101" t="s">
        <v>2154</v>
      </c>
      <c r="O101" t="s">
        <v>74</v>
      </c>
      <c r="P101" t="s">
        <v>74</v>
      </c>
      <c r="Q101" t="s">
        <v>74</v>
      </c>
      <c r="R101" t="s">
        <v>74</v>
      </c>
      <c r="S101" t="s">
        <v>74</v>
      </c>
      <c r="T101" t="s">
        <v>74</v>
      </c>
      <c r="U101" t="s">
        <v>74</v>
      </c>
      <c r="V101" t="s">
        <v>74</v>
      </c>
      <c r="W101" t="s">
        <v>2155</v>
      </c>
      <c r="X101" t="s">
        <v>2156</v>
      </c>
      <c r="Y101" t="s">
        <v>2157</v>
      </c>
      <c r="Z101" t="s">
        <v>2158</v>
      </c>
      <c r="AA101" t="s">
        <v>2159</v>
      </c>
      <c r="AB101" t="s">
        <v>2160</v>
      </c>
      <c r="AC101" t="s">
        <v>74</v>
      </c>
      <c r="AD101" t="s">
        <v>74</v>
      </c>
      <c r="AE101" t="s">
        <v>74</v>
      </c>
      <c r="AF101" t="s">
        <v>74</v>
      </c>
      <c r="AG101">
        <v>0</v>
      </c>
      <c r="AH101">
        <v>0</v>
      </c>
      <c r="AI101">
        <v>0</v>
      </c>
      <c r="AJ101">
        <v>0</v>
      </c>
      <c r="AK101">
        <v>0</v>
      </c>
      <c r="AL101" t="s">
        <v>87</v>
      </c>
      <c r="AM101" t="s">
        <v>88</v>
      </c>
      <c r="AN101" t="s">
        <v>89</v>
      </c>
      <c r="AO101" t="s">
        <v>908</v>
      </c>
      <c r="AP101" t="s">
        <v>909</v>
      </c>
      <c r="AQ101" t="s">
        <v>74</v>
      </c>
      <c r="AR101" t="s">
        <v>910</v>
      </c>
      <c r="AS101" t="s">
        <v>911</v>
      </c>
      <c r="AT101" t="s">
        <v>2020</v>
      </c>
      <c r="AU101">
        <v>2023</v>
      </c>
      <c r="AV101" t="s">
        <v>74</v>
      </c>
      <c r="AW101" t="s">
        <v>74</v>
      </c>
      <c r="AX101" t="s">
        <v>74</v>
      </c>
      <c r="AY101" t="s">
        <v>74</v>
      </c>
      <c r="AZ101" t="s">
        <v>74</v>
      </c>
      <c r="BA101" t="s">
        <v>74</v>
      </c>
      <c r="BB101" t="s">
        <v>74</v>
      </c>
      <c r="BC101" t="s">
        <v>74</v>
      </c>
      <c r="BD101" t="s">
        <v>74</v>
      </c>
      <c r="BE101" t="s">
        <v>2161</v>
      </c>
      <c r="BF101" t="str">
        <f>HYPERLINK("http://dx.doi.org/10.1111/mec.17133","http://dx.doi.org/10.1111/mec.17133")</f>
        <v>http://dx.doi.org/10.1111/mec.17133</v>
      </c>
      <c r="BG101" t="s">
        <v>74</v>
      </c>
      <c r="BH101" t="s">
        <v>407</v>
      </c>
      <c r="BI101">
        <v>2</v>
      </c>
      <c r="BJ101" t="s">
        <v>914</v>
      </c>
      <c r="BK101" t="s">
        <v>119</v>
      </c>
      <c r="BL101" t="s">
        <v>915</v>
      </c>
      <c r="BM101" t="s">
        <v>2162</v>
      </c>
      <c r="BN101">
        <v>37728013</v>
      </c>
      <c r="BO101" t="s">
        <v>301</v>
      </c>
      <c r="BP101" t="s">
        <v>74</v>
      </c>
      <c r="BQ101" t="s">
        <v>74</v>
      </c>
      <c r="BR101" t="s">
        <v>99</v>
      </c>
      <c r="BS101" t="s">
        <v>2163</v>
      </c>
      <c r="BT101" t="str">
        <f>HYPERLINK("https%3A%2F%2Fwww.webofscience.com%2Fwos%2Fwoscc%2Ffull-record%2FWOS:001069634600001","View Full Record in Web of Science")</f>
        <v>View Full Record in Web of Science</v>
      </c>
    </row>
    <row r="102" spans="1:72" x14ac:dyDescent="0.15">
      <c r="A102" t="s">
        <v>72</v>
      </c>
      <c r="B102" t="s">
        <v>2164</v>
      </c>
      <c r="C102" t="s">
        <v>74</v>
      </c>
      <c r="D102" t="s">
        <v>74</v>
      </c>
      <c r="E102" t="s">
        <v>74</v>
      </c>
      <c r="F102" t="s">
        <v>2165</v>
      </c>
      <c r="G102" t="s">
        <v>74</v>
      </c>
      <c r="H102" t="s">
        <v>74</v>
      </c>
      <c r="I102" t="s">
        <v>2166</v>
      </c>
      <c r="J102" t="s">
        <v>2167</v>
      </c>
      <c r="K102" t="s">
        <v>74</v>
      </c>
      <c r="L102" t="s">
        <v>74</v>
      </c>
      <c r="M102" t="s">
        <v>78</v>
      </c>
      <c r="N102" t="s">
        <v>338</v>
      </c>
      <c r="O102" t="s">
        <v>74</v>
      </c>
      <c r="P102" t="s">
        <v>74</v>
      </c>
      <c r="Q102" t="s">
        <v>74</v>
      </c>
      <c r="R102" t="s">
        <v>74</v>
      </c>
      <c r="S102" t="s">
        <v>74</v>
      </c>
      <c r="T102" t="s">
        <v>2168</v>
      </c>
      <c r="U102" t="s">
        <v>2169</v>
      </c>
      <c r="V102" t="s">
        <v>2170</v>
      </c>
      <c r="W102" t="s">
        <v>2171</v>
      </c>
      <c r="X102" t="s">
        <v>2172</v>
      </c>
      <c r="Y102" t="s">
        <v>2173</v>
      </c>
      <c r="Z102" t="s">
        <v>2174</v>
      </c>
      <c r="AA102" t="s">
        <v>2175</v>
      </c>
      <c r="AB102" t="s">
        <v>2176</v>
      </c>
      <c r="AC102" t="s">
        <v>2177</v>
      </c>
      <c r="AD102" t="s">
        <v>2178</v>
      </c>
      <c r="AE102" t="s">
        <v>2179</v>
      </c>
      <c r="AF102" t="s">
        <v>74</v>
      </c>
      <c r="AG102">
        <v>63</v>
      </c>
      <c r="AH102">
        <v>0</v>
      </c>
      <c r="AI102">
        <v>0</v>
      </c>
      <c r="AJ102">
        <v>0</v>
      </c>
      <c r="AK102">
        <v>0</v>
      </c>
      <c r="AL102" t="s">
        <v>87</v>
      </c>
      <c r="AM102" t="s">
        <v>88</v>
      </c>
      <c r="AN102" t="s">
        <v>89</v>
      </c>
      <c r="AO102" t="s">
        <v>2180</v>
      </c>
      <c r="AP102" t="s">
        <v>2181</v>
      </c>
      <c r="AQ102" t="s">
        <v>74</v>
      </c>
      <c r="AR102" t="s">
        <v>2182</v>
      </c>
      <c r="AS102" t="s">
        <v>2183</v>
      </c>
      <c r="AT102" t="s">
        <v>2020</v>
      </c>
      <c r="AU102">
        <v>2023</v>
      </c>
      <c r="AV102" t="s">
        <v>74</v>
      </c>
      <c r="AW102" t="s">
        <v>74</v>
      </c>
      <c r="AX102" t="s">
        <v>74</v>
      </c>
      <c r="AY102" t="s">
        <v>74</v>
      </c>
      <c r="AZ102" t="s">
        <v>74</v>
      </c>
      <c r="BA102" t="s">
        <v>74</v>
      </c>
      <c r="BB102" t="s">
        <v>74</v>
      </c>
      <c r="BC102" t="s">
        <v>74</v>
      </c>
      <c r="BD102" t="s">
        <v>74</v>
      </c>
      <c r="BE102" t="s">
        <v>2184</v>
      </c>
      <c r="BF102" t="str">
        <f>HYPERLINK("http://dx.doi.org/10.1111/jcmm.17938","http://dx.doi.org/10.1111/jcmm.17938")</f>
        <v>http://dx.doi.org/10.1111/jcmm.17938</v>
      </c>
      <c r="BG102" t="s">
        <v>74</v>
      </c>
      <c r="BH102" t="s">
        <v>407</v>
      </c>
      <c r="BI102">
        <v>11</v>
      </c>
      <c r="BJ102" t="s">
        <v>2185</v>
      </c>
      <c r="BK102" t="s">
        <v>119</v>
      </c>
      <c r="BL102" t="s">
        <v>2186</v>
      </c>
      <c r="BM102" t="s">
        <v>2187</v>
      </c>
      <c r="BN102">
        <v>37731199</v>
      </c>
      <c r="BO102" t="s">
        <v>234</v>
      </c>
      <c r="BP102" t="s">
        <v>74</v>
      </c>
      <c r="BQ102" t="s">
        <v>74</v>
      </c>
      <c r="BR102" t="s">
        <v>99</v>
      </c>
      <c r="BS102" t="s">
        <v>2188</v>
      </c>
      <c r="BT102" t="str">
        <f>HYPERLINK("https%3A%2F%2Fwww.webofscience.com%2Fwos%2Fwoscc%2Ffull-record%2FWOS:001069530400001","View Full Record in Web of Science")</f>
        <v>View Full Record in Web of Science</v>
      </c>
    </row>
    <row r="103" spans="1:72" x14ac:dyDescent="0.15">
      <c r="A103" t="s">
        <v>72</v>
      </c>
      <c r="B103" t="s">
        <v>2189</v>
      </c>
      <c r="C103" t="s">
        <v>74</v>
      </c>
      <c r="D103" t="s">
        <v>74</v>
      </c>
      <c r="E103" t="s">
        <v>74</v>
      </c>
      <c r="F103" t="s">
        <v>2190</v>
      </c>
      <c r="G103" t="s">
        <v>74</v>
      </c>
      <c r="H103" t="s">
        <v>74</v>
      </c>
      <c r="I103" t="s">
        <v>2191</v>
      </c>
      <c r="J103" t="s">
        <v>2192</v>
      </c>
      <c r="K103" t="s">
        <v>74</v>
      </c>
      <c r="L103" t="s">
        <v>74</v>
      </c>
      <c r="M103" t="s">
        <v>78</v>
      </c>
      <c r="N103" t="s">
        <v>338</v>
      </c>
      <c r="O103" t="s">
        <v>74</v>
      </c>
      <c r="P103" t="s">
        <v>74</v>
      </c>
      <c r="Q103" t="s">
        <v>74</v>
      </c>
      <c r="R103" t="s">
        <v>74</v>
      </c>
      <c r="S103" t="s">
        <v>74</v>
      </c>
      <c r="T103" t="s">
        <v>2193</v>
      </c>
      <c r="U103" t="s">
        <v>2194</v>
      </c>
      <c r="V103" t="s">
        <v>2195</v>
      </c>
      <c r="W103" t="s">
        <v>2196</v>
      </c>
      <c r="X103" t="s">
        <v>2197</v>
      </c>
      <c r="Y103" t="s">
        <v>2198</v>
      </c>
      <c r="Z103" t="s">
        <v>2199</v>
      </c>
      <c r="AA103" t="s">
        <v>74</v>
      </c>
      <c r="AB103" t="s">
        <v>74</v>
      </c>
      <c r="AC103" t="s">
        <v>2200</v>
      </c>
      <c r="AD103" t="s">
        <v>2201</v>
      </c>
      <c r="AE103" t="s">
        <v>2202</v>
      </c>
      <c r="AF103" t="s">
        <v>74</v>
      </c>
      <c r="AG103">
        <v>92</v>
      </c>
      <c r="AH103">
        <v>0</v>
      </c>
      <c r="AI103">
        <v>0</v>
      </c>
      <c r="AJ103">
        <v>1</v>
      </c>
      <c r="AK103">
        <v>1</v>
      </c>
      <c r="AL103" t="s">
        <v>87</v>
      </c>
      <c r="AM103" t="s">
        <v>88</v>
      </c>
      <c r="AN103" t="s">
        <v>89</v>
      </c>
      <c r="AO103" t="s">
        <v>2203</v>
      </c>
      <c r="AP103" t="s">
        <v>2204</v>
      </c>
      <c r="AQ103" t="s">
        <v>74</v>
      </c>
      <c r="AR103" t="s">
        <v>2205</v>
      </c>
      <c r="AS103" t="s">
        <v>2206</v>
      </c>
      <c r="AT103" t="s">
        <v>2020</v>
      </c>
      <c r="AU103">
        <v>2023</v>
      </c>
      <c r="AV103" t="s">
        <v>74</v>
      </c>
      <c r="AW103" t="s">
        <v>74</v>
      </c>
      <c r="AX103" t="s">
        <v>74</v>
      </c>
      <c r="AY103" t="s">
        <v>74</v>
      </c>
      <c r="AZ103" t="s">
        <v>74</v>
      </c>
      <c r="BA103" t="s">
        <v>74</v>
      </c>
      <c r="BB103" t="s">
        <v>74</v>
      </c>
      <c r="BC103" t="s">
        <v>74</v>
      </c>
      <c r="BD103" t="s">
        <v>74</v>
      </c>
      <c r="BE103" t="s">
        <v>2207</v>
      </c>
      <c r="BF103" t="str">
        <f>HYPERLINK("http://dx.doi.org/10.1002/tea.21905","http://dx.doi.org/10.1002/tea.21905")</f>
        <v>http://dx.doi.org/10.1002/tea.21905</v>
      </c>
      <c r="BG103" t="s">
        <v>74</v>
      </c>
      <c r="BH103" t="s">
        <v>407</v>
      </c>
      <c r="BI103">
        <v>28</v>
      </c>
      <c r="BJ103" t="s">
        <v>2208</v>
      </c>
      <c r="BK103" t="s">
        <v>546</v>
      </c>
      <c r="BL103" t="s">
        <v>2208</v>
      </c>
      <c r="BM103" t="s">
        <v>2209</v>
      </c>
      <c r="BN103" t="s">
        <v>74</v>
      </c>
      <c r="BO103" t="s">
        <v>122</v>
      </c>
      <c r="BP103" t="s">
        <v>74</v>
      </c>
      <c r="BQ103" t="s">
        <v>74</v>
      </c>
      <c r="BR103" t="s">
        <v>99</v>
      </c>
      <c r="BS103" t="s">
        <v>2210</v>
      </c>
      <c r="BT103" t="str">
        <f>HYPERLINK("https%3A%2F%2Fwww.webofscience.com%2Fwos%2Fwoscc%2Ffull-record%2FWOS:001067860200001","View Full Record in Web of Science")</f>
        <v>View Full Record in Web of Science</v>
      </c>
    </row>
    <row r="104" spans="1:72" x14ac:dyDescent="0.15">
      <c r="A104" t="s">
        <v>72</v>
      </c>
      <c r="B104" t="s">
        <v>2211</v>
      </c>
      <c r="C104" t="s">
        <v>74</v>
      </c>
      <c r="D104" t="s">
        <v>74</v>
      </c>
      <c r="E104" t="s">
        <v>74</v>
      </c>
      <c r="F104" t="s">
        <v>2212</v>
      </c>
      <c r="G104" t="s">
        <v>74</v>
      </c>
      <c r="H104" t="s">
        <v>74</v>
      </c>
      <c r="I104" t="s">
        <v>2213</v>
      </c>
      <c r="J104" t="s">
        <v>2214</v>
      </c>
      <c r="K104" t="s">
        <v>74</v>
      </c>
      <c r="L104" t="s">
        <v>74</v>
      </c>
      <c r="M104" t="s">
        <v>78</v>
      </c>
      <c r="N104" t="s">
        <v>594</v>
      </c>
      <c r="O104" t="s">
        <v>74</v>
      </c>
      <c r="P104" t="s">
        <v>74</v>
      </c>
      <c r="Q104" t="s">
        <v>74</v>
      </c>
      <c r="R104" t="s">
        <v>74</v>
      </c>
      <c r="S104" t="s">
        <v>74</v>
      </c>
      <c r="T104" t="s">
        <v>2215</v>
      </c>
      <c r="U104" t="s">
        <v>2216</v>
      </c>
      <c r="V104" t="s">
        <v>2217</v>
      </c>
      <c r="W104" t="s">
        <v>2218</v>
      </c>
      <c r="X104" t="s">
        <v>2219</v>
      </c>
      <c r="Y104" t="s">
        <v>2220</v>
      </c>
      <c r="Z104" t="s">
        <v>2221</v>
      </c>
      <c r="AA104" t="s">
        <v>74</v>
      </c>
      <c r="AB104" t="s">
        <v>74</v>
      </c>
      <c r="AC104" t="s">
        <v>74</v>
      </c>
      <c r="AD104" t="s">
        <v>74</v>
      </c>
      <c r="AE104" t="s">
        <v>74</v>
      </c>
      <c r="AF104" t="s">
        <v>74</v>
      </c>
      <c r="AG104">
        <v>38</v>
      </c>
      <c r="AH104">
        <v>0</v>
      </c>
      <c r="AI104">
        <v>0</v>
      </c>
      <c r="AJ104">
        <v>0</v>
      </c>
      <c r="AK104">
        <v>0</v>
      </c>
      <c r="AL104" t="s">
        <v>87</v>
      </c>
      <c r="AM104" t="s">
        <v>88</v>
      </c>
      <c r="AN104" t="s">
        <v>89</v>
      </c>
      <c r="AO104" t="s">
        <v>2222</v>
      </c>
      <c r="AP104" t="s">
        <v>2223</v>
      </c>
      <c r="AQ104" t="s">
        <v>74</v>
      </c>
      <c r="AR104" t="s">
        <v>2214</v>
      </c>
      <c r="AS104" t="s">
        <v>2214</v>
      </c>
      <c r="AT104" t="s">
        <v>2020</v>
      </c>
      <c r="AU104">
        <v>2023</v>
      </c>
      <c r="AV104" t="s">
        <v>74</v>
      </c>
      <c r="AW104" t="s">
        <v>74</v>
      </c>
      <c r="AX104" t="s">
        <v>74</v>
      </c>
      <c r="AY104" t="s">
        <v>74</v>
      </c>
      <c r="AZ104" t="s">
        <v>74</v>
      </c>
      <c r="BA104" t="s">
        <v>74</v>
      </c>
      <c r="BB104" t="s">
        <v>74</v>
      </c>
      <c r="BC104" t="s">
        <v>74</v>
      </c>
      <c r="BD104" t="s">
        <v>74</v>
      </c>
      <c r="BE104" t="s">
        <v>2224</v>
      </c>
      <c r="BF104" t="str">
        <f>HYPERLINK("http://dx.doi.org/10.1111/apm.13351","http://dx.doi.org/10.1111/apm.13351")</f>
        <v>http://dx.doi.org/10.1111/apm.13351</v>
      </c>
      <c r="BG104" t="s">
        <v>74</v>
      </c>
      <c r="BH104" t="s">
        <v>407</v>
      </c>
      <c r="BI104">
        <v>7</v>
      </c>
      <c r="BJ104" t="s">
        <v>2225</v>
      </c>
      <c r="BK104" t="s">
        <v>119</v>
      </c>
      <c r="BL104" t="s">
        <v>2225</v>
      </c>
      <c r="BM104" t="s">
        <v>2226</v>
      </c>
      <c r="BN104">
        <v>37729389</v>
      </c>
      <c r="BO104" t="s">
        <v>122</v>
      </c>
      <c r="BP104" t="s">
        <v>74</v>
      </c>
      <c r="BQ104" t="s">
        <v>74</v>
      </c>
      <c r="BR104" t="s">
        <v>99</v>
      </c>
      <c r="BS104" t="s">
        <v>2227</v>
      </c>
      <c r="BT104" t="str">
        <f>HYPERLINK("https%3A%2F%2Fwww.webofscience.com%2Fwos%2Fwoscc%2Ffull-record%2FWOS:001070374300001","View Full Record in Web of Science")</f>
        <v>View Full Record in Web of Science</v>
      </c>
    </row>
    <row r="105" spans="1:72" x14ac:dyDescent="0.15">
      <c r="A105" t="s">
        <v>72</v>
      </c>
      <c r="B105" t="s">
        <v>2228</v>
      </c>
      <c r="C105" t="s">
        <v>74</v>
      </c>
      <c r="D105" t="s">
        <v>74</v>
      </c>
      <c r="E105" t="s">
        <v>74</v>
      </c>
      <c r="F105" t="s">
        <v>2229</v>
      </c>
      <c r="G105" t="s">
        <v>74</v>
      </c>
      <c r="H105" t="s">
        <v>74</v>
      </c>
      <c r="I105" t="s">
        <v>2230</v>
      </c>
      <c r="J105" t="s">
        <v>2231</v>
      </c>
      <c r="K105" t="s">
        <v>74</v>
      </c>
      <c r="L105" t="s">
        <v>74</v>
      </c>
      <c r="M105" t="s">
        <v>78</v>
      </c>
      <c r="N105" t="s">
        <v>1297</v>
      </c>
      <c r="O105" t="s">
        <v>74</v>
      </c>
      <c r="P105" t="s">
        <v>74</v>
      </c>
      <c r="Q105" t="s">
        <v>74</v>
      </c>
      <c r="R105" t="s">
        <v>74</v>
      </c>
      <c r="S105" t="s">
        <v>74</v>
      </c>
      <c r="T105" t="s">
        <v>2232</v>
      </c>
      <c r="U105" t="s">
        <v>2233</v>
      </c>
      <c r="V105" t="s">
        <v>74</v>
      </c>
      <c r="W105" t="s">
        <v>2234</v>
      </c>
      <c r="X105" t="s">
        <v>2235</v>
      </c>
      <c r="Y105" t="s">
        <v>2236</v>
      </c>
      <c r="Z105" t="s">
        <v>2237</v>
      </c>
      <c r="AA105" t="s">
        <v>2238</v>
      </c>
      <c r="AB105" t="s">
        <v>2239</v>
      </c>
      <c r="AC105" t="s">
        <v>74</v>
      </c>
      <c r="AD105" t="s">
        <v>74</v>
      </c>
      <c r="AE105" t="s">
        <v>74</v>
      </c>
      <c r="AF105" t="s">
        <v>74</v>
      </c>
      <c r="AG105">
        <v>8</v>
      </c>
      <c r="AH105">
        <v>0</v>
      </c>
      <c r="AI105">
        <v>0</v>
      </c>
      <c r="AJ105">
        <v>0</v>
      </c>
      <c r="AK105">
        <v>0</v>
      </c>
      <c r="AL105" t="s">
        <v>87</v>
      </c>
      <c r="AM105" t="s">
        <v>88</v>
      </c>
      <c r="AN105" t="s">
        <v>89</v>
      </c>
      <c r="AO105" t="s">
        <v>2240</v>
      </c>
      <c r="AP105" t="s">
        <v>2241</v>
      </c>
      <c r="AQ105" t="s">
        <v>74</v>
      </c>
      <c r="AR105" t="s">
        <v>2242</v>
      </c>
      <c r="AS105" t="s">
        <v>2243</v>
      </c>
      <c r="AT105" t="s">
        <v>2020</v>
      </c>
      <c r="AU105">
        <v>2023</v>
      </c>
      <c r="AV105" t="s">
        <v>74</v>
      </c>
      <c r="AW105" t="s">
        <v>74</v>
      </c>
      <c r="AX105" t="s">
        <v>74</v>
      </c>
      <c r="AY105" t="s">
        <v>74</v>
      </c>
      <c r="AZ105" t="s">
        <v>74</v>
      </c>
      <c r="BA105" t="s">
        <v>74</v>
      </c>
      <c r="BB105" t="s">
        <v>74</v>
      </c>
      <c r="BC105" t="s">
        <v>74</v>
      </c>
      <c r="BD105" t="s">
        <v>74</v>
      </c>
      <c r="BE105" t="s">
        <v>2244</v>
      </c>
      <c r="BF105" t="str">
        <f>HYPERLINK("http://dx.doi.org/10.1002/jcu.23563","http://dx.doi.org/10.1002/jcu.23563")</f>
        <v>http://dx.doi.org/10.1002/jcu.23563</v>
      </c>
      <c r="BG105" t="s">
        <v>74</v>
      </c>
      <c r="BH105" t="s">
        <v>407</v>
      </c>
      <c r="BI105">
        <v>3</v>
      </c>
      <c r="BJ105" t="s">
        <v>2245</v>
      </c>
      <c r="BK105" t="s">
        <v>119</v>
      </c>
      <c r="BL105" t="s">
        <v>2245</v>
      </c>
      <c r="BM105" t="s">
        <v>2246</v>
      </c>
      <c r="BN105">
        <v>37728339</v>
      </c>
      <c r="BO105" t="s">
        <v>74</v>
      </c>
      <c r="BP105" t="s">
        <v>74</v>
      </c>
      <c r="BQ105" t="s">
        <v>74</v>
      </c>
      <c r="BR105" t="s">
        <v>99</v>
      </c>
      <c r="BS105" t="s">
        <v>2247</v>
      </c>
      <c r="BT105" t="str">
        <f>HYPERLINK("https%3A%2F%2Fwww.webofscience.com%2Fwos%2Fwoscc%2Ffull-record%2FWOS:001069875700001","View Full Record in Web of Science")</f>
        <v>View Full Record in Web of Science</v>
      </c>
    </row>
    <row r="106" spans="1:72" x14ac:dyDescent="0.15">
      <c r="A106" t="s">
        <v>72</v>
      </c>
      <c r="B106" t="s">
        <v>2248</v>
      </c>
      <c r="C106" t="s">
        <v>74</v>
      </c>
      <c r="D106" t="s">
        <v>74</v>
      </c>
      <c r="E106" t="s">
        <v>74</v>
      </c>
      <c r="F106" t="s">
        <v>2249</v>
      </c>
      <c r="G106" t="s">
        <v>74</v>
      </c>
      <c r="H106" t="s">
        <v>74</v>
      </c>
      <c r="I106" t="s">
        <v>2250</v>
      </c>
      <c r="J106" t="s">
        <v>2251</v>
      </c>
      <c r="K106" t="s">
        <v>74</v>
      </c>
      <c r="L106" t="s">
        <v>74</v>
      </c>
      <c r="M106" t="s">
        <v>78</v>
      </c>
      <c r="N106" t="s">
        <v>338</v>
      </c>
      <c r="O106" t="s">
        <v>74</v>
      </c>
      <c r="P106" t="s">
        <v>74</v>
      </c>
      <c r="Q106" t="s">
        <v>74</v>
      </c>
      <c r="R106" t="s">
        <v>74</v>
      </c>
      <c r="S106" t="s">
        <v>74</v>
      </c>
      <c r="T106" t="s">
        <v>2252</v>
      </c>
      <c r="U106" t="s">
        <v>2253</v>
      </c>
      <c r="V106" t="s">
        <v>2254</v>
      </c>
      <c r="W106" t="s">
        <v>2255</v>
      </c>
      <c r="X106" t="s">
        <v>2256</v>
      </c>
      <c r="Y106" t="s">
        <v>2257</v>
      </c>
      <c r="Z106" t="s">
        <v>2258</v>
      </c>
      <c r="AA106" t="s">
        <v>2259</v>
      </c>
      <c r="AB106" t="s">
        <v>2260</v>
      </c>
      <c r="AC106" t="s">
        <v>2261</v>
      </c>
      <c r="AD106" t="s">
        <v>2261</v>
      </c>
      <c r="AE106" t="s">
        <v>2262</v>
      </c>
      <c r="AF106" t="s">
        <v>74</v>
      </c>
      <c r="AG106">
        <v>104</v>
      </c>
      <c r="AH106">
        <v>0</v>
      </c>
      <c r="AI106">
        <v>0</v>
      </c>
      <c r="AJ106">
        <v>1</v>
      </c>
      <c r="AK106">
        <v>1</v>
      </c>
      <c r="AL106" t="s">
        <v>87</v>
      </c>
      <c r="AM106" t="s">
        <v>88</v>
      </c>
      <c r="AN106" t="s">
        <v>89</v>
      </c>
      <c r="AO106" t="s">
        <v>2263</v>
      </c>
      <c r="AP106" t="s">
        <v>2264</v>
      </c>
      <c r="AQ106" t="s">
        <v>74</v>
      </c>
      <c r="AR106" t="s">
        <v>2265</v>
      </c>
      <c r="AS106" t="s">
        <v>2266</v>
      </c>
      <c r="AT106" t="s">
        <v>2020</v>
      </c>
      <c r="AU106">
        <v>2023</v>
      </c>
      <c r="AV106" t="s">
        <v>74</v>
      </c>
      <c r="AW106" t="s">
        <v>74</v>
      </c>
      <c r="AX106" t="s">
        <v>74</v>
      </c>
      <c r="AY106" t="s">
        <v>74</v>
      </c>
      <c r="AZ106" t="s">
        <v>74</v>
      </c>
      <c r="BA106" t="s">
        <v>74</v>
      </c>
      <c r="BB106" t="s">
        <v>74</v>
      </c>
      <c r="BC106" t="s">
        <v>74</v>
      </c>
      <c r="BD106" t="s">
        <v>74</v>
      </c>
      <c r="BE106" t="s">
        <v>2267</v>
      </c>
      <c r="BF106" t="str">
        <f>HYPERLINK("http://dx.doi.org/10.1111/jeb.14218","http://dx.doi.org/10.1111/jeb.14218")</f>
        <v>http://dx.doi.org/10.1111/jeb.14218</v>
      </c>
      <c r="BG106" t="s">
        <v>74</v>
      </c>
      <c r="BH106" t="s">
        <v>407</v>
      </c>
      <c r="BI106">
        <v>16</v>
      </c>
      <c r="BJ106" t="s">
        <v>2268</v>
      </c>
      <c r="BK106" t="s">
        <v>119</v>
      </c>
      <c r="BL106" t="s">
        <v>2269</v>
      </c>
      <c r="BM106" t="s">
        <v>2270</v>
      </c>
      <c r="BN106">
        <v>37731241</v>
      </c>
      <c r="BO106" t="s">
        <v>122</v>
      </c>
      <c r="BP106" t="s">
        <v>74</v>
      </c>
      <c r="BQ106" t="s">
        <v>74</v>
      </c>
      <c r="BR106" t="s">
        <v>99</v>
      </c>
      <c r="BS106" t="s">
        <v>2271</v>
      </c>
      <c r="BT106" t="str">
        <f>HYPERLINK("https%3A%2F%2Fwww.webofscience.com%2Fwos%2Fwoscc%2Ffull-record%2FWOS:001069687300001","View Full Record in Web of Science")</f>
        <v>View Full Record in Web of Science</v>
      </c>
    </row>
    <row r="107" spans="1:72" x14ac:dyDescent="0.15">
      <c r="A107" t="s">
        <v>72</v>
      </c>
      <c r="B107" t="s">
        <v>2272</v>
      </c>
      <c r="C107" t="s">
        <v>74</v>
      </c>
      <c r="D107" t="s">
        <v>74</v>
      </c>
      <c r="E107" t="s">
        <v>74</v>
      </c>
      <c r="F107" t="s">
        <v>2273</v>
      </c>
      <c r="G107" t="s">
        <v>74</v>
      </c>
      <c r="H107" t="s">
        <v>74</v>
      </c>
      <c r="I107" t="s">
        <v>2274</v>
      </c>
      <c r="J107" t="s">
        <v>2275</v>
      </c>
      <c r="K107" t="s">
        <v>74</v>
      </c>
      <c r="L107" t="s">
        <v>74</v>
      </c>
      <c r="M107" t="s">
        <v>78</v>
      </c>
      <c r="N107" t="s">
        <v>338</v>
      </c>
      <c r="O107" t="s">
        <v>74</v>
      </c>
      <c r="P107" t="s">
        <v>74</v>
      </c>
      <c r="Q107" t="s">
        <v>74</v>
      </c>
      <c r="R107" t="s">
        <v>74</v>
      </c>
      <c r="S107" t="s">
        <v>74</v>
      </c>
      <c r="T107" t="s">
        <v>2276</v>
      </c>
      <c r="U107" t="s">
        <v>2277</v>
      </c>
      <c r="V107" t="s">
        <v>2278</v>
      </c>
      <c r="W107" t="s">
        <v>2279</v>
      </c>
      <c r="X107" t="s">
        <v>2280</v>
      </c>
      <c r="Y107" t="s">
        <v>2281</v>
      </c>
      <c r="Z107" t="s">
        <v>2282</v>
      </c>
      <c r="AA107" t="s">
        <v>74</v>
      </c>
      <c r="AB107" t="s">
        <v>74</v>
      </c>
      <c r="AC107" t="s">
        <v>2283</v>
      </c>
      <c r="AD107" t="s">
        <v>2283</v>
      </c>
      <c r="AE107" t="s">
        <v>2283</v>
      </c>
      <c r="AF107" t="s">
        <v>74</v>
      </c>
      <c r="AG107">
        <v>50</v>
      </c>
      <c r="AH107">
        <v>0</v>
      </c>
      <c r="AI107">
        <v>0</v>
      </c>
      <c r="AJ107">
        <v>0</v>
      </c>
      <c r="AK107">
        <v>0</v>
      </c>
      <c r="AL107" t="s">
        <v>87</v>
      </c>
      <c r="AM107" t="s">
        <v>88</v>
      </c>
      <c r="AN107" t="s">
        <v>89</v>
      </c>
      <c r="AO107" t="s">
        <v>2284</v>
      </c>
      <c r="AP107" t="s">
        <v>2285</v>
      </c>
      <c r="AQ107" t="s">
        <v>74</v>
      </c>
      <c r="AR107" t="s">
        <v>2286</v>
      </c>
      <c r="AS107" t="s">
        <v>2287</v>
      </c>
      <c r="AT107" t="s">
        <v>2020</v>
      </c>
      <c r="AU107">
        <v>2023</v>
      </c>
      <c r="AV107" t="s">
        <v>74</v>
      </c>
      <c r="AW107" t="s">
        <v>74</v>
      </c>
      <c r="AX107" t="s">
        <v>74</v>
      </c>
      <c r="AY107" t="s">
        <v>74</v>
      </c>
      <c r="AZ107" t="s">
        <v>74</v>
      </c>
      <c r="BA107" t="s">
        <v>74</v>
      </c>
      <c r="BB107" t="s">
        <v>74</v>
      </c>
      <c r="BC107" t="s">
        <v>74</v>
      </c>
      <c r="BD107" t="s">
        <v>74</v>
      </c>
      <c r="BE107" t="s">
        <v>2288</v>
      </c>
      <c r="BF107" t="str">
        <f>HYPERLINK("http://dx.doi.org/10.1111/flan.12725","http://dx.doi.org/10.1111/flan.12725")</f>
        <v>http://dx.doi.org/10.1111/flan.12725</v>
      </c>
      <c r="BG107" t="s">
        <v>74</v>
      </c>
      <c r="BH107" t="s">
        <v>407</v>
      </c>
      <c r="BI107">
        <v>17</v>
      </c>
      <c r="BJ107" t="s">
        <v>2289</v>
      </c>
      <c r="BK107" t="s">
        <v>546</v>
      </c>
      <c r="BL107" t="s">
        <v>2289</v>
      </c>
      <c r="BM107" t="s">
        <v>2290</v>
      </c>
      <c r="BN107" t="s">
        <v>74</v>
      </c>
      <c r="BO107" t="s">
        <v>301</v>
      </c>
      <c r="BP107" t="s">
        <v>74</v>
      </c>
      <c r="BQ107" t="s">
        <v>74</v>
      </c>
      <c r="BR107" t="s">
        <v>99</v>
      </c>
      <c r="BS107" t="s">
        <v>2291</v>
      </c>
      <c r="BT107" t="str">
        <f>HYPERLINK("https%3A%2F%2Fwww.webofscience.com%2Fwos%2Fwoscc%2Ffull-record%2FWOS:001066603300001","View Full Record in Web of Science")</f>
        <v>View Full Record in Web of Science</v>
      </c>
    </row>
    <row r="108" spans="1:72" x14ac:dyDescent="0.15">
      <c r="A108" t="s">
        <v>72</v>
      </c>
      <c r="B108" t="s">
        <v>2292</v>
      </c>
      <c r="C108" t="s">
        <v>74</v>
      </c>
      <c r="D108" t="s">
        <v>74</v>
      </c>
      <c r="E108" t="s">
        <v>74</v>
      </c>
      <c r="F108" t="s">
        <v>2293</v>
      </c>
      <c r="G108" t="s">
        <v>74</v>
      </c>
      <c r="H108" t="s">
        <v>74</v>
      </c>
      <c r="I108" t="s">
        <v>2294</v>
      </c>
      <c r="J108" t="s">
        <v>2295</v>
      </c>
      <c r="K108" t="s">
        <v>74</v>
      </c>
      <c r="L108" t="s">
        <v>74</v>
      </c>
      <c r="M108" t="s">
        <v>78</v>
      </c>
      <c r="N108" t="s">
        <v>338</v>
      </c>
      <c r="O108" t="s">
        <v>74</v>
      </c>
      <c r="P108" t="s">
        <v>74</v>
      </c>
      <c r="Q108" t="s">
        <v>74</v>
      </c>
      <c r="R108" t="s">
        <v>74</v>
      </c>
      <c r="S108" t="s">
        <v>74</v>
      </c>
      <c r="T108" t="s">
        <v>2296</v>
      </c>
      <c r="U108" t="s">
        <v>2297</v>
      </c>
      <c r="V108" t="s">
        <v>2298</v>
      </c>
      <c r="W108" t="s">
        <v>2299</v>
      </c>
      <c r="X108" t="s">
        <v>2300</v>
      </c>
      <c r="Y108" t="s">
        <v>2301</v>
      </c>
      <c r="Z108" t="s">
        <v>2302</v>
      </c>
      <c r="AA108" t="s">
        <v>2303</v>
      </c>
      <c r="AB108" t="s">
        <v>2304</v>
      </c>
      <c r="AC108" t="s">
        <v>2305</v>
      </c>
      <c r="AD108" t="s">
        <v>2305</v>
      </c>
      <c r="AE108" t="s">
        <v>2306</v>
      </c>
      <c r="AF108" t="s">
        <v>74</v>
      </c>
      <c r="AG108">
        <v>149</v>
      </c>
      <c r="AH108">
        <v>0</v>
      </c>
      <c r="AI108">
        <v>0</v>
      </c>
      <c r="AJ108">
        <v>0</v>
      </c>
      <c r="AK108">
        <v>0</v>
      </c>
      <c r="AL108" t="s">
        <v>87</v>
      </c>
      <c r="AM108" t="s">
        <v>88</v>
      </c>
      <c r="AN108" t="s">
        <v>89</v>
      </c>
      <c r="AO108" t="s">
        <v>2307</v>
      </c>
      <c r="AP108" t="s">
        <v>2308</v>
      </c>
      <c r="AQ108" t="s">
        <v>74</v>
      </c>
      <c r="AR108" t="s">
        <v>2309</v>
      </c>
      <c r="AS108" t="s">
        <v>2310</v>
      </c>
      <c r="AT108" t="s">
        <v>2311</v>
      </c>
      <c r="AU108">
        <v>2023</v>
      </c>
      <c r="AV108" t="s">
        <v>74</v>
      </c>
      <c r="AW108" t="s">
        <v>74</v>
      </c>
      <c r="AX108" t="s">
        <v>74</v>
      </c>
      <c r="AY108" t="s">
        <v>74</v>
      </c>
      <c r="AZ108" t="s">
        <v>74</v>
      </c>
      <c r="BA108" t="s">
        <v>74</v>
      </c>
      <c r="BB108" t="s">
        <v>74</v>
      </c>
      <c r="BC108" t="s">
        <v>74</v>
      </c>
      <c r="BD108" t="s">
        <v>74</v>
      </c>
      <c r="BE108" t="s">
        <v>2312</v>
      </c>
      <c r="BF108" t="str">
        <f>HYPERLINK("http://dx.doi.org/10.1002/dmrr.3686","http://dx.doi.org/10.1002/dmrr.3686")</f>
        <v>http://dx.doi.org/10.1002/dmrr.3686</v>
      </c>
      <c r="BG108" t="s">
        <v>74</v>
      </c>
      <c r="BH108" t="s">
        <v>407</v>
      </c>
      <c r="BI108">
        <v>31</v>
      </c>
      <c r="BJ108" t="s">
        <v>2313</v>
      </c>
      <c r="BK108" t="s">
        <v>119</v>
      </c>
      <c r="BL108" t="s">
        <v>2313</v>
      </c>
      <c r="BM108" t="s">
        <v>2314</v>
      </c>
      <c r="BN108">
        <v>37726988</v>
      </c>
      <c r="BO108" t="s">
        <v>122</v>
      </c>
      <c r="BP108" t="s">
        <v>74</v>
      </c>
      <c r="BQ108" t="s">
        <v>74</v>
      </c>
      <c r="BR108" t="s">
        <v>99</v>
      </c>
      <c r="BS108" t="s">
        <v>2315</v>
      </c>
      <c r="BT108" t="str">
        <f>HYPERLINK("https%3A%2F%2Fwww.webofscience.com%2Fwos%2Fwoscc%2Ffull-record%2FWOS:001067640300001","View Full Record in Web of Science")</f>
        <v>View Full Record in Web of Science</v>
      </c>
    </row>
    <row r="109" spans="1:72" x14ac:dyDescent="0.15">
      <c r="A109" t="s">
        <v>72</v>
      </c>
      <c r="B109" t="s">
        <v>2316</v>
      </c>
      <c r="C109" t="s">
        <v>74</v>
      </c>
      <c r="D109" t="s">
        <v>74</v>
      </c>
      <c r="E109" t="s">
        <v>74</v>
      </c>
      <c r="F109" t="s">
        <v>2317</v>
      </c>
      <c r="G109" t="s">
        <v>74</v>
      </c>
      <c r="H109" t="s">
        <v>74</v>
      </c>
      <c r="I109" t="s">
        <v>2318</v>
      </c>
      <c r="J109" t="s">
        <v>2319</v>
      </c>
      <c r="K109" t="s">
        <v>74</v>
      </c>
      <c r="L109" t="s">
        <v>74</v>
      </c>
      <c r="M109" t="s">
        <v>78</v>
      </c>
      <c r="N109" t="s">
        <v>1297</v>
      </c>
      <c r="O109" t="s">
        <v>74</v>
      </c>
      <c r="P109" t="s">
        <v>74</v>
      </c>
      <c r="Q109" t="s">
        <v>74</v>
      </c>
      <c r="R109" t="s">
        <v>74</v>
      </c>
      <c r="S109" t="s">
        <v>74</v>
      </c>
      <c r="T109" t="s">
        <v>2320</v>
      </c>
      <c r="U109" t="s">
        <v>2321</v>
      </c>
      <c r="V109" t="s">
        <v>74</v>
      </c>
      <c r="W109" t="s">
        <v>2322</v>
      </c>
      <c r="X109" t="s">
        <v>2323</v>
      </c>
      <c r="Y109" t="s">
        <v>2324</v>
      </c>
      <c r="Z109" t="s">
        <v>2325</v>
      </c>
      <c r="AA109" t="s">
        <v>2326</v>
      </c>
      <c r="AB109" t="s">
        <v>2327</v>
      </c>
      <c r="AC109" t="s">
        <v>2328</v>
      </c>
      <c r="AD109" t="s">
        <v>2328</v>
      </c>
      <c r="AE109" t="s">
        <v>2329</v>
      </c>
      <c r="AF109" t="s">
        <v>74</v>
      </c>
      <c r="AG109">
        <v>31</v>
      </c>
      <c r="AH109">
        <v>0</v>
      </c>
      <c r="AI109">
        <v>0</v>
      </c>
      <c r="AJ109">
        <v>0</v>
      </c>
      <c r="AK109">
        <v>0</v>
      </c>
      <c r="AL109" t="s">
        <v>87</v>
      </c>
      <c r="AM109" t="s">
        <v>88</v>
      </c>
      <c r="AN109" t="s">
        <v>89</v>
      </c>
      <c r="AO109" t="s">
        <v>2330</v>
      </c>
      <c r="AP109" t="s">
        <v>2331</v>
      </c>
      <c r="AQ109" t="s">
        <v>74</v>
      </c>
      <c r="AR109" t="s">
        <v>2332</v>
      </c>
      <c r="AS109" t="s">
        <v>2333</v>
      </c>
      <c r="AT109" t="s">
        <v>2311</v>
      </c>
      <c r="AU109">
        <v>2023</v>
      </c>
      <c r="AV109" t="s">
        <v>74</v>
      </c>
      <c r="AW109" t="s">
        <v>74</v>
      </c>
      <c r="AX109" t="s">
        <v>74</v>
      </c>
      <c r="AY109" t="s">
        <v>74</v>
      </c>
      <c r="AZ109" t="s">
        <v>74</v>
      </c>
      <c r="BA109" t="s">
        <v>74</v>
      </c>
      <c r="BB109" t="s">
        <v>74</v>
      </c>
      <c r="BC109" t="s">
        <v>74</v>
      </c>
      <c r="BD109" t="s">
        <v>74</v>
      </c>
      <c r="BE109" t="s">
        <v>2334</v>
      </c>
      <c r="BF109" t="str">
        <f>HYPERLINK("http://dx.doi.org/10.1111/cobi.14158","http://dx.doi.org/10.1111/cobi.14158")</f>
        <v>http://dx.doi.org/10.1111/cobi.14158</v>
      </c>
      <c r="BG109" t="s">
        <v>74</v>
      </c>
      <c r="BH109" t="s">
        <v>407</v>
      </c>
      <c r="BI109">
        <v>3</v>
      </c>
      <c r="BJ109" t="s">
        <v>2063</v>
      </c>
      <c r="BK109" t="s">
        <v>119</v>
      </c>
      <c r="BL109" t="s">
        <v>766</v>
      </c>
      <c r="BM109" t="s">
        <v>2335</v>
      </c>
      <c r="BN109">
        <v>37489094</v>
      </c>
      <c r="BO109" t="s">
        <v>74</v>
      </c>
      <c r="BP109" t="s">
        <v>74</v>
      </c>
      <c r="BQ109" t="s">
        <v>74</v>
      </c>
      <c r="BR109" t="s">
        <v>99</v>
      </c>
      <c r="BS109" t="s">
        <v>2336</v>
      </c>
      <c r="BT109" t="str">
        <f>HYPERLINK("https%3A%2F%2Fwww.webofscience.com%2Fwos%2Fwoscc%2Ffull-record%2FWOS:001068578700001","View Full Record in Web of Science")</f>
        <v>View Full Record in Web of Science</v>
      </c>
    </row>
    <row r="110" spans="1:72" x14ac:dyDescent="0.15">
      <c r="A110" t="s">
        <v>72</v>
      </c>
      <c r="B110" t="s">
        <v>2337</v>
      </c>
      <c r="C110" t="s">
        <v>74</v>
      </c>
      <c r="D110" t="s">
        <v>74</v>
      </c>
      <c r="E110" t="s">
        <v>74</v>
      </c>
      <c r="F110" t="s">
        <v>2338</v>
      </c>
      <c r="G110" t="s">
        <v>74</v>
      </c>
      <c r="H110" t="s">
        <v>74</v>
      </c>
      <c r="I110" t="s">
        <v>2339</v>
      </c>
      <c r="J110" t="s">
        <v>2340</v>
      </c>
      <c r="K110" t="s">
        <v>74</v>
      </c>
      <c r="L110" t="s">
        <v>74</v>
      </c>
      <c r="M110" t="s">
        <v>78</v>
      </c>
      <c r="N110" t="s">
        <v>1297</v>
      </c>
      <c r="O110" t="s">
        <v>74</v>
      </c>
      <c r="P110" t="s">
        <v>74</v>
      </c>
      <c r="Q110" t="s">
        <v>74</v>
      </c>
      <c r="R110" t="s">
        <v>74</v>
      </c>
      <c r="S110" t="s">
        <v>74</v>
      </c>
      <c r="T110" t="s">
        <v>74</v>
      </c>
      <c r="U110" t="s">
        <v>2341</v>
      </c>
      <c r="V110" t="s">
        <v>74</v>
      </c>
      <c r="W110" t="s">
        <v>2342</v>
      </c>
      <c r="X110" t="s">
        <v>2343</v>
      </c>
      <c r="Y110" t="s">
        <v>2344</v>
      </c>
      <c r="Z110" t="s">
        <v>2345</v>
      </c>
      <c r="AA110" t="s">
        <v>74</v>
      </c>
      <c r="AB110" t="s">
        <v>2346</v>
      </c>
      <c r="AC110" t="s">
        <v>74</v>
      </c>
      <c r="AD110" t="s">
        <v>74</v>
      </c>
      <c r="AE110" t="s">
        <v>74</v>
      </c>
      <c r="AF110" t="s">
        <v>74</v>
      </c>
      <c r="AG110">
        <v>10</v>
      </c>
      <c r="AH110">
        <v>0</v>
      </c>
      <c r="AI110">
        <v>0</v>
      </c>
      <c r="AJ110">
        <v>0</v>
      </c>
      <c r="AK110">
        <v>0</v>
      </c>
      <c r="AL110" t="s">
        <v>87</v>
      </c>
      <c r="AM110" t="s">
        <v>88</v>
      </c>
      <c r="AN110" t="s">
        <v>89</v>
      </c>
      <c r="AO110" t="s">
        <v>2347</v>
      </c>
      <c r="AP110" t="s">
        <v>2348</v>
      </c>
      <c r="AQ110" t="s">
        <v>74</v>
      </c>
      <c r="AR110" t="s">
        <v>2349</v>
      </c>
      <c r="AS110" t="s">
        <v>2350</v>
      </c>
      <c r="AT110" t="s">
        <v>2311</v>
      </c>
      <c r="AU110">
        <v>2023</v>
      </c>
      <c r="AV110" t="s">
        <v>74</v>
      </c>
      <c r="AW110" t="s">
        <v>74</v>
      </c>
      <c r="AX110" t="s">
        <v>74</v>
      </c>
      <c r="AY110" t="s">
        <v>74</v>
      </c>
      <c r="AZ110" t="s">
        <v>74</v>
      </c>
      <c r="BA110" t="s">
        <v>74</v>
      </c>
      <c r="BB110" t="s">
        <v>74</v>
      </c>
      <c r="BC110" t="s">
        <v>74</v>
      </c>
      <c r="BD110" t="s">
        <v>74</v>
      </c>
      <c r="BE110" t="s">
        <v>2351</v>
      </c>
      <c r="BF110" t="str">
        <f>HYPERLINK("http://dx.doi.org/10.1002/dc.25225","http://dx.doi.org/10.1002/dc.25225")</f>
        <v>http://dx.doi.org/10.1002/dc.25225</v>
      </c>
      <c r="BG110" t="s">
        <v>74</v>
      </c>
      <c r="BH110" t="s">
        <v>407</v>
      </c>
      <c r="BI110">
        <v>4</v>
      </c>
      <c r="BJ110" t="s">
        <v>2352</v>
      </c>
      <c r="BK110" t="s">
        <v>119</v>
      </c>
      <c r="BL110" t="s">
        <v>2352</v>
      </c>
      <c r="BM110" t="s">
        <v>2353</v>
      </c>
      <c r="BN110">
        <v>37724501</v>
      </c>
      <c r="BO110" t="s">
        <v>74</v>
      </c>
      <c r="BP110" t="s">
        <v>74</v>
      </c>
      <c r="BQ110" t="s">
        <v>74</v>
      </c>
      <c r="BR110" t="s">
        <v>99</v>
      </c>
      <c r="BS110" t="s">
        <v>2354</v>
      </c>
      <c r="BT110" t="str">
        <f>HYPERLINK("https%3A%2F%2Fwww.webofscience.com%2Fwos%2Fwoscc%2Ffull-record%2FWOS:001070056700001","View Full Record in Web of Science")</f>
        <v>View Full Record in Web of Science</v>
      </c>
    </row>
    <row r="111" spans="1:72" x14ac:dyDescent="0.15">
      <c r="A111" t="s">
        <v>72</v>
      </c>
      <c r="B111" t="s">
        <v>2355</v>
      </c>
      <c r="C111" t="s">
        <v>74</v>
      </c>
      <c r="D111" t="s">
        <v>74</v>
      </c>
      <c r="E111" t="s">
        <v>74</v>
      </c>
      <c r="F111" t="s">
        <v>2356</v>
      </c>
      <c r="G111" t="s">
        <v>74</v>
      </c>
      <c r="H111" t="s">
        <v>74</v>
      </c>
      <c r="I111" t="s">
        <v>2357</v>
      </c>
      <c r="J111" t="s">
        <v>2358</v>
      </c>
      <c r="K111" t="s">
        <v>74</v>
      </c>
      <c r="L111" t="s">
        <v>74</v>
      </c>
      <c r="M111" t="s">
        <v>78</v>
      </c>
      <c r="N111" t="s">
        <v>338</v>
      </c>
      <c r="O111" t="s">
        <v>74</v>
      </c>
      <c r="P111" t="s">
        <v>74</v>
      </c>
      <c r="Q111" t="s">
        <v>74</v>
      </c>
      <c r="R111" t="s">
        <v>74</v>
      </c>
      <c r="S111" t="s">
        <v>74</v>
      </c>
      <c r="T111" t="s">
        <v>2359</v>
      </c>
      <c r="U111" t="s">
        <v>2360</v>
      </c>
      <c r="V111" t="s">
        <v>2361</v>
      </c>
      <c r="W111" t="s">
        <v>2362</v>
      </c>
      <c r="X111" t="s">
        <v>2363</v>
      </c>
      <c r="Y111" t="s">
        <v>2364</v>
      </c>
      <c r="Z111" t="s">
        <v>2365</v>
      </c>
      <c r="AA111" t="s">
        <v>74</v>
      </c>
      <c r="AB111" t="s">
        <v>74</v>
      </c>
      <c r="AC111" t="s">
        <v>2366</v>
      </c>
      <c r="AD111" t="s">
        <v>2367</v>
      </c>
      <c r="AE111" t="s">
        <v>2368</v>
      </c>
      <c r="AF111" t="s">
        <v>74</v>
      </c>
      <c r="AG111">
        <v>64</v>
      </c>
      <c r="AH111">
        <v>0</v>
      </c>
      <c r="AI111">
        <v>0</v>
      </c>
      <c r="AJ111">
        <v>0</v>
      </c>
      <c r="AK111">
        <v>0</v>
      </c>
      <c r="AL111" t="s">
        <v>87</v>
      </c>
      <c r="AM111" t="s">
        <v>88</v>
      </c>
      <c r="AN111" t="s">
        <v>89</v>
      </c>
      <c r="AO111" t="s">
        <v>2369</v>
      </c>
      <c r="AP111" t="s">
        <v>2370</v>
      </c>
      <c r="AQ111" t="s">
        <v>74</v>
      </c>
      <c r="AR111" t="s">
        <v>2371</v>
      </c>
      <c r="AS111" t="s">
        <v>2372</v>
      </c>
      <c r="AT111" t="s">
        <v>2311</v>
      </c>
      <c r="AU111">
        <v>2023</v>
      </c>
      <c r="AV111" t="s">
        <v>74</v>
      </c>
      <c r="AW111" t="s">
        <v>74</v>
      </c>
      <c r="AX111" t="s">
        <v>74</v>
      </c>
      <c r="AY111" t="s">
        <v>74</v>
      </c>
      <c r="AZ111" t="s">
        <v>74</v>
      </c>
      <c r="BA111" t="s">
        <v>74</v>
      </c>
      <c r="BB111" t="s">
        <v>74</v>
      </c>
      <c r="BC111" t="s">
        <v>74</v>
      </c>
      <c r="BD111" t="s">
        <v>74</v>
      </c>
      <c r="BE111" t="s">
        <v>2373</v>
      </c>
      <c r="BF111" t="str">
        <f>HYPERLINK("http://dx.doi.org/10.1002/rcs.2579","http://dx.doi.org/10.1002/rcs.2579")</f>
        <v>http://dx.doi.org/10.1002/rcs.2579</v>
      </c>
      <c r="BG111" t="s">
        <v>74</v>
      </c>
      <c r="BH111" t="s">
        <v>407</v>
      </c>
      <c r="BI111">
        <v>21</v>
      </c>
      <c r="BJ111" t="s">
        <v>2374</v>
      </c>
      <c r="BK111" t="s">
        <v>119</v>
      </c>
      <c r="BL111" t="s">
        <v>2374</v>
      </c>
      <c r="BM111" t="s">
        <v>2375</v>
      </c>
      <c r="BN111">
        <v>37727021</v>
      </c>
      <c r="BO111" t="s">
        <v>301</v>
      </c>
      <c r="BP111" t="s">
        <v>74</v>
      </c>
      <c r="BQ111" t="s">
        <v>74</v>
      </c>
      <c r="BR111" t="s">
        <v>99</v>
      </c>
      <c r="BS111" t="s">
        <v>2376</v>
      </c>
      <c r="BT111" t="str">
        <f>HYPERLINK("https%3A%2F%2Fwww.webofscience.com%2Fwos%2Fwoscc%2Ffull-record%2FWOS:001066677300001","View Full Record in Web of Science")</f>
        <v>View Full Record in Web of Science</v>
      </c>
    </row>
    <row r="112" spans="1:72" x14ac:dyDescent="0.15">
      <c r="A112" t="s">
        <v>72</v>
      </c>
      <c r="B112" t="s">
        <v>2377</v>
      </c>
      <c r="C112" t="s">
        <v>74</v>
      </c>
      <c r="D112" t="s">
        <v>74</v>
      </c>
      <c r="E112" t="s">
        <v>74</v>
      </c>
      <c r="F112" t="s">
        <v>2378</v>
      </c>
      <c r="G112" t="s">
        <v>74</v>
      </c>
      <c r="H112" t="s">
        <v>74</v>
      </c>
      <c r="I112" t="s">
        <v>2379</v>
      </c>
      <c r="J112" t="s">
        <v>896</v>
      </c>
      <c r="K112" t="s">
        <v>74</v>
      </c>
      <c r="L112" t="s">
        <v>74</v>
      </c>
      <c r="M112" t="s">
        <v>78</v>
      </c>
      <c r="N112" t="s">
        <v>338</v>
      </c>
      <c r="O112" t="s">
        <v>74</v>
      </c>
      <c r="P112" t="s">
        <v>74</v>
      </c>
      <c r="Q112" t="s">
        <v>74</v>
      </c>
      <c r="R112" t="s">
        <v>74</v>
      </c>
      <c r="S112" t="s">
        <v>74</v>
      </c>
      <c r="T112" t="s">
        <v>2380</v>
      </c>
      <c r="U112" t="s">
        <v>2381</v>
      </c>
      <c r="V112" t="s">
        <v>2382</v>
      </c>
      <c r="W112" t="s">
        <v>2383</v>
      </c>
      <c r="X112" t="s">
        <v>2384</v>
      </c>
      <c r="Y112" t="s">
        <v>2385</v>
      </c>
      <c r="Z112" t="s">
        <v>2386</v>
      </c>
      <c r="AA112" t="s">
        <v>2387</v>
      </c>
      <c r="AB112" t="s">
        <v>2388</v>
      </c>
      <c r="AC112" t="s">
        <v>2389</v>
      </c>
      <c r="AD112" t="s">
        <v>2389</v>
      </c>
      <c r="AE112" t="s">
        <v>2390</v>
      </c>
      <c r="AF112" t="s">
        <v>74</v>
      </c>
      <c r="AG112">
        <v>69</v>
      </c>
      <c r="AH112">
        <v>0</v>
      </c>
      <c r="AI112">
        <v>0</v>
      </c>
      <c r="AJ112">
        <v>6</v>
      </c>
      <c r="AK112">
        <v>6</v>
      </c>
      <c r="AL112" t="s">
        <v>87</v>
      </c>
      <c r="AM112" t="s">
        <v>88</v>
      </c>
      <c r="AN112" t="s">
        <v>89</v>
      </c>
      <c r="AO112" t="s">
        <v>908</v>
      </c>
      <c r="AP112" t="s">
        <v>909</v>
      </c>
      <c r="AQ112" t="s">
        <v>74</v>
      </c>
      <c r="AR112" t="s">
        <v>910</v>
      </c>
      <c r="AS112" t="s">
        <v>911</v>
      </c>
      <c r="AT112" t="s">
        <v>2311</v>
      </c>
      <c r="AU112">
        <v>2023</v>
      </c>
      <c r="AV112" t="s">
        <v>74</v>
      </c>
      <c r="AW112" t="s">
        <v>74</v>
      </c>
      <c r="AX112" t="s">
        <v>74</v>
      </c>
      <c r="AY112" t="s">
        <v>74</v>
      </c>
      <c r="AZ112" t="s">
        <v>74</v>
      </c>
      <c r="BA112" t="s">
        <v>74</v>
      </c>
      <c r="BB112" t="s">
        <v>74</v>
      </c>
      <c r="BC112" t="s">
        <v>74</v>
      </c>
      <c r="BD112" t="s">
        <v>74</v>
      </c>
      <c r="BE112" t="s">
        <v>2391</v>
      </c>
      <c r="BF112" t="str">
        <f>HYPERLINK("http://dx.doi.org/10.1111/mec.17124","http://dx.doi.org/10.1111/mec.17124")</f>
        <v>http://dx.doi.org/10.1111/mec.17124</v>
      </c>
      <c r="BG112" t="s">
        <v>74</v>
      </c>
      <c r="BH112" t="s">
        <v>407</v>
      </c>
      <c r="BI112">
        <v>16</v>
      </c>
      <c r="BJ112" t="s">
        <v>914</v>
      </c>
      <c r="BK112" t="s">
        <v>119</v>
      </c>
      <c r="BL112" t="s">
        <v>915</v>
      </c>
      <c r="BM112" t="s">
        <v>2392</v>
      </c>
      <c r="BN112">
        <v>37724851</v>
      </c>
      <c r="BO112" t="s">
        <v>74</v>
      </c>
      <c r="BP112" t="s">
        <v>74</v>
      </c>
      <c r="BQ112" t="s">
        <v>74</v>
      </c>
      <c r="BR112" t="s">
        <v>99</v>
      </c>
      <c r="BS112" t="s">
        <v>2393</v>
      </c>
      <c r="BT112" t="str">
        <f>HYPERLINK("https%3A%2F%2Fwww.webofscience.com%2Fwos%2Fwoscc%2Ffull-record%2FWOS:001068180000001","View Full Record in Web of Science")</f>
        <v>View Full Record in Web of Science</v>
      </c>
    </row>
    <row r="113" spans="1:72" x14ac:dyDescent="0.15">
      <c r="A113" t="s">
        <v>72</v>
      </c>
      <c r="B113" t="s">
        <v>2394</v>
      </c>
      <c r="C113" t="s">
        <v>74</v>
      </c>
      <c r="D113" t="s">
        <v>74</v>
      </c>
      <c r="E113" t="s">
        <v>74</v>
      </c>
      <c r="F113" t="s">
        <v>2395</v>
      </c>
      <c r="G113" t="s">
        <v>74</v>
      </c>
      <c r="H113" t="s">
        <v>74</v>
      </c>
      <c r="I113" t="s">
        <v>2396</v>
      </c>
      <c r="J113" t="s">
        <v>2397</v>
      </c>
      <c r="K113" t="s">
        <v>74</v>
      </c>
      <c r="L113" t="s">
        <v>74</v>
      </c>
      <c r="M113" t="s">
        <v>78</v>
      </c>
      <c r="N113" t="s">
        <v>338</v>
      </c>
      <c r="O113" t="s">
        <v>74</v>
      </c>
      <c r="P113" t="s">
        <v>74</v>
      </c>
      <c r="Q113" t="s">
        <v>74</v>
      </c>
      <c r="R113" t="s">
        <v>74</v>
      </c>
      <c r="S113" t="s">
        <v>74</v>
      </c>
      <c r="T113" t="s">
        <v>2398</v>
      </c>
      <c r="U113" t="s">
        <v>2399</v>
      </c>
      <c r="V113" t="s">
        <v>2400</v>
      </c>
      <c r="W113" t="s">
        <v>2401</v>
      </c>
      <c r="X113" t="s">
        <v>2402</v>
      </c>
      <c r="Y113" t="s">
        <v>2403</v>
      </c>
      <c r="Z113" t="s">
        <v>2404</v>
      </c>
      <c r="AA113" t="s">
        <v>74</v>
      </c>
      <c r="AB113" t="s">
        <v>2405</v>
      </c>
      <c r="AC113" t="s">
        <v>2406</v>
      </c>
      <c r="AD113" t="s">
        <v>2406</v>
      </c>
      <c r="AE113" t="s">
        <v>2407</v>
      </c>
      <c r="AF113" t="s">
        <v>74</v>
      </c>
      <c r="AG113">
        <v>35</v>
      </c>
      <c r="AH113">
        <v>0</v>
      </c>
      <c r="AI113">
        <v>0</v>
      </c>
      <c r="AJ113">
        <v>0</v>
      </c>
      <c r="AK113">
        <v>0</v>
      </c>
      <c r="AL113" t="s">
        <v>87</v>
      </c>
      <c r="AM113" t="s">
        <v>88</v>
      </c>
      <c r="AN113" t="s">
        <v>89</v>
      </c>
      <c r="AO113" t="s">
        <v>2408</v>
      </c>
      <c r="AP113" t="s">
        <v>2409</v>
      </c>
      <c r="AQ113" t="s">
        <v>74</v>
      </c>
      <c r="AR113" t="s">
        <v>2410</v>
      </c>
      <c r="AS113" t="s">
        <v>2411</v>
      </c>
      <c r="AT113" t="s">
        <v>2311</v>
      </c>
      <c r="AU113">
        <v>2023</v>
      </c>
      <c r="AV113" t="s">
        <v>74</v>
      </c>
      <c r="AW113" t="s">
        <v>74</v>
      </c>
      <c r="AX113" t="s">
        <v>74</v>
      </c>
      <c r="AY113" t="s">
        <v>74</v>
      </c>
      <c r="AZ113" t="s">
        <v>74</v>
      </c>
      <c r="BA113" t="s">
        <v>74</v>
      </c>
      <c r="BB113" t="s">
        <v>74</v>
      </c>
      <c r="BC113" t="s">
        <v>74</v>
      </c>
      <c r="BD113" t="s">
        <v>74</v>
      </c>
      <c r="BE113" t="s">
        <v>2412</v>
      </c>
      <c r="BF113" t="str">
        <f>HYPERLINK("http://dx.doi.org/10.1002/jmri.29015","http://dx.doi.org/10.1002/jmri.29015")</f>
        <v>http://dx.doi.org/10.1002/jmri.29015</v>
      </c>
      <c r="BG113" t="s">
        <v>74</v>
      </c>
      <c r="BH113" t="s">
        <v>407</v>
      </c>
      <c r="BI113">
        <v>16</v>
      </c>
      <c r="BJ113" t="s">
        <v>1290</v>
      </c>
      <c r="BK113" t="s">
        <v>119</v>
      </c>
      <c r="BL113" t="s">
        <v>1290</v>
      </c>
      <c r="BM113" t="s">
        <v>2413</v>
      </c>
      <c r="BN113">
        <v>37724902</v>
      </c>
      <c r="BO113" t="s">
        <v>74</v>
      </c>
      <c r="BP113" t="s">
        <v>74</v>
      </c>
      <c r="BQ113" t="s">
        <v>74</v>
      </c>
      <c r="BR113" t="s">
        <v>99</v>
      </c>
      <c r="BS113" t="s">
        <v>2414</v>
      </c>
      <c r="BT113" t="str">
        <f>HYPERLINK("https%3A%2F%2Fwww.webofscience.com%2Fwos%2Fwoscc%2Ffull-record%2FWOS:001068591300001","View Full Record in Web of Science")</f>
        <v>View Full Record in Web of Science</v>
      </c>
    </row>
    <row r="114" spans="1:72" x14ac:dyDescent="0.15">
      <c r="A114" t="s">
        <v>72</v>
      </c>
      <c r="B114" t="s">
        <v>2415</v>
      </c>
      <c r="C114" t="s">
        <v>74</v>
      </c>
      <c r="D114" t="s">
        <v>74</v>
      </c>
      <c r="E114" t="s">
        <v>74</v>
      </c>
      <c r="F114" t="s">
        <v>2416</v>
      </c>
      <c r="G114" t="s">
        <v>74</v>
      </c>
      <c r="H114" t="s">
        <v>74</v>
      </c>
      <c r="I114" t="s">
        <v>2417</v>
      </c>
      <c r="J114" t="s">
        <v>2418</v>
      </c>
      <c r="K114" t="s">
        <v>74</v>
      </c>
      <c r="L114" t="s">
        <v>74</v>
      </c>
      <c r="M114" t="s">
        <v>78</v>
      </c>
      <c r="N114" t="s">
        <v>2419</v>
      </c>
      <c r="O114" t="s">
        <v>74</v>
      </c>
      <c r="P114" t="s">
        <v>74</v>
      </c>
      <c r="Q114" t="s">
        <v>74</v>
      </c>
      <c r="R114" t="s">
        <v>74</v>
      </c>
      <c r="S114" t="s">
        <v>74</v>
      </c>
      <c r="T114" t="s">
        <v>74</v>
      </c>
      <c r="U114" t="s">
        <v>74</v>
      </c>
      <c r="V114" t="s">
        <v>74</v>
      </c>
      <c r="W114" t="s">
        <v>2420</v>
      </c>
      <c r="X114" t="s">
        <v>74</v>
      </c>
      <c r="Y114" t="s">
        <v>2421</v>
      </c>
      <c r="Z114" t="s">
        <v>2422</v>
      </c>
      <c r="AA114" t="s">
        <v>74</v>
      </c>
      <c r="AB114" t="s">
        <v>74</v>
      </c>
      <c r="AC114" t="s">
        <v>74</v>
      </c>
      <c r="AD114" t="s">
        <v>74</v>
      </c>
      <c r="AE114" t="s">
        <v>74</v>
      </c>
      <c r="AF114" t="s">
        <v>74</v>
      </c>
      <c r="AG114">
        <v>2</v>
      </c>
      <c r="AH114">
        <v>0</v>
      </c>
      <c r="AI114">
        <v>0</v>
      </c>
      <c r="AJ114">
        <v>0</v>
      </c>
      <c r="AK114">
        <v>0</v>
      </c>
      <c r="AL114" t="s">
        <v>87</v>
      </c>
      <c r="AM114" t="s">
        <v>88</v>
      </c>
      <c r="AN114" t="s">
        <v>89</v>
      </c>
      <c r="AO114" t="s">
        <v>2423</v>
      </c>
      <c r="AP114" t="s">
        <v>2424</v>
      </c>
      <c r="AQ114" t="s">
        <v>74</v>
      </c>
      <c r="AR114" t="s">
        <v>2425</v>
      </c>
      <c r="AS114" t="s">
        <v>2426</v>
      </c>
      <c r="AT114" t="s">
        <v>2311</v>
      </c>
      <c r="AU114">
        <v>2023</v>
      </c>
      <c r="AV114" t="s">
        <v>74</v>
      </c>
      <c r="AW114" t="s">
        <v>74</v>
      </c>
      <c r="AX114" t="s">
        <v>74</v>
      </c>
      <c r="AY114" t="s">
        <v>74</v>
      </c>
      <c r="AZ114" t="s">
        <v>74</v>
      </c>
      <c r="BA114" t="s">
        <v>74</v>
      </c>
      <c r="BB114" t="s">
        <v>74</v>
      </c>
      <c r="BC114" t="s">
        <v>74</v>
      </c>
      <c r="BD114" t="s">
        <v>74</v>
      </c>
      <c r="BE114" t="s">
        <v>2427</v>
      </c>
      <c r="BF114" t="str">
        <f>HYPERLINK("http://dx.doi.org/10.1111/bjp.12871","http://dx.doi.org/10.1111/bjp.12871")</f>
        <v>http://dx.doi.org/10.1111/bjp.12871</v>
      </c>
      <c r="BG114" t="s">
        <v>74</v>
      </c>
      <c r="BH114" t="s">
        <v>407</v>
      </c>
      <c r="BI114">
        <v>4</v>
      </c>
      <c r="BJ114" t="s">
        <v>2428</v>
      </c>
      <c r="BK114" t="s">
        <v>96</v>
      </c>
      <c r="BL114" t="s">
        <v>2428</v>
      </c>
      <c r="BM114" t="s">
        <v>2429</v>
      </c>
      <c r="BN114" t="s">
        <v>74</v>
      </c>
      <c r="BO114" t="s">
        <v>74</v>
      </c>
      <c r="BP114" t="s">
        <v>74</v>
      </c>
      <c r="BQ114" t="s">
        <v>74</v>
      </c>
      <c r="BR114" t="s">
        <v>99</v>
      </c>
      <c r="BS114" t="s">
        <v>2430</v>
      </c>
      <c r="BT114" t="str">
        <f>HYPERLINK("https%3A%2F%2Fwww.webofscience.com%2Fwos%2Fwoscc%2Ffull-record%2FWOS:001069150500001","View Full Record in Web of Science")</f>
        <v>View Full Record in Web of Science</v>
      </c>
    </row>
    <row r="115" spans="1:72" x14ac:dyDescent="0.15">
      <c r="A115" t="s">
        <v>72</v>
      </c>
      <c r="B115" t="s">
        <v>2431</v>
      </c>
      <c r="C115" t="s">
        <v>74</v>
      </c>
      <c r="D115" t="s">
        <v>74</v>
      </c>
      <c r="E115" t="s">
        <v>74</v>
      </c>
      <c r="F115" t="s">
        <v>2432</v>
      </c>
      <c r="G115" t="s">
        <v>74</v>
      </c>
      <c r="H115" t="s">
        <v>74</v>
      </c>
      <c r="I115" t="s">
        <v>2433</v>
      </c>
      <c r="J115" t="s">
        <v>2434</v>
      </c>
      <c r="K115" t="s">
        <v>74</v>
      </c>
      <c r="L115" t="s">
        <v>74</v>
      </c>
      <c r="M115" t="s">
        <v>78</v>
      </c>
      <c r="N115" t="s">
        <v>338</v>
      </c>
      <c r="O115" t="s">
        <v>74</v>
      </c>
      <c r="P115" t="s">
        <v>74</v>
      </c>
      <c r="Q115" t="s">
        <v>74</v>
      </c>
      <c r="R115" t="s">
        <v>74</v>
      </c>
      <c r="S115" t="s">
        <v>74</v>
      </c>
      <c r="T115" t="s">
        <v>2435</v>
      </c>
      <c r="U115" t="s">
        <v>2436</v>
      </c>
      <c r="V115" t="s">
        <v>2437</v>
      </c>
      <c r="W115" t="s">
        <v>2438</v>
      </c>
      <c r="X115" t="s">
        <v>2439</v>
      </c>
      <c r="Y115" t="s">
        <v>2440</v>
      </c>
      <c r="Z115" t="s">
        <v>2441</v>
      </c>
      <c r="AA115" t="s">
        <v>74</v>
      </c>
      <c r="AB115" t="s">
        <v>74</v>
      </c>
      <c r="AC115" t="s">
        <v>74</v>
      </c>
      <c r="AD115" t="s">
        <v>74</v>
      </c>
      <c r="AE115" t="s">
        <v>74</v>
      </c>
      <c r="AF115" t="s">
        <v>74</v>
      </c>
      <c r="AG115">
        <v>69</v>
      </c>
      <c r="AH115">
        <v>0</v>
      </c>
      <c r="AI115">
        <v>0</v>
      </c>
      <c r="AJ115">
        <v>0</v>
      </c>
      <c r="AK115">
        <v>0</v>
      </c>
      <c r="AL115" t="s">
        <v>87</v>
      </c>
      <c r="AM115" t="s">
        <v>88</v>
      </c>
      <c r="AN115" t="s">
        <v>89</v>
      </c>
      <c r="AO115" t="s">
        <v>2442</v>
      </c>
      <c r="AP115" t="s">
        <v>2443</v>
      </c>
      <c r="AQ115" t="s">
        <v>74</v>
      </c>
      <c r="AR115" t="s">
        <v>2444</v>
      </c>
      <c r="AS115" t="s">
        <v>2445</v>
      </c>
      <c r="AT115" t="s">
        <v>2446</v>
      </c>
      <c r="AU115">
        <v>2023</v>
      </c>
      <c r="AV115" t="s">
        <v>74</v>
      </c>
      <c r="AW115" t="s">
        <v>74</v>
      </c>
      <c r="AX115" t="s">
        <v>74</v>
      </c>
      <c r="AY115" t="s">
        <v>74</v>
      </c>
      <c r="AZ115" t="s">
        <v>74</v>
      </c>
      <c r="BA115" t="s">
        <v>74</v>
      </c>
      <c r="BB115" t="s">
        <v>74</v>
      </c>
      <c r="BC115" t="s">
        <v>74</v>
      </c>
      <c r="BD115" t="s">
        <v>74</v>
      </c>
      <c r="BE115" t="s">
        <v>2447</v>
      </c>
      <c r="BF115" t="str">
        <f>HYPERLINK("http://dx.doi.org/10.1111/beer.12606","http://dx.doi.org/10.1111/beer.12606")</f>
        <v>http://dx.doi.org/10.1111/beer.12606</v>
      </c>
      <c r="BG115" t="s">
        <v>74</v>
      </c>
      <c r="BH115" t="s">
        <v>407</v>
      </c>
      <c r="BI115">
        <v>18</v>
      </c>
      <c r="BJ115" t="s">
        <v>2448</v>
      </c>
      <c r="BK115" t="s">
        <v>546</v>
      </c>
      <c r="BL115" t="s">
        <v>2449</v>
      </c>
      <c r="BM115" t="s">
        <v>2450</v>
      </c>
      <c r="BN115" t="s">
        <v>74</v>
      </c>
      <c r="BO115" t="s">
        <v>74</v>
      </c>
      <c r="BP115" t="s">
        <v>74</v>
      </c>
      <c r="BQ115" t="s">
        <v>74</v>
      </c>
      <c r="BR115" t="s">
        <v>99</v>
      </c>
      <c r="BS115" t="s">
        <v>2451</v>
      </c>
      <c r="BT115" t="str">
        <f>HYPERLINK("https%3A%2F%2Fwww.webofscience.com%2Fwos%2Fwoscc%2Ffull-record%2FWOS:001069994700001","View Full Record in Web of Science")</f>
        <v>View Full Record in Web of Science</v>
      </c>
    </row>
    <row r="116" spans="1:72" x14ac:dyDescent="0.15">
      <c r="A116" t="s">
        <v>72</v>
      </c>
      <c r="B116" t="s">
        <v>2452</v>
      </c>
      <c r="C116" t="s">
        <v>74</v>
      </c>
      <c r="D116" t="s">
        <v>74</v>
      </c>
      <c r="E116" t="s">
        <v>74</v>
      </c>
      <c r="F116" t="s">
        <v>2453</v>
      </c>
      <c r="G116" t="s">
        <v>74</v>
      </c>
      <c r="H116" t="s">
        <v>74</v>
      </c>
      <c r="I116" t="s">
        <v>2454</v>
      </c>
      <c r="J116" t="s">
        <v>2455</v>
      </c>
      <c r="K116" t="s">
        <v>74</v>
      </c>
      <c r="L116" t="s">
        <v>74</v>
      </c>
      <c r="M116" t="s">
        <v>78</v>
      </c>
      <c r="N116" t="s">
        <v>338</v>
      </c>
      <c r="O116" t="s">
        <v>74</v>
      </c>
      <c r="P116" t="s">
        <v>74</v>
      </c>
      <c r="Q116" t="s">
        <v>74</v>
      </c>
      <c r="R116" t="s">
        <v>74</v>
      </c>
      <c r="S116" t="s">
        <v>74</v>
      </c>
      <c r="T116" t="s">
        <v>2456</v>
      </c>
      <c r="U116" t="s">
        <v>2457</v>
      </c>
      <c r="V116" t="s">
        <v>2458</v>
      </c>
      <c r="W116" t="s">
        <v>2459</v>
      </c>
      <c r="X116" t="s">
        <v>2460</v>
      </c>
      <c r="Y116" t="s">
        <v>2461</v>
      </c>
      <c r="Z116" t="s">
        <v>2462</v>
      </c>
      <c r="AA116" t="s">
        <v>74</v>
      </c>
      <c r="AB116" t="s">
        <v>2463</v>
      </c>
      <c r="AC116" t="s">
        <v>2464</v>
      </c>
      <c r="AD116" t="s">
        <v>2465</v>
      </c>
      <c r="AE116" t="s">
        <v>2466</v>
      </c>
      <c r="AF116" t="s">
        <v>74</v>
      </c>
      <c r="AG116">
        <v>64</v>
      </c>
      <c r="AH116">
        <v>0</v>
      </c>
      <c r="AI116">
        <v>0</v>
      </c>
      <c r="AJ116">
        <v>0</v>
      </c>
      <c r="AK116">
        <v>0</v>
      </c>
      <c r="AL116" t="s">
        <v>87</v>
      </c>
      <c r="AM116" t="s">
        <v>88</v>
      </c>
      <c r="AN116" t="s">
        <v>89</v>
      </c>
      <c r="AO116" t="s">
        <v>2467</v>
      </c>
      <c r="AP116" t="s">
        <v>2468</v>
      </c>
      <c r="AQ116" t="s">
        <v>74</v>
      </c>
      <c r="AR116" t="s">
        <v>2469</v>
      </c>
      <c r="AS116" t="s">
        <v>2470</v>
      </c>
      <c r="AT116" t="s">
        <v>2446</v>
      </c>
      <c r="AU116">
        <v>2023</v>
      </c>
      <c r="AV116" t="s">
        <v>74</v>
      </c>
      <c r="AW116" t="s">
        <v>74</v>
      </c>
      <c r="AX116" t="s">
        <v>74</v>
      </c>
      <c r="AY116" t="s">
        <v>74</v>
      </c>
      <c r="AZ116" t="s">
        <v>74</v>
      </c>
      <c r="BA116" t="s">
        <v>74</v>
      </c>
      <c r="BB116" t="s">
        <v>74</v>
      </c>
      <c r="BC116" t="s">
        <v>74</v>
      </c>
      <c r="BD116" t="s">
        <v>74</v>
      </c>
      <c r="BE116" t="s">
        <v>2471</v>
      </c>
      <c r="BF116" t="str">
        <f>HYPERLINK("http://dx.doi.org/10.1111/sltb.13002","http://dx.doi.org/10.1111/sltb.13002")</f>
        <v>http://dx.doi.org/10.1111/sltb.13002</v>
      </c>
      <c r="BG116" t="s">
        <v>74</v>
      </c>
      <c r="BH116" t="s">
        <v>407</v>
      </c>
      <c r="BI116">
        <v>13</v>
      </c>
      <c r="BJ116" t="s">
        <v>2472</v>
      </c>
      <c r="BK116" t="s">
        <v>546</v>
      </c>
      <c r="BL116" t="s">
        <v>2473</v>
      </c>
      <c r="BM116" t="s">
        <v>2474</v>
      </c>
      <c r="BN116">
        <v>37720928</v>
      </c>
      <c r="BO116" t="s">
        <v>74</v>
      </c>
      <c r="BP116" t="s">
        <v>74</v>
      </c>
      <c r="BQ116" t="s">
        <v>74</v>
      </c>
      <c r="BR116" t="s">
        <v>99</v>
      </c>
      <c r="BS116" t="s">
        <v>2475</v>
      </c>
      <c r="BT116" t="str">
        <f>HYPERLINK("https%3A%2F%2Fwww.webofscience.com%2Fwos%2Fwoscc%2Ffull-record%2FWOS:001066474200001","View Full Record in Web of Science")</f>
        <v>View Full Record in Web of Science</v>
      </c>
    </row>
    <row r="117" spans="1:72" x14ac:dyDescent="0.15">
      <c r="A117" t="s">
        <v>72</v>
      </c>
      <c r="B117" t="s">
        <v>2476</v>
      </c>
      <c r="C117" t="s">
        <v>74</v>
      </c>
      <c r="D117" t="s">
        <v>74</v>
      </c>
      <c r="E117" t="s">
        <v>74</v>
      </c>
      <c r="F117" t="s">
        <v>2477</v>
      </c>
      <c r="G117" t="s">
        <v>74</v>
      </c>
      <c r="H117" t="s">
        <v>74</v>
      </c>
      <c r="I117" t="s">
        <v>2478</v>
      </c>
      <c r="J117" t="s">
        <v>2479</v>
      </c>
      <c r="K117" t="s">
        <v>74</v>
      </c>
      <c r="L117" t="s">
        <v>74</v>
      </c>
      <c r="M117" t="s">
        <v>78</v>
      </c>
      <c r="N117" t="s">
        <v>338</v>
      </c>
      <c r="O117" t="s">
        <v>74</v>
      </c>
      <c r="P117" t="s">
        <v>74</v>
      </c>
      <c r="Q117" t="s">
        <v>74</v>
      </c>
      <c r="R117" t="s">
        <v>74</v>
      </c>
      <c r="S117" t="s">
        <v>74</v>
      </c>
      <c r="T117" t="s">
        <v>2480</v>
      </c>
      <c r="U117" t="s">
        <v>2481</v>
      </c>
      <c r="V117" t="s">
        <v>2482</v>
      </c>
      <c r="W117" t="s">
        <v>2483</v>
      </c>
      <c r="X117" t="s">
        <v>2484</v>
      </c>
      <c r="Y117" t="s">
        <v>2485</v>
      </c>
      <c r="Z117" t="s">
        <v>2486</v>
      </c>
      <c r="AA117" t="s">
        <v>74</v>
      </c>
      <c r="AB117" t="s">
        <v>74</v>
      </c>
      <c r="AC117" t="s">
        <v>2487</v>
      </c>
      <c r="AD117" t="s">
        <v>2488</v>
      </c>
      <c r="AE117" t="s">
        <v>2489</v>
      </c>
      <c r="AF117" t="s">
        <v>74</v>
      </c>
      <c r="AG117">
        <v>93</v>
      </c>
      <c r="AH117">
        <v>0</v>
      </c>
      <c r="AI117">
        <v>0</v>
      </c>
      <c r="AJ117">
        <v>0</v>
      </c>
      <c r="AK117">
        <v>0</v>
      </c>
      <c r="AL117" t="s">
        <v>87</v>
      </c>
      <c r="AM117" t="s">
        <v>88</v>
      </c>
      <c r="AN117" t="s">
        <v>89</v>
      </c>
      <c r="AO117" t="s">
        <v>2490</v>
      </c>
      <c r="AP117" t="s">
        <v>2491</v>
      </c>
      <c r="AQ117" t="s">
        <v>74</v>
      </c>
      <c r="AR117" t="s">
        <v>2492</v>
      </c>
      <c r="AS117" t="s">
        <v>2493</v>
      </c>
      <c r="AT117" t="s">
        <v>2446</v>
      </c>
      <c r="AU117">
        <v>2023</v>
      </c>
      <c r="AV117" t="s">
        <v>74</v>
      </c>
      <c r="AW117" t="s">
        <v>74</v>
      </c>
      <c r="AX117" t="s">
        <v>74</v>
      </c>
      <c r="AY117" t="s">
        <v>74</v>
      </c>
      <c r="AZ117" t="s">
        <v>74</v>
      </c>
      <c r="BA117" t="s">
        <v>74</v>
      </c>
      <c r="BB117" t="s">
        <v>74</v>
      </c>
      <c r="BC117" t="s">
        <v>74</v>
      </c>
      <c r="BD117" t="s">
        <v>74</v>
      </c>
      <c r="BE117" t="s">
        <v>2494</v>
      </c>
      <c r="BF117" t="str">
        <f>HYPERLINK("http://dx.doi.org/10.1111/ajae.12429","http://dx.doi.org/10.1111/ajae.12429")</f>
        <v>http://dx.doi.org/10.1111/ajae.12429</v>
      </c>
      <c r="BG117" t="s">
        <v>74</v>
      </c>
      <c r="BH117" t="s">
        <v>407</v>
      </c>
      <c r="BI117">
        <v>26</v>
      </c>
      <c r="BJ117" t="s">
        <v>2495</v>
      </c>
      <c r="BK117" t="s">
        <v>409</v>
      </c>
      <c r="BL117" t="s">
        <v>2496</v>
      </c>
      <c r="BM117" t="s">
        <v>2497</v>
      </c>
      <c r="BN117" t="s">
        <v>74</v>
      </c>
      <c r="BO117" t="s">
        <v>122</v>
      </c>
      <c r="BP117" t="s">
        <v>74</v>
      </c>
      <c r="BQ117" t="s">
        <v>74</v>
      </c>
      <c r="BR117" t="s">
        <v>99</v>
      </c>
      <c r="BS117" t="s">
        <v>2498</v>
      </c>
      <c r="BT117" t="str">
        <f>HYPERLINK("https%3A%2F%2Fwww.webofscience.com%2Fwos%2Fwoscc%2Ffull-record%2FWOS:001070429200001","View Full Record in Web of Science")</f>
        <v>View Full Record in Web of Science</v>
      </c>
    </row>
    <row r="118" spans="1:72" x14ac:dyDescent="0.15">
      <c r="A118" t="s">
        <v>72</v>
      </c>
      <c r="B118" t="s">
        <v>2499</v>
      </c>
      <c r="C118" t="s">
        <v>74</v>
      </c>
      <c r="D118" t="s">
        <v>74</v>
      </c>
      <c r="E118" t="s">
        <v>74</v>
      </c>
      <c r="F118" t="s">
        <v>2500</v>
      </c>
      <c r="G118" t="s">
        <v>74</v>
      </c>
      <c r="H118" t="s">
        <v>74</v>
      </c>
      <c r="I118" t="s">
        <v>2501</v>
      </c>
      <c r="J118" t="s">
        <v>2502</v>
      </c>
      <c r="K118" t="s">
        <v>74</v>
      </c>
      <c r="L118" t="s">
        <v>74</v>
      </c>
      <c r="M118" t="s">
        <v>78</v>
      </c>
      <c r="N118" t="s">
        <v>338</v>
      </c>
      <c r="O118" t="s">
        <v>74</v>
      </c>
      <c r="P118" t="s">
        <v>74</v>
      </c>
      <c r="Q118" t="s">
        <v>74</v>
      </c>
      <c r="R118" t="s">
        <v>74</v>
      </c>
      <c r="S118" t="s">
        <v>74</v>
      </c>
      <c r="T118" t="s">
        <v>2503</v>
      </c>
      <c r="U118" t="s">
        <v>2504</v>
      </c>
      <c r="V118" t="s">
        <v>2505</v>
      </c>
      <c r="W118" t="s">
        <v>2506</v>
      </c>
      <c r="X118" t="s">
        <v>2507</v>
      </c>
      <c r="Y118" t="s">
        <v>2508</v>
      </c>
      <c r="Z118" t="s">
        <v>2509</v>
      </c>
      <c r="AA118" t="s">
        <v>74</v>
      </c>
      <c r="AB118" t="s">
        <v>74</v>
      </c>
      <c r="AC118" t="s">
        <v>2510</v>
      </c>
      <c r="AD118" t="s">
        <v>2510</v>
      </c>
      <c r="AE118" t="s">
        <v>2511</v>
      </c>
      <c r="AF118" t="s">
        <v>74</v>
      </c>
      <c r="AG118">
        <v>90</v>
      </c>
      <c r="AH118">
        <v>0</v>
      </c>
      <c r="AI118">
        <v>0</v>
      </c>
      <c r="AJ118">
        <v>0</v>
      </c>
      <c r="AK118">
        <v>0</v>
      </c>
      <c r="AL118" t="s">
        <v>87</v>
      </c>
      <c r="AM118" t="s">
        <v>88</v>
      </c>
      <c r="AN118" t="s">
        <v>89</v>
      </c>
      <c r="AO118" t="s">
        <v>2512</v>
      </c>
      <c r="AP118" t="s">
        <v>2513</v>
      </c>
      <c r="AQ118" t="s">
        <v>74</v>
      </c>
      <c r="AR118" t="s">
        <v>2514</v>
      </c>
      <c r="AS118" t="s">
        <v>2515</v>
      </c>
      <c r="AT118" t="s">
        <v>2446</v>
      </c>
      <c r="AU118">
        <v>2023</v>
      </c>
      <c r="AV118" t="s">
        <v>74</v>
      </c>
      <c r="AW118" t="s">
        <v>74</v>
      </c>
      <c r="AX118" t="s">
        <v>74</v>
      </c>
      <c r="AY118" t="s">
        <v>74</v>
      </c>
      <c r="AZ118" t="s">
        <v>74</v>
      </c>
      <c r="BA118" t="s">
        <v>74</v>
      </c>
      <c r="BB118" t="s">
        <v>74</v>
      </c>
      <c r="BC118" t="s">
        <v>74</v>
      </c>
      <c r="BD118" t="s">
        <v>74</v>
      </c>
      <c r="BE118" t="s">
        <v>2516</v>
      </c>
      <c r="BF118" t="str">
        <f>HYPERLINK("http://dx.doi.org/10.1111/ijsa.12451","http://dx.doi.org/10.1111/ijsa.12451")</f>
        <v>http://dx.doi.org/10.1111/ijsa.12451</v>
      </c>
      <c r="BG118" t="s">
        <v>74</v>
      </c>
      <c r="BH118" t="s">
        <v>407</v>
      </c>
      <c r="BI118">
        <v>30</v>
      </c>
      <c r="BJ118" t="s">
        <v>2517</v>
      </c>
      <c r="BK118" t="s">
        <v>546</v>
      </c>
      <c r="BL118" t="s">
        <v>2518</v>
      </c>
      <c r="BM118" t="s">
        <v>2519</v>
      </c>
      <c r="BN118" t="s">
        <v>74</v>
      </c>
      <c r="BO118" t="s">
        <v>74</v>
      </c>
      <c r="BP118" t="s">
        <v>74</v>
      </c>
      <c r="BQ118" t="s">
        <v>74</v>
      </c>
      <c r="BR118" t="s">
        <v>99</v>
      </c>
      <c r="BS118" t="s">
        <v>2520</v>
      </c>
      <c r="BT118" t="str">
        <f>HYPERLINK("https%3A%2F%2Fwww.webofscience.com%2Fwos%2Fwoscc%2Ffull-record%2FWOS:001070932300001","View Full Record in Web of Science")</f>
        <v>View Full Record in Web of Science</v>
      </c>
    </row>
    <row r="119" spans="1:72" x14ac:dyDescent="0.15">
      <c r="A119" t="s">
        <v>72</v>
      </c>
      <c r="B119" t="s">
        <v>2521</v>
      </c>
      <c r="C119" t="s">
        <v>74</v>
      </c>
      <c r="D119" t="s">
        <v>74</v>
      </c>
      <c r="E119" t="s">
        <v>74</v>
      </c>
      <c r="F119" t="s">
        <v>2522</v>
      </c>
      <c r="G119" t="s">
        <v>74</v>
      </c>
      <c r="H119" t="s">
        <v>74</v>
      </c>
      <c r="I119" t="s">
        <v>2523</v>
      </c>
      <c r="J119" t="s">
        <v>2524</v>
      </c>
      <c r="K119" t="s">
        <v>74</v>
      </c>
      <c r="L119" t="s">
        <v>74</v>
      </c>
      <c r="M119" t="s">
        <v>78</v>
      </c>
      <c r="N119" t="s">
        <v>338</v>
      </c>
      <c r="O119" t="s">
        <v>74</v>
      </c>
      <c r="P119" t="s">
        <v>74</v>
      </c>
      <c r="Q119" t="s">
        <v>74</v>
      </c>
      <c r="R119" t="s">
        <v>74</v>
      </c>
      <c r="S119" t="s">
        <v>74</v>
      </c>
      <c r="T119" t="s">
        <v>2525</v>
      </c>
      <c r="U119" t="s">
        <v>2526</v>
      </c>
      <c r="V119" t="s">
        <v>2527</v>
      </c>
      <c r="W119" t="s">
        <v>2528</v>
      </c>
      <c r="X119" t="s">
        <v>2529</v>
      </c>
      <c r="Y119" t="s">
        <v>2530</v>
      </c>
      <c r="Z119" t="s">
        <v>2531</v>
      </c>
      <c r="AA119" t="s">
        <v>74</v>
      </c>
      <c r="AB119" t="s">
        <v>2532</v>
      </c>
      <c r="AC119" t="s">
        <v>2533</v>
      </c>
      <c r="AD119" t="s">
        <v>2534</v>
      </c>
      <c r="AE119" t="s">
        <v>2535</v>
      </c>
      <c r="AF119" t="s">
        <v>74</v>
      </c>
      <c r="AG119">
        <v>36</v>
      </c>
      <c r="AH119">
        <v>0</v>
      </c>
      <c r="AI119">
        <v>0</v>
      </c>
      <c r="AJ119">
        <v>0</v>
      </c>
      <c r="AK119">
        <v>0</v>
      </c>
      <c r="AL119" t="s">
        <v>87</v>
      </c>
      <c r="AM119" t="s">
        <v>88</v>
      </c>
      <c r="AN119" t="s">
        <v>89</v>
      </c>
      <c r="AO119" t="s">
        <v>2536</v>
      </c>
      <c r="AP119" t="s">
        <v>2537</v>
      </c>
      <c r="AQ119" t="s">
        <v>74</v>
      </c>
      <c r="AR119" t="s">
        <v>2538</v>
      </c>
      <c r="AS119" t="s">
        <v>2539</v>
      </c>
      <c r="AT119" t="s">
        <v>2446</v>
      </c>
      <c r="AU119">
        <v>2023</v>
      </c>
      <c r="AV119" t="s">
        <v>74</v>
      </c>
      <c r="AW119" t="s">
        <v>74</v>
      </c>
      <c r="AX119" t="s">
        <v>74</v>
      </c>
      <c r="AY119" t="s">
        <v>74</v>
      </c>
      <c r="AZ119" t="s">
        <v>74</v>
      </c>
      <c r="BA119" t="s">
        <v>74</v>
      </c>
      <c r="BB119" t="s">
        <v>74</v>
      </c>
      <c r="BC119" t="s">
        <v>74</v>
      </c>
      <c r="BD119" t="s">
        <v>74</v>
      </c>
      <c r="BE119" t="s">
        <v>2540</v>
      </c>
      <c r="BF119" t="str">
        <f>HYPERLINK("http://dx.doi.org/10.1111/1346-8138.16949","http://dx.doi.org/10.1111/1346-8138.16949")</f>
        <v>http://dx.doi.org/10.1111/1346-8138.16949</v>
      </c>
      <c r="BG119" t="s">
        <v>74</v>
      </c>
      <c r="BH119" t="s">
        <v>407</v>
      </c>
      <c r="BI119">
        <v>8</v>
      </c>
      <c r="BJ119" t="s">
        <v>2541</v>
      </c>
      <c r="BK119" t="s">
        <v>119</v>
      </c>
      <c r="BL119" t="s">
        <v>2541</v>
      </c>
      <c r="BM119" t="s">
        <v>2542</v>
      </c>
      <c r="BN119">
        <v>37721393</v>
      </c>
      <c r="BO119" t="s">
        <v>122</v>
      </c>
      <c r="BP119" t="s">
        <v>74</v>
      </c>
      <c r="BQ119" t="s">
        <v>74</v>
      </c>
      <c r="BR119" t="s">
        <v>99</v>
      </c>
      <c r="BS119" t="s">
        <v>2543</v>
      </c>
      <c r="BT119" t="str">
        <f>HYPERLINK("https%3A%2F%2Fwww.webofscience.com%2Fwos%2Fwoscc%2Ffull-record%2FWOS:001068422800001","View Full Record in Web of Science")</f>
        <v>View Full Record in Web of Science</v>
      </c>
    </row>
    <row r="120" spans="1:72" x14ac:dyDescent="0.15">
      <c r="A120" t="s">
        <v>72</v>
      </c>
      <c r="B120" t="s">
        <v>2544</v>
      </c>
      <c r="C120" t="s">
        <v>74</v>
      </c>
      <c r="D120" t="s">
        <v>74</v>
      </c>
      <c r="E120" t="s">
        <v>74</v>
      </c>
      <c r="F120" t="s">
        <v>2545</v>
      </c>
      <c r="G120" t="s">
        <v>74</v>
      </c>
      <c r="H120" t="s">
        <v>74</v>
      </c>
      <c r="I120" t="s">
        <v>2546</v>
      </c>
      <c r="J120" t="s">
        <v>2547</v>
      </c>
      <c r="K120" t="s">
        <v>74</v>
      </c>
      <c r="L120" t="s">
        <v>74</v>
      </c>
      <c r="M120" t="s">
        <v>78</v>
      </c>
      <c r="N120" t="s">
        <v>338</v>
      </c>
      <c r="O120" t="s">
        <v>74</v>
      </c>
      <c r="P120" t="s">
        <v>74</v>
      </c>
      <c r="Q120" t="s">
        <v>74</v>
      </c>
      <c r="R120" t="s">
        <v>74</v>
      </c>
      <c r="S120" t="s">
        <v>74</v>
      </c>
      <c r="T120" t="s">
        <v>2548</v>
      </c>
      <c r="U120" t="s">
        <v>2549</v>
      </c>
      <c r="V120" t="s">
        <v>2550</v>
      </c>
      <c r="W120" t="s">
        <v>2551</v>
      </c>
      <c r="X120" t="s">
        <v>2552</v>
      </c>
      <c r="Y120" t="s">
        <v>2553</v>
      </c>
      <c r="Z120" t="s">
        <v>2554</v>
      </c>
      <c r="AA120" t="s">
        <v>74</v>
      </c>
      <c r="AB120" t="s">
        <v>74</v>
      </c>
      <c r="AC120" t="s">
        <v>2555</v>
      </c>
      <c r="AD120" t="s">
        <v>2556</v>
      </c>
      <c r="AE120" t="s">
        <v>2557</v>
      </c>
      <c r="AF120" t="s">
        <v>74</v>
      </c>
      <c r="AG120">
        <v>20</v>
      </c>
      <c r="AH120">
        <v>0</v>
      </c>
      <c r="AI120">
        <v>0</v>
      </c>
      <c r="AJ120">
        <v>0</v>
      </c>
      <c r="AK120">
        <v>0</v>
      </c>
      <c r="AL120" t="s">
        <v>87</v>
      </c>
      <c r="AM120" t="s">
        <v>88</v>
      </c>
      <c r="AN120" t="s">
        <v>89</v>
      </c>
      <c r="AO120" t="s">
        <v>2558</v>
      </c>
      <c r="AP120" t="s">
        <v>2559</v>
      </c>
      <c r="AQ120" t="s">
        <v>74</v>
      </c>
      <c r="AR120" t="s">
        <v>2560</v>
      </c>
      <c r="AS120" t="s">
        <v>2561</v>
      </c>
      <c r="AT120" t="s">
        <v>2446</v>
      </c>
      <c r="AU120">
        <v>2023</v>
      </c>
      <c r="AV120" t="s">
        <v>74</v>
      </c>
      <c r="AW120" t="s">
        <v>74</v>
      </c>
      <c r="AX120" t="s">
        <v>74</v>
      </c>
      <c r="AY120" t="s">
        <v>74</v>
      </c>
      <c r="AZ120" t="s">
        <v>74</v>
      </c>
      <c r="BA120" t="s">
        <v>74</v>
      </c>
      <c r="BB120" t="s">
        <v>74</v>
      </c>
      <c r="BC120" t="s">
        <v>74</v>
      </c>
      <c r="BD120" t="s">
        <v>74</v>
      </c>
      <c r="BE120" t="s">
        <v>2562</v>
      </c>
      <c r="BF120" t="str">
        <f>HYPERLINK("http://dx.doi.org/10.1111/os.13857","http://dx.doi.org/10.1111/os.13857")</f>
        <v>http://dx.doi.org/10.1111/os.13857</v>
      </c>
      <c r="BG120" t="s">
        <v>74</v>
      </c>
      <c r="BH120" t="s">
        <v>407</v>
      </c>
      <c r="BI120">
        <v>6</v>
      </c>
      <c r="BJ120" t="s">
        <v>2563</v>
      </c>
      <c r="BK120" t="s">
        <v>119</v>
      </c>
      <c r="BL120" t="s">
        <v>2563</v>
      </c>
      <c r="BM120" t="s">
        <v>2564</v>
      </c>
      <c r="BN120">
        <v>37723892</v>
      </c>
      <c r="BO120" t="s">
        <v>234</v>
      </c>
      <c r="BP120" t="s">
        <v>74</v>
      </c>
      <c r="BQ120" t="s">
        <v>74</v>
      </c>
      <c r="BR120" t="s">
        <v>99</v>
      </c>
      <c r="BS120" t="s">
        <v>2565</v>
      </c>
      <c r="BT120" t="str">
        <f>HYPERLINK("https%3A%2F%2Fwww.webofscience.com%2Fwos%2Fwoscc%2Ffull-record%2FWOS:001071309000001","View Full Record in Web of Science")</f>
        <v>View Full Record in Web of Science</v>
      </c>
    </row>
    <row r="121" spans="1:72" x14ac:dyDescent="0.15">
      <c r="A121" t="s">
        <v>72</v>
      </c>
      <c r="B121" t="s">
        <v>2566</v>
      </c>
      <c r="C121" t="s">
        <v>74</v>
      </c>
      <c r="D121" t="s">
        <v>74</v>
      </c>
      <c r="E121" t="s">
        <v>74</v>
      </c>
      <c r="F121" t="s">
        <v>2567</v>
      </c>
      <c r="G121" t="s">
        <v>74</v>
      </c>
      <c r="H121" t="s">
        <v>74</v>
      </c>
      <c r="I121" t="s">
        <v>2568</v>
      </c>
      <c r="J121" t="s">
        <v>1001</v>
      </c>
      <c r="K121" t="s">
        <v>74</v>
      </c>
      <c r="L121" t="s">
        <v>74</v>
      </c>
      <c r="M121" t="s">
        <v>78</v>
      </c>
      <c r="N121" t="s">
        <v>338</v>
      </c>
      <c r="O121" t="s">
        <v>74</v>
      </c>
      <c r="P121" t="s">
        <v>74</v>
      </c>
      <c r="Q121" t="s">
        <v>74</v>
      </c>
      <c r="R121" t="s">
        <v>74</v>
      </c>
      <c r="S121" t="s">
        <v>74</v>
      </c>
      <c r="T121" t="s">
        <v>2569</v>
      </c>
      <c r="U121" t="s">
        <v>2570</v>
      </c>
      <c r="V121" t="s">
        <v>2571</v>
      </c>
      <c r="W121" t="s">
        <v>2572</v>
      </c>
      <c r="X121" t="s">
        <v>2573</v>
      </c>
      <c r="Y121" t="s">
        <v>2574</v>
      </c>
      <c r="Z121" t="s">
        <v>2575</v>
      </c>
      <c r="AA121" t="s">
        <v>74</v>
      </c>
      <c r="AB121" t="s">
        <v>74</v>
      </c>
      <c r="AC121" t="s">
        <v>2576</v>
      </c>
      <c r="AD121" t="s">
        <v>2577</v>
      </c>
      <c r="AE121" t="s">
        <v>2578</v>
      </c>
      <c r="AF121" t="s">
        <v>74</v>
      </c>
      <c r="AG121">
        <v>49</v>
      </c>
      <c r="AH121">
        <v>0</v>
      </c>
      <c r="AI121">
        <v>0</v>
      </c>
      <c r="AJ121">
        <v>0</v>
      </c>
      <c r="AK121">
        <v>0</v>
      </c>
      <c r="AL121" t="s">
        <v>426</v>
      </c>
      <c r="AM121" t="s">
        <v>427</v>
      </c>
      <c r="AN121" t="s">
        <v>428</v>
      </c>
      <c r="AO121" t="s">
        <v>1014</v>
      </c>
      <c r="AP121" t="s">
        <v>1015</v>
      </c>
      <c r="AQ121" t="s">
        <v>74</v>
      </c>
      <c r="AR121" t="s">
        <v>1016</v>
      </c>
      <c r="AS121" t="s">
        <v>1017</v>
      </c>
      <c r="AT121" t="s">
        <v>2446</v>
      </c>
      <c r="AU121">
        <v>2023</v>
      </c>
      <c r="AV121" t="s">
        <v>74</v>
      </c>
      <c r="AW121" t="s">
        <v>74</v>
      </c>
      <c r="AX121" t="s">
        <v>74</v>
      </c>
      <c r="AY121" t="s">
        <v>74</v>
      </c>
      <c r="AZ121" t="s">
        <v>74</v>
      </c>
      <c r="BA121" t="s">
        <v>74</v>
      </c>
      <c r="BB121" t="s">
        <v>74</v>
      </c>
      <c r="BC121" t="s">
        <v>74</v>
      </c>
      <c r="BD121" t="s">
        <v>74</v>
      </c>
      <c r="BE121" t="s">
        <v>2579</v>
      </c>
      <c r="BF121" t="str">
        <f>HYPERLINK("http://dx.doi.org/10.1002/anie.202310482","http://dx.doi.org/10.1002/anie.202310482")</f>
        <v>http://dx.doi.org/10.1002/anie.202310482</v>
      </c>
      <c r="BG121" t="s">
        <v>74</v>
      </c>
      <c r="BH121" t="s">
        <v>407</v>
      </c>
      <c r="BI121">
        <v>7</v>
      </c>
      <c r="BJ121" t="s">
        <v>523</v>
      </c>
      <c r="BK121" t="s">
        <v>119</v>
      </c>
      <c r="BL121" t="s">
        <v>524</v>
      </c>
      <c r="BM121" t="s">
        <v>2580</v>
      </c>
      <c r="BN121">
        <v>37656893</v>
      </c>
      <c r="BO121" t="s">
        <v>74</v>
      </c>
      <c r="BP121" t="s">
        <v>74</v>
      </c>
      <c r="BQ121" t="s">
        <v>74</v>
      </c>
      <c r="BR121" t="s">
        <v>99</v>
      </c>
      <c r="BS121" t="s">
        <v>2581</v>
      </c>
      <c r="BT121" t="str">
        <f>HYPERLINK("https%3A%2F%2Fwww.webofscience.com%2Fwos%2Fwoscc%2Ffull-record%2FWOS:001066873400001","View Full Record in Web of Science")</f>
        <v>View Full Record in Web of Science</v>
      </c>
    </row>
    <row r="122" spans="1:72" x14ac:dyDescent="0.15">
      <c r="A122" t="s">
        <v>72</v>
      </c>
      <c r="B122" t="s">
        <v>2582</v>
      </c>
      <c r="C122" t="s">
        <v>74</v>
      </c>
      <c r="D122" t="s">
        <v>74</v>
      </c>
      <c r="E122" t="s">
        <v>74</v>
      </c>
      <c r="F122" t="s">
        <v>2583</v>
      </c>
      <c r="G122" t="s">
        <v>74</v>
      </c>
      <c r="H122" t="s">
        <v>74</v>
      </c>
      <c r="I122" t="s">
        <v>2584</v>
      </c>
      <c r="J122" t="s">
        <v>2585</v>
      </c>
      <c r="K122" t="s">
        <v>74</v>
      </c>
      <c r="L122" t="s">
        <v>74</v>
      </c>
      <c r="M122" t="s">
        <v>78</v>
      </c>
      <c r="N122" t="s">
        <v>338</v>
      </c>
      <c r="O122" t="s">
        <v>74</v>
      </c>
      <c r="P122" t="s">
        <v>74</v>
      </c>
      <c r="Q122" t="s">
        <v>74</v>
      </c>
      <c r="R122" t="s">
        <v>74</v>
      </c>
      <c r="S122" t="s">
        <v>74</v>
      </c>
      <c r="T122" t="s">
        <v>74</v>
      </c>
      <c r="U122" t="s">
        <v>74</v>
      </c>
      <c r="V122" t="s">
        <v>2586</v>
      </c>
      <c r="W122" t="s">
        <v>74</v>
      </c>
      <c r="X122" t="s">
        <v>74</v>
      </c>
      <c r="Y122" t="s">
        <v>74</v>
      </c>
      <c r="Z122" t="s">
        <v>2587</v>
      </c>
      <c r="AA122" t="s">
        <v>74</v>
      </c>
      <c r="AB122" t="s">
        <v>74</v>
      </c>
      <c r="AC122" t="s">
        <v>2588</v>
      </c>
      <c r="AD122" t="s">
        <v>2588</v>
      </c>
      <c r="AE122" t="s">
        <v>2588</v>
      </c>
      <c r="AF122" t="s">
        <v>74</v>
      </c>
      <c r="AG122">
        <v>28</v>
      </c>
      <c r="AH122">
        <v>0</v>
      </c>
      <c r="AI122">
        <v>0</v>
      </c>
      <c r="AJ122">
        <v>0</v>
      </c>
      <c r="AK122">
        <v>0</v>
      </c>
      <c r="AL122" t="s">
        <v>87</v>
      </c>
      <c r="AM122" t="s">
        <v>88</v>
      </c>
      <c r="AN122" t="s">
        <v>89</v>
      </c>
      <c r="AO122" t="s">
        <v>2589</v>
      </c>
      <c r="AP122" t="s">
        <v>2590</v>
      </c>
      <c r="AQ122" t="s">
        <v>74</v>
      </c>
      <c r="AR122" t="s">
        <v>2591</v>
      </c>
      <c r="AS122" t="s">
        <v>2592</v>
      </c>
      <c r="AT122" t="s">
        <v>2446</v>
      </c>
      <c r="AU122">
        <v>2023</v>
      </c>
      <c r="AV122" t="s">
        <v>74</v>
      </c>
      <c r="AW122" t="s">
        <v>74</v>
      </c>
      <c r="AX122" t="s">
        <v>74</v>
      </c>
      <c r="AY122" t="s">
        <v>74</v>
      </c>
      <c r="AZ122" t="s">
        <v>74</v>
      </c>
      <c r="BA122" t="s">
        <v>74</v>
      </c>
      <c r="BB122" t="s">
        <v>74</v>
      </c>
      <c r="BC122" t="s">
        <v>74</v>
      </c>
      <c r="BD122" t="s">
        <v>74</v>
      </c>
      <c r="BE122" t="s">
        <v>2593</v>
      </c>
      <c r="BF122" t="str">
        <f>HYPERLINK("http://dx.doi.org/10.1111/phib.12319","http://dx.doi.org/10.1111/phib.12319")</f>
        <v>http://dx.doi.org/10.1111/phib.12319</v>
      </c>
      <c r="BG122" t="s">
        <v>74</v>
      </c>
      <c r="BH122" t="s">
        <v>407</v>
      </c>
      <c r="BI122">
        <v>11</v>
      </c>
      <c r="BJ122" t="s">
        <v>2594</v>
      </c>
      <c r="BK122" t="s">
        <v>498</v>
      </c>
      <c r="BL122" t="s">
        <v>2594</v>
      </c>
      <c r="BM122" t="s">
        <v>2595</v>
      </c>
      <c r="BN122" t="s">
        <v>74</v>
      </c>
      <c r="BO122" t="s">
        <v>74</v>
      </c>
      <c r="BP122" t="s">
        <v>74</v>
      </c>
      <c r="BQ122" t="s">
        <v>74</v>
      </c>
      <c r="BR122" t="s">
        <v>99</v>
      </c>
      <c r="BS122" t="s">
        <v>2596</v>
      </c>
      <c r="BT122" t="str">
        <f>HYPERLINK("https%3A%2F%2Fwww.webofscience.com%2Fwos%2Fwoscc%2Ffull-record%2FWOS:001067954600001","View Full Record in Web of Science")</f>
        <v>View Full Record in Web of Science</v>
      </c>
    </row>
    <row r="123" spans="1:72" x14ac:dyDescent="0.15">
      <c r="A123" t="s">
        <v>72</v>
      </c>
      <c r="B123" t="s">
        <v>2597</v>
      </c>
      <c r="C123" t="s">
        <v>74</v>
      </c>
      <c r="D123" t="s">
        <v>74</v>
      </c>
      <c r="E123" t="s">
        <v>74</v>
      </c>
      <c r="F123" t="s">
        <v>2598</v>
      </c>
      <c r="G123" t="s">
        <v>74</v>
      </c>
      <c r="H123" t="s">
        <v>74</v>
      </c>
      <c r="I123" t="s">
        <v>2599</v>
      </c>
      <c r="J123" t="s">
        <v>2600</v>
      </c>
      <c r="K123" t="s">
        <v>74</v>
      </c>
      <c r="L123" t="s">
        <v>74</v>
      </c>
      <c r="M123" t="s">
        <v>78</v>
      </c>
      <c r="N123" t="s">
        <v>338</v>
      </c>
      <c r="O123" t="s">
        <v>74</v>
      </c>
      <c r="P123" t="s">
        <v>74</v>
      </c>
      <c r="Q123" t="s">
        <v>74</v>
      </c>
      <c r="R123" t="s">
        <v>74</v>
      </c>
      <c r="S123" t="s">
        <v>74</v>
      </c>
      <c r="T123" t="s">
        <v>2601</v>
      </c>
      <c r="U123" t="s">
        <v>2602</v>
      </c>
      <c r="V123" t="s">
        <v>2603</v>
      </c>
      <c r="W123" t="s">
        <v>2604</v>
      </c>
      <c r="X123" t="s">
        <v>2605</v>
      </c>
      <c r="Y123" t="s">
        <v>2606</v>
      </c>
      <c r="Z123" t="s">
        <v>2607</v>
      </c>
      <c r="AA123" t="s">
        <v>74</v>
      </c>
      <c r="AB123" t="s">
        <v>2608</v>
      </c>
      <c r="AC123" t="s">
        <v>2609</v>
      </c>
      <c r="AD123" t="s">
        <v>2609</v>
      </c>
      <c r="AE123" t="s">
        <v>2609</v>
      </c>
      <c r="AF123" t="s">
        <v>74</v>
      </c>
      <c r="AG123">
        <v>58</v>
      </c>
      <c r="AH123">
        <v>0</v>
      </c>
      <c r="AI123">
        <v>0</v>
      </c>
      <c r="AJ123">
        <v>0</v>
      </c>
      <c r="AK123">
        <v>0</v>
      </c>
      <c r="AL123" t="s">
        <v>87</v>
      </c>
      <c r="AM123" t="s">
        <v>88</v>
      </c>
      <c r="AN123" t="s">
        <v>89</v>
      </c>
      <c r="AO123" t="s">
        <v>2610</v>
      </c>
      <c r="AP123" t="s">
        <v>2611</v>
      </c>
      <c r="AQ123" t="s">
        <v>74</v>
      </c>
      <c r="AR123" t="s">
        <v>2612</v>
      </c>
      <c r="AS123" t="s">
        <v>2613</v>
      </c>
      <c r="AT123" t="s">
        <v>2446</v>
      </c>
      <c r="AU123">
        <v>2023</v>
      </c>
      <c r="AV123" t="s">
        <v>74</v>
      </c>
      <c r="AW123" t="s">
        <v>74</v>
      </c>
      <c r="AX123" t="s">
        <v>74</v>
      </c>
      <c r="AY123" t="s">
        <v>74</v>
      </c>
      <c r="AZ123" t="s">
        <v>74</v>
      </c>
      <c r="BA123" t="s">
        <v>74</v>
      </c>
      <c r="BB123" t="s">
        <v>74</v>
      </c>
      <c r="BC123" t="s">
        <v>74</v>
      </c>
      <c r="BD123" t="s">
        <v>74</v>
      </c>
      <c r="BE123" t="s">
        <v>2614</v>
      </c>
      <c r="BF123" t="str">
        <f>HYPERLINK("http://dx.doi.org/10.1111/famp.12935","http://dx.doi.org/10.1111/famp.12935")</f>
        <v>http://dx.doi.org/10.1111/famp.12935</v>
      </c>
      <c r="BG123" t="s">
        <v>74</v>
      </c>
      <c r="BH123" t="s">
        <v>407</v>
      </c>
      <c r="BI123">
        <v>18</v>
      </c>
      <c r="BJ123" t="s">
        <v>2615</v>
      </c>
      <c r="BK123" t="s">
        <v>546</v>
      </c>
      <c r="BL123" t="s">
        <v>2616</v>
      </c>
      <c r="BM123" t="s">
        <v>2617</v>
      </c>
      <c r="BN123">
        <v>37718711</v>
      </c>
      <c r="BO123" t="s">
        <v>122</v>
      </c>
      <c r="BP123" t="s">
        <v>74</v>
      </c>
      <c r="BQ123" t="s">
        <v>74</v>
      </c>
      <c r="BR123" t="s">
        <v>99</v>
      </c>
      <c r="BS123" t="s">
        <v>2618</v>
      </c>
      <c r="BT123" t="str">
        <f>HYPERLINK("https%3A%2F%2Fwww.webofscience.com%2Fwos%2Fwoscc%2Ffull-record%2FWOS:001067955600001","View Full Record in Web of Science")</f>
        <v>View Full Record in Web of Science</v>
      </c>
    </row>
    <row r="124" spans="1:72" x14ac:dyDescent="0.15">
      <c r="A124" t="s">
        <v>72</v>
      </c>
      <c r="B124" t="s">
        <v>2619</v>
      </c>
      <c r="C124" t="s">
        <v>74</v>
      </c>
      <c r="D124" t="s">
        <v>74</v>
      </c>
      <c r="E124" t="s">
        <v>74</v>
      </c>
      <c r="F124" t="s">
        <v>2620</v>
      </c>
      <c r="G124" t="s">
        <v>74</v>
      </c>
      <c r="H124" t="s">
        <v>74</v>
      </c>
      <c r="I124" t="s">
        <v>2621</v>
      </c>
      <c r="J124" t="s">
        <v>1773</v>
      </c>
      <c r="K124" t="s">
        <v>74</v>
      </c>
      <c r="L124" t="s">
        <v>74</v>
      </c>
      <c r="M124" t="s">
        <v>78</v>
      </c>
      <c r="N124" t="s">
        <v>338</v>
      </c>
      <c r="O124" t="s">
        <v>74</v>
      </c>
      <c r="P124" t="s">
        <v>74</v>
      </c>
      <c r="Q124" t="s">
        <v>74</v>
      </c>
      <c r="R124" t="s">
        <v>74</v>
      </c>
      <c r="S124" t="s">
        <v>74</v>
      </c>
      <c r="T124" t="s">
        <v>2622</v>
      </c>
      <c r="U124" t="s">
        <v>2623</v>
      </c>
      <c r="V124" t="s">
        <v>2624</v>
      </c>
      <c r="W124" t="s">
        <v>2625</v>
      </c>
      <c r="X124" t="s">
        <v>2626</v>
      </c>
      <c r="Y124" t="s">
        <v>2627</v>
      </c>
      <c r="Z124" t="s">
        <v>2628</v>
      </c>
      <c r="AA124" t="s">
        <v>74</v>
      </c>
      <c r="AB124" t="s">
        <v>2629</v>
      </c>
      <c r="AC124" t="s">
        <v>2630</v>
      </c>
      <c r="AD124" t="s">
        <v>2631</v>
      </c>
      <c r="AE124" t="s">
        <v>2632</v>
      </c>
      <c r="AF124" t="s">
        <v>74</v>
      </c>
      <c r="AG124">
        <v>63</v>
      </c>
      <c r="AH124">
        <v>0</v>
      </c>
      <c r="AI124">
        <v>0</v>
      </c>
      <c r="AJ124">
        <v>17</v>
      </c>
      <c r="AK124">
        <v>17</v>
      </c>
      <c r="AL124" t="s">
        <v>426</v>
      </c>
      <c r="AM124" t="s">
        <v>427</v>
      </c>
      <c r="AN124" t="s">
        <v>428</v>
      </c>
      <c r="AO124" t="s">
        <v>1785</v>
      </c>
      <c r="AP124" t="s">
        <v>1786</v>
      </c>
      <c r="AQ124" t="s">
        <v>74</v>
      </c>
      <c r="AR124" t="s">
        <v>1787</v>
      </c>
      <c r="AS124" t="s">
        <v>1788</v>
      </c>
      <c r="AT124" t="s">
        <v>2446</v>
      </c>
      <c r="AU124">
        <v>2023</v>
      </c>
      <c r="AV124" t="s">
        <v>74</v>
      </c>
      <c r="AW124" t="s">
        <v>74</v>
      </c>
      <c r="AX124" t="s">
        <v>74</v>
      </c>
      <c r="AY124" t="s">
        <v>74</v>
      </c>
      <c r="AZ124" t="s">
        <v>74</v>
      </c>
      <c r="BA124" t="s">
        <v>74</v>
      </c>
      <c r="BB124" t="s">
        <v>74</v>
      </c>
      <c r="BC124" t="s">
        <v>74</v>
      </c>
      <c r="BD124" t="s">
        <v>74</v>
      </c>
      <c r="BE124" t="s">
        <v>2633</v>
      </c>
      <c r="BF124" t="str">
        <f>HYPERLINK("http://dx.doi.org/10.1002/adma.202303139","http://dx.doi.org/10.1002/adma.202303139")</f>
        <v>http://dx.doi.org/10.1002/adma.202303139</v>
      </c>
      <c r="BG124" t="s">
        <v>74</v>
      </c>
      <c r="BH124" t="s">
        <v>407</v>
      </c>
      <c r="BI124">
        <v>11</v>
      </c>
      <c r="BJ124" t="s">
        <v>609</v>
      </c>
      <c r="BK124" t="s">
        <v>119</v>
      </c>
      <c r="BL124" t="s">
        <v>610</v>
      </c>
      <c r="BM124" t="s">
        <v>2634</v>
      </c>
      <c r="BN124">
        <v>37493870</v>
      </c>
      <c r="BO124" t="s">
        <v>74</v>
      </c>
      <c r="BP124" t="s">
        <v>74</v>
      </c>
      <c r="BQ124" t="s">
        <v>74</v>
      </c>
      <c r="BR124" t="s">
        <v>99</v>
      </c>
      <c r="BS124" t="s">
        <v>2635</v>
      </c>
      <c r="BT124" t="str">
        <f>HYPERLINK("https%3A%2F%2Fwww.webofscience.com%2Fwos%2Fwoscc%2Ffull-record%2FWOS:001066877300001","View Full Record in Web of Science")</f>
        <v>View Full Record in Web of Science</v>
      </c>
    </row>
    <row r="125" spans="1:72" x14ac:dyDescent="0.15">
      <c r="A125" t="s">
        <v>72</v>
      </c>
      <c r="B125" t="s">
        <v>2636</v>
      </c>
      <c r="C125" t="s">
        <v>74</v>
      </c>
      <c r="D125" t="s">
        <v>74</v>
      </c>
      <c r="E125" t="s">
        <v>74</v>
      </c>
      <c r="F125" t="s">
        <v>2637</v>
      </c>
      <c r="G125" t="s">
        <v>74</v>
      </c>
      <c r="H125" t="s">
        <v>74</v>
      </c>
      <c r="I125" t="s">
        <v>2638</v>
      </c>
      <c r="J125" t="s">
        <v>2639</v>
      </c>
      <c r="K125" t="s">
        <v>74</v>
      </c>
      <c r="L125" t="s">
        <v>74</v>
      </c>
      <c r="M125" t="s">
        <v>78</v>
      </c>
      <c r="N125" t="s">
        <v>338</v>
      </c>
      <c r="O125" t="s">
        <v>74</v>
      </c>
      <c r="P125" t="s">
        <v>74</v>
      </c>
      <c r="Q125" t="s">
        <v>74</v>
      </c>
      <c r="R125" t="s">
        <v>74</v>
      </c>
      <c r="S125" t="s">
        <v>74</v>
      </c>
      <c r="T125" t="s">
        <v>2640</v>
      </c>
      <c r="U125" t="s">
        <v>2641</v>
      </c>
      <c r="V125" t="s">
        <v>2642</v>
      </c>
      <c r="W125" t="s">
        <v>2643</v>
      </c>
      <c r="X125" t="s">
        <v>2644</v>
      </c>
      <c r="Y125" t="s">
        <v>2645</v>
      </c>
      <c r="Z125" t="s">
        <v>2646</v>
      </c>
      <c r="AA125" t="s">
        <v>2647</v>
      </c>
      <c r="AB125" t="s">
        <v>2648</v>
      </c>
      <c r="AC125" t="s">
        <v>2649</v>
      </c>
      <c r="AD125" t="s">
        <v>2649</v>
      </c>
      <c r="AE125" t="s">
        <v>2650</v>
      </c>
      <c r="AF125" t="s">
        <v>74</v>
      </c>
      <c r="AG125">
        <v>67</v>
      </c>
      <c r="AH125">
        <v>0</v>
      </c>
      <c r="AI125">
        <v>0</v>
      </c>
      <c r="AJ125">
        <v>1</v>
      </c>
      <c r="AK125">
        <v>1</v>
      </c>
      <c r="AL125" t="s">
        <v>87</v>
      </c>
      <c r="AM125" t="s">
        <v>88</v>
      </c>
      <c r="AN125" t="s">
        <v>89</v>
      </c>
      <c r="AO125" t="s">
        <v>2651</v>
      </c>
      <c r="AP125" t="s">
        <v>2652</v>
      </c>
      <c r="AQ125" t="s">
        <v>74</v>
      </c>
      <c r="AR125" t="s">
        <v>2653</v>
      </c>
      <c r="AS125" t="s">
        <v>2654</v>
      </c>
      <c r="AT125" t="s">
        <v>2655</v>
      </c>
      <c r="AU125">
        <v>2023</v>
      </c>
      <c r="AV125" t="s">
        <v>74</v>
      </c>
      <c r="AW125" t="s">
        <v>74</v>
      </c>
      <c r="AX125" t="s">
        <v>74</v>
      </c>
      <c r="AY125" t="s">
        <v>74</v>
      </c>
      <c r="AZ125" t="s">
        <v>74</v>
      </c>
      <c r="BA125" t="s">
        <v>74</v>
      </c>
      <c r="BB125" t="s">
        <v>74</v>
      </c>
      <c r="BC125" t="s">
        <v>74</v>
      </c>
      <c r="BD125" t="s">
        <v>74</v>
      </c>
      <c r="BE125" t="s">
        <v>2656</v>
      </c>
      <c r="BF125" t="str">
        <f>HYPERLINK("http://dx.doi.org/10.1111/bcpt.13940","http://dx.doi.org/10.1111/bcpt.13940")</f>
        <v>http://dx.doi.org/10.1111/bcpt.13940</v>
      </c>
      <c r="BG125" t="s">
        <v>74</v>
      </c>
      <c r="BH125" t="s">
        <v>407</v>
      </c>
      <c r="BI125">
        <v>13</v>
      </c>
      <c r="BJ125" t="s">
        <v>2657</v>
      </c>
      <c r="BK125" t="s">
        <v>119</v>
      </c>
      <c r="BL125" t="s">
        <v>2657</v>
      </c>
      <c r="BM125" t="s">
        <v>2658</v>
      </c>
      <c r="BN125">
        <v>37658634</v>
      </c>
      <c r="BO125" t="s">
        <v>74</v>
      </c>
      <c r="BP125" t="s">
        <v>74</v>
      </c>
      <c r="BQ125" t="s">
        <v>74</v>
      </c>
      <c r="BR125" t="s">
        <v>99</v>
      </c>
      <c r="BS125" t="s">
        <v>2659</v>
      </c>
      <c r="BT125" t="str">
        <f>HYPERLINK("https%3A%2F%2Fwww.webofscience.com%2Fwos%2Fwoscc%2Ffull-record%2FWOS:001067838300001","View Full Record in Web of Science")</f>
        <v>View Full Record in Web of Science</v>
      </c>
    </row>
    <row r="126" spans="1:72" x14ac:dyDescent="0.15">
      <c r="A126" t="s">
        <v>72</v>
      </c>
      <c r="B126" t="s">
        <v>2660</v>
      </c>
      <c r="C126" t="s">
        <v>74</v>
      </c>
      <c r="D126" t="s">
        <v>74</v>
      </c>
      <c r="E126" t="s">
        <v>74</v>
      </c>
      <c r="F126" t="s">
        <v>2661</v>
      </c>
      <c r="G126" t="s">
        <v>74</v>
      </c>
      <c r="H126" t="s">
        <v>74</v>
      </c>
      <c r="I126" t="s">
        <v>2662</v>
      </c>
      <c r="J126" t="s">
        <v>2663</v>
      </c>
      <c r="K126" t="s">
        <v>74</v>
      </c>
      <c r="L126" t="s">
        <v>74</v>
      </c>
      <c r="M126" t="s">
        <v>78</v>
      </c>
      <c r="N126" t="s">
        <v>2664</v>
      </c>
      <c r="O126" t="s">
        <v>74</v>
      </c>
      <c r="P126" t="s">
        <v>74</v>
      </c>
      <c r="Q126" t="s">
        <v>74</v>
      </c>
      <c r="R126" t="s">
        <v>74</v>
      </c>
      <c r="S126" t="s">
        <v>74</v>
      </c>
      <c r="T126" t="s">
        <v>74</v>
      </c>
      <c r="U126" t="s">
        <v>74</v>
      </c>
      <c r="V126" t="s">
        <v>74</v>
      </c>
      <c r="W126" t="s">
        <v>2665</v>
      </c>
      <c r="X126" t="s">
        <v>2666</v>
      </c>
      <c r="Y126" t="s">
        <v>2667</v>
      </c>
      <c r="Z126" t="s">
        <v>74</v>
      </c>
      <c r="AA126" t="s">
        <v>74</v>
      </c>
      <c r="AB126" t="s">
        <v>74</v>
      </c>
      <c r="AC126" t="s">
        <v>74</v>
      </c>
      <c r="AD126" t="s">
        <v>74</v>
      </c>
      <c r="AE126" t="s">
        <v>74</v>
      </c>
      <c r="AF126" t="s">
        <v>74</v>
      </c>
      <c r="AG126">
        <v>1</v>
      </c>
      <c r="AH126">
        <v>0</v>
      </c>
      <c r="AI126">
        <v>0</v>
      </c>
      <c r="AJ126">
        <v>1</v>
      </c>
      <c r="AK126">
        <v>1</v>
      </c>
      <c r="AL126" t="s">
        <v>87</v>
      </c>
      <c r="AM126" t="s">
        <v>88</v>
      </c>
      <c r="AN126" t="s">
        <v>89</v>
      </c>
      <c r="AO126" t="s">
        <v>2668</v>
      </c>
      <c r="AP126" t="s">
        <v>2669</v>
      </c>
      <c r="AQ126" t="s">
        <v>74</v>
      </c>
      <c r="AR126" t="s">
        <v>2670</v>
      </c>
      <c r="AS126" t="s">
        <v>2671</v>
      </c>
      <c r="AT126" t="s">
        <v>2655</v>
      </c>
      <c r="AU126">
        <v>2023</v>
      </c>
      <c r="AV126" t="s">
        <v>74</v>
      </c>
      <c r="AW126" t="s">
        <v>74</v>
      </c>
      <c r="AX126" t="s">
        <v>74</v>
      </c>
      <c r="AY126" t="s">
        <v>74</v>
      </c>
      <c r="AZ126" t="s">
        <v>74</v>
      </c>
      <c r="BA126" t="s">
        <v>74</v>
      </c>
      <c r="BB126" t="s">
        <v>74</v>
      </c>
      <c r="BC126" t="s">
        <v>74</v>
      </c>
      <c r="BD126" t="s">
        <v>74</v>
      </c>
      <c r="BE126" t="s">
        <v>2672</v>
      </c>
      <c r="BF126" t="str">
        <f>HYPERLINK("http://dx.doi.org/10.1111/medu.15234","http://dx.doi.org/10.1111/medu.15234")</f>
        <v>http://dx.doi.org/10.1111/medu.15234</v>
      </c>
      <c r="BG126" t="s">
        <v>74</v>
      </c>
      <c r="BH126" t="s">
        <v>407</v>
      </c>
      <c r="BI126">
        <v>2</v>
      </c>
      <c r="BJ126" t="s">
        <v>2673</v>
      </c>
      <c r="BK126" t="s">
        <v>119</v>
      </c>
      <c r="BL126" t="s">
        <v>2674</v>
      </c>
      <c r="BM126" t="s">
        <v>2675</v>
      </c>
      <c r="BN126">
        <v>37718266</v>
      </c>
      <c r="BO126" t="s">
        <v>74</v>
      </c>
      <c r="BP126" t="s">
        <v>74</v>
      </c>
      <c r="BQ126" t="s">
        <v>74</v>
      </c>
      <c r="BR126" t="s">
        <v>99</v>
      </c>
      <c r="BS126" t="s">
        <v>2676</v>
      </c>
      <c r="BT126" t="str">
        <f>HYPERLINK("https%3A%2F%2Fwww.webofscience.com%2Fwos%2Fwoscc%2Ffull-record%2FWOS:001072907000001","View Full Record in Web of Science")</f>
        <v>View Full Record in Web of Science</v>
      </c>
    </row>
    <row r="127" spans="1:72" x14ac:dyDescent="0.15">
      <c r="A127" t="s">
        <v>72</v>
      </c>
      <c r="B127" t="s">
        <v>2677</v>
      </c>
      <c r="C127" t="s">
        <v>74</v>
      </c>
      <c r="D127" t="s">
        <v>74</v>
      </c>
      <c r="E127" t="s">
        <v>74</v>
      </c>
      <c r="F127" t="s">
        <v>2678</v>
      </c>
      <c r="G127" t="s">
        <v>74</v>
      </c>
      <c r="H127" t="s">
        <v>74</v>
      </c>
      <c r="I127" t="s">
        <v>2679</v>
      </c>
      <c r="J127" t="s">
        <v>2680</v>
      </c>
      <c r="K127" t="s">
        <v>74</v>
      </c>
      <c r="L127" t="s">
        <v>74</v>
      </c>
      <c r="M127" t="s">
        <v>78</v>
      </c>
      <c r="N127" t="s">
        <v>338</v>
      </c>
      <c r="O127" t="s">
        <v>74</v>
      </c>
      <c r="P127" t="s">
        <v>74</v>
      </c>
      <c r="Q127" t="s">
        <v>74</v>
      </c>
      <c r="R127" t="s">
        <v>74</v>
      </c>
      <c r="S127" t="s">
        <v>74</v>
      </c>
      <c r="T127" t="s">
        <v>2681</v>
      </c>
      <c r="U127" t="s">
        <v>2682</v>
      </c>
      <c r="V127" t="s">
        <v>2683</v>
      </c>
      <c r="W127" t="s">
        <v>2684</v>
      </c>
      <c r="X127" t="s">
        <v>2685</v>
      </c>
      <c r="Y127" t="s">
        <v>2686</v>
      </c>
      <c r="Z127" t="s">
        <v>2687</v>
      </c>
      <c r="AA127" t="s">
        <v>74</v>
      </c>
      <c r="AB127" t="s">
        <v>74</v>
      </c>
      <c r="AC127" t="s">
        <v>2688</v>
      </c>
      <c r="AD127" t="s">
        <v>2688</v>
      </c>
      <c r="AE127" t="s">
        <v>2689</v>
      </c>
      <c r="AF127" t="s">
        <v>74</v>
      </c>
      <c r="AG127">
        <v>33</v>
      </c>
      <c r="AH127">
        <v>0</v>
      </c>
      <c r="AI127">
        <v>0</v>
      </c>
      <c r="AJ127">
        <v>1</v>
      </c>
      <c r="AK127">
        <v>1</v>
      </c>
      <c r="AL127" t="s">
        <v>87</v>
      </c>
      <c r="AM127" t="s">
        <v>88</v>
      </c>
      <c r="AN127" t="s">
        <v>89</v>
      </c>
      <c r="AO127" t="s">
        <v>2690</v>
      </c>
      <c r="AP127" t="s">
        <v>2691</v>
      </c>
      <c r="AQ127" t="s">
        <v>74</v>
      </c>
      <c r="AR127" t="s">
        <v>2692</v>
      </c>
      <c r="AS127" t="s">
        <v>2693</v>
      </c>
      <c r="AT127" t="s">
        <v>2655</v>
      </c>
      <c r="AU127">
        <v>2023</v>
      </c>
      <c r="AV127" t="s">
        <v>74</v>
      </c>
      <c r="AW127" t="s">
        <v>74</v>
      </c>
      <c r="AX127" t="s">
        <v>74</v>
      </c>
      <c r="AY127" t="s">
        <v>74</v>
      </c>
      <c r="AZ127" t="s">
        <v>74</v>
      </c>
      <c r="BA127" t="s">
        <v>74</v>
      </c>
      <c r="BB127" t="s">
        <v>74</v>
      </c>
      <c r="BC127" t="s">
        <v>74</v>
      </c>
      <c r="BD127" t="s">
        <v>2694</v>
      </c>
      <c r="BE127" t="s">
        <v>2695</v>
      </c>
      <c r="BF127" t="str">
        <f>HYPERLINK("http://dx.doi.org/10.1002/jbt.23487","http://dx.doi.org/10.1002/jbt.23487")</f>
        <v>http://dx.doi.org/10.1002/jbt.23487</v>
      </c>
      <c r="BG127" t="s">
        <v>74</v>
      </c>
      <c r="BH127" t="s">
        <v>407</v>
      </c>
      <c r="BI127">
        <v>15</v>
      </c>
      <c r="BJ127" t="s">
        <v>2696</v>
      </c>
      <c r="BK127" t="s">
        <v>119</v>
      </c>
      <c r="BL127" t="s">
        <v>2696</v>
      </c>
      <c r="BM127" t="s">
        <v>2697</v>
      </c>
      <c r="BN127">
        <v>37718545</v>
      </c>
      <c r="BO127" t="s">
        <v>74</v>
      </c>
      <c r="BP127" t="s">
        <v>74</v>
      </c>
      <c r="BQ127" t="s">
        <v>74</v>
      </c>
      <c r="BR127" t="s">
        <v>99</v>
      </c>
      <c r="BS127" t="s">
        <v>2698</v>
      </c>
      <c r="BT127" t="str">
        <f>HYPERLINK("https%3A%2F%2Fwww.webofscience.com%2Fwos%2Fwoscc%2Ffull-record%2FWOS:001067996800001","View Full Record in Web of Science")</f>
        <v>View Full Record in Web of Science</v>
      </c>
    </row>
    <row r="128" spans="1:72" x14ac:dyDescent="0.15">
      <c r="A128" t="s">
        <v>72</v>
      </c>
      <c r="B128" t="s">
        <v>2699</v>
      </c>
      <c r="C128" t="s">
        <v>74</v>
      </c>
      <c r="D128" t="s">
        <v>74</v>
      </c>
      <c r="E128" t="s">
        <v>74</v>
      </c>
      <c r="F128" t="s">
        <v>2700</v>
      </c>
      <c r="G128" t="s">
        <v>74</v>
      </c>
      <c r="H128" t="s">
        <v>74</v>
      </c>
      <c r="I128" t="s">
        <v>2701</v>
      </c>
      <c r="J128" t="s">
        <v>2702</v>
      </c>
      <c r="K128" t="s">
        <v>74</v>
      </c>
      <c r="L128" t="s">
        <v>74</v>
      </c>
      <c r="M128" t="s">
        <v>78</v>
      </c>
      <c r="N128" t="s">
        <v>594</v>
      </c>
      <c r="O128" t="s">
        <v>74</v>
      </c>
      <c r="P128" t="s">
        <v>74</v>
      </c>
      <c r="Q128" t="s">
        <v>74</v>
      </c>
      <c r="R128" t="s">
        <v>74</v>
      </c>
      <c r="S128" t="s">
        <v>74</v>
      </c>
      <c r="T128" t="s">
        <v>2703</v>
      </c>
      <c r="U128" t="s">
        <v>2704</v>
      </c>
      <c r="V128" t="s">
        <v>2705</v>
      </c>
      <c r="W128" t="s">
        <v>2706</v>
      </c>
      <c r="X128" t="s">
        <v>2707</v>
      </c>
      <c r="Y128" t="s">
        <v>2708</v>
      </c>
      <c r="Z128" t="s">
        <v>2709</v>
      </c>
      <c r="AA128" t="s">
        <v>74</v>
      </c>
      <c r="AB128" t="s">
        <v>2710</v>
      </c>
      <c r="AC128" t="s">
        <v>2711</v>
      </c>
      <c r="AD128" t="s">
        <v>2712</v>
      </c>
      <c r="AE128" t="s">
        <v>2713</v>
      </c>
      <c r="AF128" t="s">
        <v>74</v>
      </c>
      <c r="AG128">
        <v>83</v>
      </c>
      <c r="AH128">
        <v>0</v>
      </c>
      <c r="AI128">
        <v>0</v>
      </c>
      <c r="AJ128">
        <v>1</v>
      </c>
      <c r="AK128">
        <v>1</v>
      </c>
      <c r="AL128" t="s">
        <v>87</v>
      </c>
      <c r="AM128" t="s">
        <v>88</v>
      </c>
      <c r="AN128" t="s">
        <v>89</v>
      </c>
      <c r="AO128" t="s">
        <v>2714</v>
      </c>
      <c r="AP128" t="s">
        <v>2715</v>
      </c>
      <c r="AQ128" t="s">
        <v>74</v>
      </c>
      <c r="AR128" t="s">
        <v>2716</v>
      </c>
      <c r="AS128" t="s">
        <v>2717</v>
      </c>
      <c r="AT128" t="s">
        <v>2718</v>
      </c>
      <c r="AU128">
        <v>2023</v>
      </c>
      <c r="AV128" t="s">
        <v>74</v>
      </c>
      <c r="AW128" t="s">
        <v>74</v>
      </c>
      <c r="AX128" t="s">
        <v>74</v>
      </c>
      <c r="AY128" t="s">
        <v>74</v>
      </c>
      <c r="AZ128" t="s">
        <v>74</v>
      </c>
      <c r="BA128" t="s">
        <v>74</v>
      </c>
      <c r="BB128" t="s">
        <v>74</v>
      </c>
      <c r="BC128" t="s">
        <v>74</v>
      </c>
      <c r="BD128" t="s">
        <v>74</v>
      </c>
      <c r="BE128" t="s">
        <v>2719</v>
      </c>
      <c r="BF128" t="str">
        <f>HYPERLINK("http://dx.doi.org/10.1002/mar.21903","http://dx.doi.org/10.1002/mar.21903")</f>
        <v>http://dx.doi.org/10.1002/mar.21903</v>
      </c>
      <c r="BG128" t="s">
        <v>74</v>
      </c>
      <c r="BH128" t="s">
        <v>407</v>
      </c>
      <c r="BI128">
        <v>15</v>
      </c>
      <c r="BJ128" t="s">
        <v>2720</v>
      </c>
      <c r="BK128" t="s">
        <v>546</v>
      </c>
      <c r="BL128" t="s">
        <v>2721</v>
      </c>
      <c r="BM128" t="s">
        <v>2722</v>
      </c>
      <c r="BN128" t="s">
        <v>74</v>
      </c>
      <c r="BO128" t="s">
        <v>122</v>
      </c>
      <c r="BP128" t="s">
        <v>74</v>
      </c>
      <c r="BQ128" t="s">
        <v>74</v>
      </c>
      <c r="BR128" t="s">
        <v>99</v>
      </c>
      <c r="BS128" t="s">
        <v>2723</v>
      </c>
      <c r="BT128" t="str">
        <f>HYPERLINK("https%3A%2F%2Fwww.webofscience.com%2Fwos%2Fwoscc%2Ffull-record%2FWOS:001066111300001","View Full Record in Web of Science")</f>
        <v>View Full Record in Web of Science</v>
      </c>
    </row>
    <row r="129" spans="1:72" x14ac:dyDescent="0.15">
      <c r="A129" t="s">
        <v>72</v>
      </c>
      <c r="B129" t="s">
        <v>2724</v>
      </c>
      <c r="C129" t="s">
        <v>74</v>
      </c>
      <c r="D129" t="s">
        <v>74</v>
      </c>
      <c r="E129" t="s">
        <v>74</v>
      </c>
      <c r="F129" t="s">
        <v>2725</v>
      </c>
      <c r="G129" t="s">
        <v>74</v>
      </c>
      <c r="H129" t="s">
        <v>74</v>
      </c>
      <c r="I129" t="s">
        <v>2726</v>
      </c>
      <c r="J129" t="s">
        <v>2727</v>
      </c>
      <c r="K129" t="s">
        <v>74</v>
      </c>
      <c r="L129" t="s">
        <v>74</v>
      </c>
      <c r="M129" t="s">
        <v>78</v>
      </c>
      <c r="N129" t="s">
        <v>338</v>
      </c>
      <c r="O129" t="s">
        <v>74</v>
      </c>
      <c r="P129" t="s">
        <v>74</v>
      </c>
      <c r="Q129" t="s">
        <v>74</v>
      </c>
      <c r="R129" t="s">
        <v>74</v>
      </c>
      <c r="S129" t="s">
        <v>74</v>
      </c>
      <c r="T129" t="s">
        <v>74</v>
      </c>
      <c r="U129" t="s">
        <v>74</v>
      </c>
      <c r="V129" t="s">
        <v>74</v>
      </c>
      <c r="W129" t="s">
        <v>2728</v>
      </c>
      <c r="X129" t="s">
        <v>74</v>
      </c>
      <c r="Y129" t="s">
        <v>2729</v>
      </c>
      <c r="Z129" t="s">
        <v>2730</v>
      </c>
      <c r="AA129" t="s">
        <v>74</v>
      </c>
      <c r="AB129" t="s">
        <v>74</v>
      </c>
      <c r="AC129" t="s">
        <v>74</v>
      </c>
      <c r="AD129" t="s">
        <v>74</v>
      </c>
      <c r="AE129" t="s">
        <v>74</v>
      </c>
      <c r="AF129" t="s">
        <v>74</v>
      </c>
      <c r="AG129">
        <v>8</v>
      </c>
      <c r="AH129">
        <v>0</v>
      </c>
      <c r="AI129">
        <v>0</v>
      </c>
      <c r="AJ129">
        <v>0</v>
      </c>
      <c r="AK129">
        <v>0</v>
      </c>
      <c r="AL129" t="s">
        <v>87</v>
      </c>
      <c r="AM129" t="s">
        <v>88</v>
      </c>
      <c r="AN129" t="s">
        <v>89</v>
      </c>
      <c r="AO129" t="s">
        <v>2731</v>
      </c>
      <c r="AP129" t="s">
        <v>2732</v>
      </c>
      <c r="AQ129" t="s">
        <v>74</v>
      </c>
      <c r="AR129" t="s">
        <v>2733</v>
      </c>
      <c r="AS129" t="s">
        <v>2734</v>
      </c>
      <c r="AT129" t="s">
        <v>2718</v>
      </c>
      <c r="AU129">
        <v>2023</v>
      </c>
      <c r="AV129" t="s">
        <v>74</v>
      </c>
      <c r="AW129" t="s">
        <v>74</v>
      </c>
      <c r="AX129" t="s">
        <v>74</v>
      </c>
      <c r="AY129" t="s">
        <v>74</v>
      </c>
      <c r="AZ129" t="s">
        <v>74</v>
      </c>
      <c r="BA129" t="s">
        <v>74</v>
      </c>
      <c r="BB129" t="s">
        <v>74</v>
      </c>
      <c r="BC129" t="s">
        <v>74</v>
      </c>
      <c r="BD129" t="s">
        <v>2735</v>
      </c>
      <c r="BE129" t="s">
        <v>2736</v>
      </c>
      <c r="BF129" t="str">
        <f>HYPERLINK("http://dx.doi.org/10.1002/tesj.760","http://dx.doi.org/10.1002/tesj.760")</f>
        <v>http://dx.doi.org/10.1002/tesj.760</v>
      </c>
      <c r="BG129" t="s">
        <v>74</v>
      </c>
      <c r="BH129" t="s">
        <v>407</v>
      </c>
      <c r="BI129">
        <v>6</v>
      </c>
      <c r="BJ129" t="s">
        <v>2208</v>
      </c>
      <c r="BK129" t="s">
        <v>96</v>
      </c>
      <c r="BL129" t="s">
        <v>2208</v>
      </c>
      <c r="BM129" t="s">
        <v>2737</v>
      </c>
      <c r="BN129" t="s">
        <v>74</v>
      </c>
      <c r="BO129" t="s">
        <v>74</v>
      </c>
      <c r="BP129" t="s">
        <v>74</v>
      </c>
      <c r="BQ129" t="s">
        <v>74</v>
      </c>
      <c r="BR129" t="s">
        <v>99</v>
      </c>
      <c r="BS129" t="s">
        <v>2738</v>
      </c>
      <c r="BT129" t="str">
        <f>HYPERLINK("https%3A%2F%2Fwww.webofscience.com%2Fwos%2Fwoscc%2Ffull-record%2FWOS:001068723700001","View Full Record in Web of Science")</f>
        <v>View Full Record in Web of Science</v>
      </c>
    </row>
    <row r="130" spans="1:72" x14ac:dyDescent="0.15">
      <c r="A130" t="s">
        <v>72</v>
      </c>
      <c r="B130" t="s">
        <v>2739</v>
      </c>
      <c r="C130" t="s">
        <v>74</v>
      </c>
      <c r="D130" t="s">
        <v>74</v>
      </c>
      <c r="E130" t="s">
        <v>74</v>
      </c>
      <c r="F130" t="s">
        <v>2740</v>
      </c>
      <c r="G130" t="s">
        <v>74</v>
      </c>
      <c r="H130" t="s">
        <v>74</v>
      </c>
      <c r="I130" t="s">
        <v>2741</v>
      </c>
      <c r="J130" t="s">
        <v>2742</v>
      </c>
      <c r="K130" t="s">
        <v>74</v>
      </c>
      <c r="L130" t="s">
        <v>74</v>
      </c>
      <c r="M130" t="s">
        <v>78</v>
      </c>
      <c r="N130" t="s">
        <v>2743</v>
      </c>
      <c r="O130" t="s">
        <v>74</v>
      </c>
      <c r="P130" t="s">
        <v>74</v>
      </c>
      <c r="Q130" t="s">
        <v>74</v>
      </c>
      <c r="R130" t="s">
        <v>74</v>
      </c>
      <c r="S130" t="s">
        <v>74</v>
      </c>
      <c r="T130" t="s">
        <v>74</v>
      </c>
      <c r="U130" t="s">
        <v>2744</v>
      </c>
      <c r="V130" t="s">
        <v>74</v>
      </c>
      <c r="W130" t="s">
        <v>2745</v>
      </c>
      <c r="X130" t="s">
        <v>2746</v>
      </c>
      <c r="Y130" t="s">
        <v>2747</v>
      </c>
      <c r="Z130" t="s">
        <v>2748</v>
      </c>
      <c r="AA130" t="s">
        <v>74</v>
      </c>
      <c r="AB130" t="s">
        <v>74</v>
      </c>
      <c r="AC130" t="s">
        <v>74</v>
      </c>
      <c r="AD130" t="s">
        <v>74</v>
      </c>
      <c r="AE130" t="s">
        <v>74</v>
      </c>
      <c r="AF130" t="s">
        <v>74</v>
      </c>
      <c r="AG130">
        <v>10</v>
      </c>
      <c r="AH130">
        <v>0</v>
      </c>
      <c r="AI130">
        <v>0</v>
      </c>
      <c r="AJ130">
        <v>0</v>
      </c>
      <c r="AK130">
        <v>0</v>
      </c>
      <c r="AL130" t="s">
        <v>87</v>
      </c>
      <c r="AM130" t="s">
        <v>88</v>
      </c>
      <c r="AN130" t="s">
        <v>89</v>
      </c>
      <c r="AO130" t="s">
        <v>2749</v>
      </c>
      <c r="AP130" t="s">
        <v>2750</v>
      </c>
      <c r="AQ130" t="s">
        <v>74</v>
      </c>
      <c r="AR130" t="s">
        <v>2751</v>
      </c>
      <c r="AS130" t="s">
        <v>2752</v>
      </c>
      <c r="AT130" t="s">
        <v>2718</v>
      </c>
      <c r="AU130">
        <v>2023</v>
      </c>
      <c r="AV130" t="s">
        <v>74</v>
      </c>
      <c r="AW130" t="s">
        <v>74</v>
      </c>
      <c r="AX130" t="s">
        <v>74</v>
      </c>
      <c r="AY130" t="s">
        <v>74</v>
      </c>
      <c r="AZ130" t="s">
        <v>74</v>
      </c>
      <c r="BA130" t="s">
        <v>74</v>
      </c>
      <c r="BB130" t="s">
        <v>74</v>
      </c>
      <c r="BC130" t="s">
        <v>74</v>
      </c>
      <c r="BD130" t="s">
        <v>74</v>
      </c>
      <c r="BE130" t="s">
        <v>2753</v>
      </c>
      <c r="BF130" t="str">
        <f>HYPERLINK("http://dx.doi.org/10.1002/pbc.30679","http://dx.doi.org/10.1002/pbc.30679")</f>
        <v>http://dx.doi.org/10.1002/pbc.30679</v>
      </c>
      <c r="BG130" t="s">
        <v>74</v>
      </c>
      <c r="BH130" t="s">
        <v>407</v>
      </c>
      <c r="BI130">
        <v>3</v>
      </c>
      <c r="BJ130" t="s">
        <v>2754</v>
      </c>
      <c r="BK130" t="s">
        <v>119</v>
      </c>
      <c r="BL130" t="s">
        <v>2754</v>
      </c>
      <c r="BM130" t="s">
        <v>2755</v>
      </c>
      <c r="BN130">
        <v>37715725</v>
      </c>
      <c r="BO130" t="s">
        <v>74</v>
      </c>
      <c r="BP130" t="s">
        <v>74</v>
      </c>
      <c r="BQ130" t="s">
        <v>74</v>
      </c>
      <c r="BR130" t="s">
        <v>99</v>
      </c>
      <c r="BS130" t="s">
        <v>2756</v>
      </c>
      <c r="BT130" t="str">
        <f>HYPERLINK("https%3A%2F%2Fwww.webofscience.com%2Fwos%2Fwoscc%2Ffull-record%2FWOS:001068965000001","View Full Record in Web of Science")</f>
        <v>View Full Record in Web of Science</v>
      </c>
    </row>
    <row r="131" spans="1:72" x14ac:dyDescent="0.15">
      <c r="A131" t="s">
        <v>72</v>
      </c>
      <c r="B131" t="s">
        <v>2757</v>
      </c>
      <c r="C131" t="s">
        <v>74</v>
      </c>
      <c r="D131" t="s">
        <v>74</v>
      </c>
      <c r="E131" t="s">
        <v>74</v>
      </c>
      <c r="F131" t="s">
        <v>2758</v>
      </c>
      <c r="G131" t="s">
        <v>74</v>
      </c>
      <c r="H131" t="s">
        <v>74</v>
      </c>
      <c r="I131" t="s">
        <v>2759</v>
      </c>
      <c r="J131" t="s">
        <v>2397</v>
      </c>
      <c r="K131" t="s">
        <v>74</v>
      </c>
      <c r="L131" t="s">
        <v>74</v>
      </c>
      <c r="M131" t="s">
        <v>78</v>
      </c>
      <c r="N131" t="s">
        <v>594</v>
      </c>
      <c r="O131" t="s">
        <v>74</v>
      </c>
      <c r="P131" t="s">
        <v>74</v>
      </c>
      <c r="Q131" t="s">
        <v>74</v>
      </c>
      <c r="R131" t="s">
        <v>74</v>
      </c>
      <c r="S131" t="s">
        <v>74</v>
      </c>
      <c r="T131" t="s">
        <v>2760</v>
      </c>
      <c r="U131" t="s">
        <v>2761</v>
      </c>
      <c r="V131" t="s">
        <v>2762</v>
      </c>
      <c r="W131" t="s">
        <v>2763</v>
      </c>
      <c r="X131" t="s">
        <v>2764</v>
      </c>
      <c r="Y131" t="s">
        <v>2765</v>
      </c>
      <c r="Z131" t="s">
        <v>2766</v>
      </c>
      <c r="AA131" t="s">
        <v>74</v>
      </c>
      <c r="AB131" t="s">
        <v>2767</v>
      </c>
      <c r="AC131" t="s">
        <v>2768</v>
      </c>
      <c r="AD131" t="s">
        <v>2769</v>
      </c>
      <c r="AE131" t="s">
        <v>2770</v>
      </c>
      <c r="AF131" t="s">
        <v>74</v>
      </c>
      <c r="AG131">
        <v>94</v>
      </c>
      <c r="AH131">
        <v>0</v>
      </c>
      <c r="AI131">
        <v>0</v>
      </c>
      <c r="AJ131">
        <v>0</v>
      </c>
      <c r="AK131">
        <v>0</v>
      </c>
      <c r="AL131" t="s">
        <v>87</v>
      </c>
      <c r="AM131" t="s">
        <v>88</v>
      </c>
      <c r="AN131" t="s">
        <v>89</v>
      </c>
      <c r="AO131" t="s">
        <v>2408</v>
      </c>
      <c r="AP131" t="s">
        <v>2409</v>
      </c>
      <c r="AQ131" t="s">
        <v>74</v>
      </c>
      <c r="AR131" t="s">
        <v>2410</v>
      </c>
      <c r="AS131" t="s">
        <v>2411</v>
      </c>
      <c r="AT131" t="s">
        <v>2718</v>
      </c>
      <c r="AU131">
        <v>2023</v>
      </c>
      <c r="AV131" t="s">
        <v>74</v>
      </c>
      <c r="AW131" t="s">
        <v>74</v>
      </c>
      <c r="AX131" t="s">
        <v>74</v>
      </c>
      <c r="AY131" t="s">
        <v>74</v>
      </c>
      <c r="AZ131" t="s">
        <v>74</v>
      </c>
      <c r="BA131" t="s">
        <v>74</v>
      </c>
      <c r="BB131" t="s">
        <v>74</v>
      </c>
      <c r="BC131" t="s">
        <v>74</v>
      </c>
      <c r="BD131" t="s">
        <v>74</v>
      </c>
      <c r="BE131" t="s">
        <v>2771</v>
      </c>
      <c r="BF131" t="str">
        <f>HYPERLINK("http://dx.doi.org/10.1002/jmri.29016","http://dx.doi.org/10.1002/jmri.29016")</f>
        <v>http://dx.doi.org/10.1002/jmri.29016</v>
      </c>
      <c r="BG131" t="s">
        <v>74</v>
      </c>
      <c r="BH131" t="s">
        <v>407</v>
      </c>
      <c r="BI131">
        <v>23</v>
      </c>
      <c r="BJ131" t="s">
        <v>1290</v>
      </c>
      <c r="BK131" t="s">
        <v>119</v>
      </c>
      <c r="BL131" t="s">
        <v>1290</v>
      </c>
      <c r="BM131" t="s">
        <v>2772</v>
      </c>
      <c r="BN131">
        <v>37715567</v>
      </c>
      <c r="BO131" t="s">
        <v>122</v>
      </c>
      <c r="BP131" t="s">
        <v>74</v>
      </c>
      <c r="BQ131" t="s">
        <v>74</v>
      </c>
      <c r="BR131" t="s">
        <v>99</v>
      </c>
      <c r="BS131" t="s">
        <v>2773</v>
      </c>
      <c r="BT131" t="str">
        <f>HYPERLINK("https%3A%2F%2Fwww.webofscience.com%2Fwos%2Fwoscc%2Ffull-record%2FWOS:001068810500001","View Full Record in Web of Science")</f>
        <v>View Full Record in Web of Science</v>
      </c>
    </row>
    <row r="132" spans="1:72" x14ac:dyDescent="0.15">
      <c r="A132" t="s">
        <v>72</v>
      </c>
      <c r="B132" t="s">
        <v>2774</v>
      </c>
      <c r="C132" t="s">
        <v>74</v>
      </c>
      <c r="D132" t="s">
        <v>74</v>
      </c>
      <c r="E132" t="s">
        <v>74</v>
      </c>
      <c r="F132" t="s">
        <v>2775</v>
      </c>
      <c r="G132" t="s">
        <v>74</v>
      </c>
      <c r="H132" t="s">
        <v>74</v>
      </c>
      <c r="I132" t="s">
        <v>2776</v>
      </c>
      <c r="J132" t="s">
        <v>1216</v>
      </c>
      <c r="K132" t="s">
        <v>74</v>
      </c>
      <c r="L132" t="s">
        <v>74</v>
      </c>
      <c r="M132" t="s">
        <v>78</v>
      </c>
      <c r="N132" t="s">
        <v>338</v>
      </c>
      <c r="O132" t="s">
        <v>74</v>
      </c>
      <c r="P132" t="s">
        <v>74</v>
      </c>
      <c r="Q132" t="s">
        <v>74</v>
      </c>
      <c r="R132" t="s">
        <v>74</v>
      </c>
      <c r="S132" t="s">
        <v>74</v>
      </c>
      <c r="T132" t="s">
        <v>2777</v>
      </c>
      <c r="U132" t="s">
        <v>2778</v>
      </c>
      <c r="V132" t="s">
        <v>2779</v>
      </c>
      <c r="W132" t="s">
        <v>2780</v>
      </c>
      <c r="X132" t="s">
        <v>2781</v>
      </c>
      <c r="Y132" t="s">
        <v>2782</v>
      </c>
      <c r="Z132" t="s">
        <v>2783</v>
      </c>
      <c r="AA132" t="s">
        <v>74</v>
      </c>
      <c r="AB132" t="s">
        <v>2784</v>
      </c>
      <c r="AC132" t="s">
        <v>74</v>
      </c>
      <c r="AD132" t="s">
        <v>74</v>
      </c>
      <c r="AE132" t="s">
        <v>74</v>
      </c>
      <c r="AF132" t="s">
        <v>74</v>
      </c>
      <c r="AG132">
        <v>20</v>
      </c>
      <c r="AH132">
        <v>0</v>
      </c>
      <c r="AI132">
        <v>0</v>
      </c>
      <c r="AJ132">
        <v>0</v>
      </c>
      <c r="AK132">
        <v>0</v>
      </c>
      <c r="AL132" t="s">
        <v>87</v>
      </c>
      <c r="AM132" t="s">
        <v>88</v>
      </c>
      <c r="AN132" t="s">
        <v>89</v>
      </c>
      <c r="AO132" t="s">
        <v>1224</v>
      </c>
      <c r="AP132" t="s">
        <v>1225</v>
      </c>
      <c r="AQ132" t="s">
        <v>74</v>
      </c>
      <c r="AR132" t="s">
        <v>1226</v>
      </c>
      <c r="AS132" t="s">
        <v>1227</v>
      </c>
      <c r="AT132" t="s">
        <v>2718</v>
      </c>
      <c r="AU132">
        <v>2023</v>
      </c>
      <c r="AV132" t="s">
        <v>74</v>
      </c>
      <c r="AW132" t="s">
        <v>74</v>
      </c>
      <c r="AX132" t="s">
        <v>74</v>
      </c>
      <c r="AY132" t="s">
        <v>74</v>
      </c>
      <c r="AZ132" t="s">
        <v>74</v>
      </c>
      <c r="BA132" t="s">
        <v>74</v>
      </c>
      <c r="BB132" t="s">
        <v>74</v>
      </c>
      <c r="BC132" t="s">
        <v>74</v>
      </c>
      <c r="BD132" t="s">
        <v>74</v>
      </c>
      <c r="BE132" t="s">
        <v>2785</v>
      </c>
      <c r="BF132" t="str">
        <f>HYPERLINK("http://dx.doi.org/10.1002/ijgo.15138","http://dx.doi.org/10.1002/ijgo.15138")</f>
        <v>http://dx.doi.org/10.1002/ijgo.15138</v>
      </c>
      <c r="BG132" t="s">
        <v>74</v>
      </c>
      <c r="BH132" t="s">
        <v>407</v>
      </c>
      <c r="BI132">
        <v>7</v>
      </c>
      <c r="BJ132" t="s">
        <v>1229</v>
      </c>
      <c r="BK132" t="s">
        <v>119</v>
      </c>
      <c r="BL132" t="s">
        <v>1229</v>
      </c>
      <c r="BM132" t="s">
        <v>2786</v>
      </c>
      <c r="BN132">
        <v>37715535</v>
      </c>
      <c r="BO132" t="s">
        <v>74</v>
      </c>
      <c r="BP132" t="s">
        <v>74</v>
      </c>
      <c r="BQ132" t="s">
        <v>74</v>
      </c>
      <c r="BR132" t="s">
        <v>99</v>
      </c>
      <c r="BS132" t="s">
        <v>2787</v>
      </c>
      <c r="BT132" t="str">
        <f>HYPERLINK("https%3A%2F%2Fwww.webofscience.com%2Fwos%2Fwoscc%2Ffull-record%2FWOS:001066760100001","View Full Record in Web of Science")</f>
        <v>View Full Record in Web of Science</v>
      </c>
    </row>
    <row r="133" spans="1:72" x14ac:dyDescent="0.15">
      <c r="A133" t="s">
        <v>72</v>
      </c>
      <c r="B133" t="s">
        <v>2788</v>
      </c>
      <c r="C133" t="s">
        <v>74</v>
      </c>
      <c r="D133" t="s">
        <v>74</v>
      </c>
      <c r="E133" t="s">
        <v>74</v>
      </c>
      <c r="F133" t="s">
        <v>2789</v>
      </c>
      <c r="G133" t="s">
        <v>74</v>
      </c>
      <c r="H133" t="s">
        <v>74</v>
      </c>
      <c r="I133" t="s">
        <v>2790</v>
      </c>
      <c r="J133" t="s">
        <v>2791</v>
      </c>
      <c r="K133" t="s">
        <v>74</v>
      </c>
      <c r="L133" t="s">
        <v>74</v>
      </c>
      <c r="M133" t="s">
        <v>78</v>
      </c>
      <c r="N133" t="s">
        <v>1297</v>
      </c>
      <c r="O133" t="s">
        <v>74</v>
      </c>
      <c r="P133" t="s">
        <v>74</v>
      </c>
      <c r="Q133" t="s">
        <v>74</v>
      </c>
      <c r="R133" t="s">
        <v>74</v>
      </c>
      <c r="S133" t="s">
        <v>74</v>
      </c>
      <c r="T133" t="s">
        <v>2792</v>
      </c>
      <c r="U133" t="s">
        <v>74</v>
      </c>
      <c r="V133" t="s">
        <v>74</v>
      </c>
      <c r="W133" t="s">
        <v>2793</v>
      </c>
      <c r="X133" t="s">
        <v>74</v>
      </c>
      <c r="Y133" t="s">
        <v>2794</v>
      </c>
      <c r="Z133" t="s">
        <v>2795</v>
      </c>
      <c r="AA133" t="s">
        <v>74</v>
      </c>
      <c r="AB133" t="s">
        <v>74</v>
      </c>
      <c r="AC133" t="s">
        <v>74</v>
      </c>
      <c r="AD133" t="s">
        <v>74</v>
      </c>
      <c r="AE133" t="s">
        <v>74</v>
      </c>
      <c r="AF133" t="s">
        <v>74</v>
      </c>
      <c r="AG133">
        <v>4</v>
      </c>
      <c r="AH133">
        <v>0</v>
      </c>
      <c r="AI133">
        <v>0</v>
      </c>
      <c r="AJ133">
        <v>0</v>
      </c>
      <c r="AK133">
        <v>0</v>
      </c>
      <c r="AL133" t="s">
        <v>87</v>
      </c>
      <c r="AM133" t="s">
        <v>88</v>
      </c>
      <c r="AN133" t="s">
        <v>89</v>
      </c>
      <c r="AO133" t="s">
        <v>2796</v>
      </c>
      <c r="AP133" t="s">
        <v>2797</v>
      </c>
      <c r="AQ133" t="s">
        <v>74</v>
      </c>
      <c r="AR133" t="s">
        <v>2798</v>
      </c>
      <c r="AS133" t="s">
        <v>2799</v>
      </c>
      <c r="AT133" t="s">
        <v>2718</v>
      </c>
      <c r="AU133">
        <v>2023</v>
      </c>
      <c r="AV133" t="s">
        <v>74</v>
      </c>
      <c r="AW133" t="s">
        <v>74</v>
      </c>
      <c r="AX133" t="s">
        <v>74</v>
      </c>
      <c r="AY133" t="s">
        <v>74</v>
      </c>
      <c r="AZ133" t="s">
        <v>74</v>
      </c>
      <c r="BA133" t="s">
        <v>74</v>
      </c>
      <c r="BB133" t="s">
        <v>74</v>
      </c>
      <c r="BC133" t="s">
        <v>74</v>
      </c>
      <c r="BD133" t="s">
        <v>74</v>
      </c>
      <c r="BE133" t="s">
        <v>2800</v>
      </c>
      <c r="BF133" t="str">
        <f>HYPERLINK("http://dx.doi.org/10.1002/joa3.12924","http://dx.doi.org/10.1002/joa3.12924")</f>
        <v>http://dx.doi.org/10.1002/joa3.12924</v>
      </c>
      <c r="BG133" t="s">
        <v>74</v>
      </c>
      <c r="BH133" t="s">
        <v>407</v>
      </c>
      <c r="BI133">
        <v>4</v>
      </c>
      <c r="BJ133" t="s">
        <v>1849</v>
      </c>
      <c r="BK133" t="s">
        <v>96</v>
      </c>
      <c r="BL133" t="s">
        <v>1850</v>
      </c>
      <c r="BM133" t="s">
        <v>2801</v>
      </c>
      <c r="BN133" t="s">
        <v>74</v>
      </c>
      <c r="BO133" t="s">
        <v>234</v>
      </c>
      <c r="BP133" t="s">
        <v>74</v>
      </c>
      <c r="BQ133" t="s">
        <v>74</v>
      </c>
      <c r="BR133" t="s">
        <v>99</v>
      </c>
      <c r="BS133" t="s">
        <v>2802</v>
      </c>
      <c r="BT133" t="str">
        <f>HYPERLINK("https%3A%2F%2Fwww.webofscience.com%2Fwos%2Fwoscc%2Ffull-record%2FWOS:001066789600001","View Full Record in Web of Science")</f>
        <v>View Full Record in Web of Science</v>
      </c>
    </row>
    <row r="134" spans="1:72" x14ac:dyDescent="0.15">
      <c r="A134" t="s">
        <v>72</v>
      </c>
      <c r="B134" t="s">
        <v>2803</v>
      </c>
      <c r="C134" t="s">
        <v>74</v>
      </c>
      <c r="D134" t="s">
        <v>74</v>
      </c>
      <c r="E134" t="s">
        <v>74</v>
      </c>
      <c r="F134" t="s">
        <v>2804</v>
      </c>
      <c r="G134" t="s">
        <v>74</v>
      </c>
      <c r="H134" t="s">
        <v>74</v>
      </c>
      <c r="I134" t="s">
        <v>2805</v>
      </c>
      <c r="J134" t="s">
        <v>2806</v>
      </c>
      <c r="K134" t="s">
        <v>74</v>
      </c>
      <c r="L134" t="s">
        <v>74</v>
      </c>
      <c r="M134" t="s">
        <v>78</v>
      </c>
      <c r="N134" t="s">
        <v>338</v>
      </c>
      <c r="O134" t="s">
        <v>74</v>
      </c>
      <c r="P134" t="s">
        <v>74</v>
      </c>
      <c r="Q134" t="s">
        <v>74</v>
      </c>
      <c r="R134" t="s">
        <v>74</v>
      </c>
      <c r="S134" t="s">
        <v>74</v>
      </c>
      <c r="T134" t="s">
        <v>2807</v>
      </c>
      <c r="U134" t="s">
        <v>74</v>
      </c>
      <c r="V134" t="s">
        <v>2808</v>
      </c>
      <c r="W134" t="s">
        <v>2809</v>
      </c>
      <c r="X134" t="s">
        <v>2810</v>
      </c>
      <c r="Y134" t="s">
        <v>2811</v>
      </c>
      <c r="Z134" t="s">
        <v>2812</v>
      </c>
      <c r="AA134" t="s">
        <v>74</v>
      </c>
      <c r="AB134" t="s">
        <v>74</v>
      </c>
      <c r="AC134" t="s">
        <v>2813</v>
      </c>
      <c r="AD134" t="s">
        <v>2814</v>
      </c>
      <c r="AE134" t="s">
        <v>2815</v>
      </c>
      <c r="AF134" t="s">
        <v>74</v>
      </c>
      <c r="AG134">
        <v>39</v>
      </c>
      <c r="AH134">
        <v>0</v>
      </c>
      <c r="AI134">
        <v>0</v>
      </c>
      <c r="AJ134">
        <v>0</v>
      </c>
      <c r="AK134">
        <v>0</v>
      </c>
      <c r="AL134" t="s">
        <v>87</v>
      </c>
      <c r="AM134" t="s">
        <v>88</v>
      </c>
      <c r="AN134" t="s">
        <v>89</v>
      </c>
      <c r="AO134" t="s">
        <v>2816</v>
      </c>
      <c r="AP134" t="s">
        <v>2817</v>
      </c>
      <c r="AQ134" t="s">
        <v>74</v>
      </c>
      <c r="AR134" t="s">
        <v>2818</v>
      </c>
      <c r="AS134" t="s">
        <v>2819</v>
      </c>
      <c r="AT134" t="s">
        <v>2718</v>
      </c>
      <c r="AU134">
        <v>2023</v>
      </c>
      <c r="AV134" t="s">
        <v>74</v>
      </c>
      <c r="AW134" t="s">
        <v>74</v>
      </c>
      <c r="AX134" t="s">
        <v>74</v>
      </c>
      <c r="AY134" t="s">
        <v>74</v>
      </c>
      <c r="AZ134" t="s">
        <v>74</v>
      </c>
      <c r="BA134" t="s">
        <v>74</v>
      </c>
      <c r="BB134" t="s">
        <v>74</v>
      </c>
      <c r="BC134" t="s">
        <v>74</v>
      </c>
      <c r="BD134" t="s">
        <v>74</v>
      </c>
      <c r="BE134" t="s">
        <v>2820</v>
      </c>
      <c r="BF134" t="str">
        <f>HYPERLINK("http://dx.doi.org/10.1049/ipr2.12919","http://dx.doi.org/10.1049/ipr2.12919")</f>
        <v>http://dx.doi.org/10.1049/ipr2.12919</v>
      </c>
      <c r="BG134" t="s">
        <v>74</v>
      </c>
      <c r="BH134" t="s">
        <v>407</v>
      </c>
      <c r="BI134">
        <v>13</v>
      </c>
      <c r="BJ134" t="s">
        <v>2821</v>
      </c>
      <c r="BK134" t="s">
        <v>119</v>
      </c>
      <c r="BL134" t="s">
        <v>2822</v>
      </c>
      <c r="BM134" t="s">
        <v>2823</v>
      </c>
      <c r="BN134" t="s">
        <v>74</v>
      </c>
      <c r="BO134" t="s">
        <v>234</v>
      </c>
      <c r="BP134" t="s">
        <v>74</v>
      </c>
      <c r="BQ134" t="s">
        <v>74</v>
      </c>
      <c r="BR134" t="s">
        <v>99</v>
      </c>
      <c r="BS134" t="s">
        <v>2824</v>
      </c>
      <c r="BT134" t="str">
        <f>HYPERLINK("https%3A%2F%2Fwww.webofscience.com%2Fwos%2Fwoscc%2Ffull-record%2FWOS:001066083200001","View Full Record in Web of Science")</f>
        <v>View Full Record in Web of Science</v>
      </c>
    </row>
    <row r="135" spans="1:72" x14ac:dyDescent="0.15">
      <c r="A135" t="s">
        <v>72</v>
      </c>
      <c r="B135" t="s">
        <v>2825</v>
      </c>
      <c r="C135" t="s">
        <v>74</v>
      </c>
      <c r="D135" t="s">
        <v>74</v>
      </c>
      <c r="E135" t="s">
        <v>74</v>
      </c>
      <c r="F135" t="s">
        <v>2826</v>
      </c>
      <c r="G135" t="s">
        <v>74</v>
      </c>
      <c r="H135" t="s">
        <v>74</v>
      </c>
      <c r="I135" t="s">
        <v>2827</v>
      </c>
      <c r="J135" t="s">
        <v>2828</v>
      </c>
      <c r="K135" t="s">
        <v>74</v>
      </c>
      <c r="L135" t="s">
        <v>74</v>
      </c>
      <c r="M135" t="s">
        <v>78</v>
      </c>
      <c r="N135" t="s">
        <v>338</v>
      </c>
      <c r="O135" t="s">
        <v>74</v>
      </c>
      <c r="P135" t="s">
        <v>74</v>
      </c>
      <c r="Q135" t="s">
        <v>74</v>
      </c>
      <c r="R135" t="s">
        <v>74</v>
      </c>
      <c r="S135" t="s">
        <v>74</v>
      </c>
      <c r="T135" t="s">
        <v>2829</v>
      </c>
      <c r="U135" t="s">
        <v>74</v>
      </c>
      <c r="V135" t="s">
        <v>2830</v>
      </c>
      <c r="W135" t="s">
        <v>2831</v>
      </c>
      <c r="X135" t="s">
        <v>2832</v>
      </c>
      <c r="Y135" t="s">
        <v>2833</v>
      </c>
      <c r="Z135" t="s">
        <v>2834</v>
      </c>
      <c r="AA135" t="s">
        <v>74</v>
      </c>
      <c r="AB135" t="s">
        <v>2835</v>
      </c>
      <c r="AC135" t="s">
        <v>2836</v>
      </c>
      <c r="AD135" t="s">
        <v>2836</v>
      </c>
      <c r="AE135" t="s">
        <v>2836</v>
      </c>
      <c r="AF135" t="s">
        <v>74</v>
      </c>
      <c r="AG135">
        <v>12</v>
      </c>
      <c r="AH135">
        <v>0</v>
      </c>
      <c r="AI135">
        <v>0</v>
      </c>
      <c r="AJ135">
        <v>1</v>
      </c>
      <c r="AK135">
        <v>1</v>
      </c>
      <c r="AL135" t="s">
        <v>87</v>
      </c>
      <c r="AM135" t="s">
        <v>88</v>
      </c>
      <c r="AN135" t="s">
        <v>89</v>
      </c>
      <c r="AO135" t="s">
        <v>2837</v>
      </c>
      <c r="AP135" t="s">
        <v>2838</v>
      </c>
      <c r="AQ135" t="s">
        <v>74</v>
      </c>
      <c r="AR135" t="s">
        <v>2839</v>
      </c>
      <c r="AS135" t="s">
        <v>2840</v>
      </c>
      <c r="AT135" t="s">
        <v>2718</v>
      </c>
      <c r="AU135">
        <v>2023</v>
      </c>
      <c r="AV135" t="s">
        <v>74</v>
      </c>
      <c r="AW135" t="s">
        <v>74</v>
      </c>
      <c r="AX135" t="s">
        <v>74</v>
      </c>
      <c r="AY135" t="s">
        <v>74</v>
      </c>
      <c r="AZ135" t="s">
        <v>74</v>
      </c>
      <c r="BA135" t="s">
        <v>74</v>
      </c>
      <c r="BB135" t="s">
        <v>74</v>
      </c>
      <c r="BC135" t="s">
        <v>74</v>
      </c>
      <c r="BD135" t="s">
        <v>74</v>
      </c>
      <c r="BE135" t="s">
        <v>2841</v>
      </c>
      <c r="BF135" t="str">
        <f>HYPERLINK("http://dx.doi.org/10.1111/cge.14426","http://dx.doi.org/10.1111/cge.14426")</f>
        <v>http://dx.doi.org/10.1111/cge.14426</v>
      </c>
      <c r="BG135" t="s">
        <v>74</v>
      </c>
      <c r="BH135" t="s">
        <v>407</v>
      </c>
      <c r="BI135">
        <v>7</v>
      </c>
      <c r="BJ135" t="s">
        <v>677</v>
      </c>
      <c r="BK135" t="s">
        <v>119</v>
      </c>
      <c r="BL135" t="s">
        <v>677</v>
      </c>
      <c r="BM135" t="s">
        <v>2842</v>
      </c>
      <c r="BN135">
        <v>37715646</v>
      </c>
      <c r="BO135" t="s">
        <v>74</v>
      </c>
      <c r="BP135" t="s">
        <v>74</v>
      </c>
      <c r="BQ135" t="s">
        <v>74</v>
      </c>
      <c r="BR135" t="s">
        <v>99</v>
      </c>
      <c r="BS135" t="s">
        <v>2843</v>
      </c>
      <c r="BT135" t="str">
        <f>HYPERLINK("https%3A%2F%2Fwww.webofscience.com%2Fwos%2Fwoscc%2Ffull-record%2FWOS:001067731200001","View Full Record in Web of Science")</f>
        <v>View Full Record in Web of Science</v>
      </c>
    </row>
    <row r="136" spans="1:72" x14ac:dyDescent="0.15">
      <c r="A136" t="s">
        <v>72</v>
      </c>
      <c r="B136" t="s">
        <v>2844</v>
      </c>
      <c r="C136" t="s">
        <v>74</v>
      </c>
      <c r="D136" t="s">
        <v>74</v>
      </c>
      <c r="E136" t="s">
        <v>74</v>
      </c>
      <c r="F136" t="s">
        <v>2845</v>
      </c>
      <c r="G136" t="s">
        <v>74</v>
      </c>
      <c r="H136" t="s">
        <v>74</v>
      </c>
      <c r="I136" t="s">
        <v>2846</v>
      </c>
      <c r="J136" t="s">
        <v>2847</v>
      </c>
      <c r="K136" t="s">
        <v>74</v>
      </c>
      <c r="L136" t="s">
        <v>74</v>
      </c>
      <c r="M136" t="s">
        <v>78</v>
      </c>
      <c r="N136" t="s">
        <v>2743</v>
      </c>
      <c r="O136" t="s">
        <v>74</v>
      </c>
      <c r="P136" t="s">
        <v>74</v>
      </c>
      <c r="Q136" t="s">
        <v>74</v>
      </c>
      <c r="R136" t="s">
        <v>74</v>
      </c>
      <c r="S136" t="s">
        <v>74</v>
      </c>
      <c r="T136" t="s">
        <v>74</v>
      </c>
      <c r="U136" t="s">
        <v>74</v>
      </c>
      <c r="V136" t="s">
        <v>74</v>
      </c>
      <c r="W136" t="s">
        <v>2848</v>
      </c>
      <c r="X136" t="s">
        <v>2849</v>
      </c>
      <c r="Y136" t="s">
        <v>2850</v>
      </c>
      <c r="Z136" t="s">
        <v>2851</v>
      </c>
      <c r="AA136" t="s">
        <v>74</v>
      </c>
      <c r="AB136" t="s">
        <v>2852</v>
      </c>
      <c r="AC136" t="s">
        <v>2853</v>
      </c>
      <c r="AD136" t="s">
        <v>2853</v>
      </c>
      <c r="AE136" t="s">
        <v>2853</v>
      </c>
      <c r="AF136" t="s">
        <v>74</v>
      </c>
      <c r="AG136">
        <v>5</v>
      </c>
      <c r="AH136">
        <v>0</v>
      </c>
      <c r="AI136">
        <v>0</v>
      </c>
      <c r="AJ136">
        <v>0</v>
      </c>
      <c r="AK136">
        <v>0</v>
      </c>
      <c r="AL136" t="s">
        <v>87</v>
      </c>
      <c r="AM136" t="s">
        <v>88</v>
      </c>
      <c r="AN136" t="s">
        <v>89</v>
      </c>
      <c r="AO136" t="s">
        <v>2854</v>
      </c>
      <c r="AP136" t="s">
        <v>2855</v>
      </c>
      <c r="AQ136" t="s">
        <v>74</v>
      </c>
      <c r="AR136" t="s">
        <v>2856</v>
      </c>
      <c r="AS136" t="s">
        <v>2857</v>
      </c>
      <c r="AT136" t="s">
        <v>2858</v>
      </c>
      <c r="AU136">
        <v>2023</v>
      </c>
      <c r="AV136" t="s">
        <v>74</v>
      </c>
      <c r="AW136" t="s">
        <v>74</v>
      </c>
      <c r="AX136" t="s">
        <v>74</v>
      </c>
      <c r="AY136" t="s">
        <v>74</v>
      </c>
      <c r="AZ136" t="s">
        <v>74</v>
      </c>
      <c r="BA136" t="s">
        <v>74</v>
      </c>
      <c r="BB136" t="s">
        <v>74</v>
      </c>
      <c r="BC136" t="s">
        <v>74</v>
      </c>
      <c r="BD136" t="s">
        <v>74</v>
      </c>
      <c r="BE136" t="s">
        <v>2859</v>
      </c>
      <c r="BF136" t="str">
        <f>HYPERLINK("http://dx.doi.org/10.1111/ijd.16827","http://dx.doi.org/10.1111/ijd.16827")</f>
        <v>http://dx.doi.org/10.1111/ijd.16827</v>
      </c>
      <c r="BG136" t="s">
        <v>74</v>
      </c>
      <c r="BH136" t="s">
        <v>407</v>
      </c>
      <c r="BI136">
        <v>2</v>
      </c>
      <c r="BJ136" t="s">
        <v>2541</v>
      </c>
      <c r="BK136" t="s">
        <v>119</v>
      </c>
      <c r="BL136" t="s">
        <v>2541</v>
      </c>
      <c r="BM136" t="s">
        <v>2860</v>
      </c>
      <c r="BN136">
        <v>37715466</v>
      </c>
      <c r="BO136" t="s">
        <v>74</v>
      </c>
      <c r="BP136" t="s">
        <v>74</v>
      </c>
      <c r="BQ136" t="s">
        <v>74</v>
      </c>
      <c r="BR136" t="s">
        <v>99</v>
      </c>
      <c r="BS136" t="s">
        <v>2861</v>
      </c>
      <c r="BT136" t="str">
        <f>HYPERLINK("https%3A%2F%2Fwww.webofscience.com%2Fwos%2Fwoscc%2Ffull-record%2FWOS:001067486900001","View Full Record in Web of Science")</f>
        <v>View Full Record in Web of Science</v>
      </c>
    </row>
    <row r="137" spans="1:72" x14ac:dyDescent="0.15">
      <c r="A137" t="s">
        <v>72</v>
      </c>
      <c r="B137" t="s">
        <v>2862</v>
      </c>
      <c r="C137" t="s">
        <v>74</v>
      </c>
      <c r="D137" t="s">
        <v>74</v>
      </c>
      <c r="E137" t="s">
        <v>74</v>
      </c>
      <c r="F137" t="s">
        <v>2863</v>
      </c>
      <c r="G137" t="s">
        <v>74</v>
      </c>
      <c r="H137" t="s">
        <v>74</v>
      </c>
      <c r="I137" t="s">
        <v>2864</v>
      </c>
      <c r="J137" t="s">
        <v>2865</v>
      </c>
      <c r="K137" t="s">
        <v>74</v>
      </c>
      <c r="L137" t="s">
        <v>74</v>
      </c>
      <c r="M137" t="s">
        <v>78</v>
      </c>
      <c r="N137" t="s">
        <v>338</v>
      </c>
      <c r="O137" t="s">
        <v>74</v>
      </c>
      <c r="P137" t="s">
        <v>74</v>
      </c>
      <c r="Q137" t="s">
        <v>74</v>
      </c>
      <c r="R137" t="s">
        <v>74</v>
      </c>
      <c r="S137" t="s">
        <v>74</v>
      </c>
      <c r="T137" t="s">
        <v>2866</v>
      </c>
      <c r="U137" t="s">
        <v>74</v>
      </c>
      <c r="V137" t="s">
        <v>2867</v>
      </c>
      <c r="W137" t="s">
        <v>2868</v>
      </c>
      <c r="X137" t="s">
        <v>2869</v>
      </c>
      <c r="Y137" t="s">
        <v>2870</v>
      </c>
      <c r="Z137" t="s">
        <v>2871</v>
      </c>
      <c r="AA137" t="s">
        <v>74</v>
      </c>
      <c r="AB137" t="s">
        <v>74</v>
      </c>
      <c r="AC137" t="s">
        <v>74</v>
      </c>
      <c r="AD137" t="s">
        <v>74</v>
      </c>
      <c r="AE137" t="s">
        <v>74</v>
      </c>
      <c r="AF137" t="s">
        <v>74</v>
      </c>
      <c r="AG137">
        <v>33</v>
      </c>
      <c r="AH137">
        <v>0</v>
      </c>
      <c r="AI137">
        <v>0</v>
      </c>
      <c r="AJ137">
        <v>0</v>
      </c>
      <c r="AK137">
        <v>0</v>
      </c>
      <c r="AL137" t="s">
        <v>87</v>
      </c>
      <c r="AM137" t="s">
        <v>88</v>
      </c>
      <c r="AN137" t="s">
        <v>89</v>
      </c>
      <c r="AO137" t="s">
        <v>2872</v>
      </c>
      <c r="AP137" t="s">
        <v>2873</v>
      </c>
      <c r="AQ137" t="s">
        <v>74</v>
      </c>
      <c r="AR137" t="s">
        <v>2874</v>
      </c>
      <c r="AS137" t="s">
        <v>2875</v>
      </c>
      <c r="AT137" t="s">
        <v>2858</v>
      </c>
      <c r="AU137">
        <v>2023</v>
      </c>
      <c r="AV137" t="s">
        <v>74</v>
      </c>
      <c r="AW137" t="s">
        <v>74</v>
      </c>
      <c r="AX137" t="s">
        <v>74</v>
      </c>
      <c r="AY137" t="s">
        <v>74</v>
      </c>
      <c r="AZ137" t="s">
        <v>74</v>
      </c>
      <c r="BA137" t="s">
        <v>74</v>
      </c>
      <c r="BB137" t="s">
        <v>74</v>
      </c>
      <c r="BC137" t="s">
        <v>74</v>
      </c>
      <c r="BD137" t="s">
        <v>2876</v>
      </c>
      <c r="BE137" t="s">
        <v>2877</v>
      </c>
      <c r="BF137" t="str">
        <f>HYPERLINK("http://dx.doi.org/10.1111/dme.15217","http://dx.doi.org/10.1111/dme.15217")</f>
        <v>http://dx.doi.org/10.1111/dme.15217</v>
      </c>
      <c r="BG137" t="s">
        <v>74</v>
      </c>
      <c r="BH137" t="s">
        <v>407</v>
      </c>
      <c r="BI137">
        <v>11</v>
      </c>
      <c r="BJ137" t="s">
        <v>2313</v>
      </c>
      <c r="BK137" t="s">
        <v>119</v>
      </c>
      <c r="BL137" t="s">
        <v>2313</v>
      </c>
      <c r="BM137" t="s">
        <v>2878</v>
      </c>
      <c r="BN137">
        <v>37669131</v>
      </c>
      <c r="BO137" t="s">
        <v>301</v>
      </c>
      <c r="BP137" t="s">
        <v>74</v>
      </c>
      <c r="BQ137" t="s">
        <v>74</v>
      </c>
      <c r="BR137" t="s">
        <v>99</v>
      </c>
      <c r="BS137" t="s">
        <v>2879</v>
      </c>
      <c r="BT137" t="str">
        <f>HYPERLINK("https%3A%2F%2Fwww.webofscience.com%2Fwos%2Fwoscc%2Ffull-record%2FWOS:001068642900001","View Full Record in Web of Science")</f>
        <v>View Full Record in Web of Science</v>
      </c>
    </row>
    <row r="138" spans="1:72" x14ac:dyDescent="0.15">
      <c r="A138" t="s">
        <v>72</v>
      </c>
      <c r="B138" t="s">
        <v>2880</v>
      </c>
      <c r="C138" t="s">
        <v>74</v>
      </c>
      <c r="D138" t="s">
        <v>74</v>
      </c>
      <c r="E138" t="s">
        <v>74</v>
      </c>
      <c r="F138" t="s">
        <v>2881</v>
      </c>
      <c r="G138" t="s">
        <v>74</v>
      </c>
      <c r="H138" t="s">
        <v>74</v>
      </c>
      <c r="I138" t="s">
        <v>2882</v>
      </c>
      <c r="J138" t="s">
        <v>1001</v>
      </c>
      <c r="K138" t="s">
        <v>74</v>
      </c>
      <c r="L138" t="s">
        <v>74</v>
      </c>
      <c r="M138" t="s">
        <v>78</v>
      </c>
      <c r="N138" t="s">
        <v>338</v>
      </c>
      <c r="O138" t="s">
        <v>74</v>
      </c>
      <c r="P138" t="s">
        <v>74</v>
      </c>
      <c r="Q138" t="s">
        <v>74</v>
      </c>
      <c r="R138" t="s">
        <v>74</v>
      </c>
      <c r="S138" t="s">
        <v>74</v>
      </c>
      <c r="T138" t="s">
        <v>2883</v>
      </c>
      <c r="U138" t="s">
        <v>74</v>
      </c>
      <c r="V138" t="s">
        <v>2884</v>
      </c>
      <c r="W138" t="s">
        <v>2885</v>
      </c>
      <c r="X138" t="s">
        <v>2886</v>
      </c>
      <c r="Y138" t="s">
        <v>2887</v>
      </c>
      <c r="Z138" t="s">
        <v>2888</v>
      </c>
      <c r="AA138" t="s">
        <v>74</v>
      </c>
      <c r="AB138" t="s">
        <v>74</v>
      </c>
      <c r="AC138" t="s">
        <v>2889</v>
      </c>
      <c r="AD138" t="s">
        <v>2890</v>
      </c>
      <c r="AE138" t="s">
        <v>2891</v>
      </c>
      <c r="AF138" t="s">
        <v>74</v>
      </c>
      <c r="AG138">
        <v>48</v>
      </c>
      <c r="AH138">
        <v>0</v>
      </c>
      <c r="AI138">
        <v>0</v>
      </c>
      <c r="AJ138">
        <v>12</v>
      </c>
      <c r="AK138">
        <v>12</v>
      </c>
      <c r="AL138" t="s">
        <v>426</v>
      </c>
      <c r="AM138" t="s">
        <v>427</v>
      </c>
      <c r="AN138" t="s">
        <v>428</v>
      </c>
      <c r="AO138" t="s">
        <v>1014</v>
      </c>
      <c r="AP138" t="s">
        <v>1015</v>
      </c>
      <c r="AQ138" t="s">
        <v>74</v>
      </c>
      <c r="AR138" t="s">
        <v>1016</v>
      </c>
      <c r="AS138" t="s">
        <v>1017</v>
      </c>
      <c r="AT138" t="s">
        <v>2858</v>
      </c>
      <c r="AU138">
        <v>2023</v>
      </c>
      <c r="AV138" t="s">
        <v>74</v>
      </c>
      <c r="AW138" t="s">
        <v>74</v>
      </c>
      <c r="AX138" t="s">
        <v>74</v>
      </c>
      <c r="AY138" t="s">
        <v>74</v>
      </c>
      <c r="AZ138" t="s">
        <v>74</v>
      </c>
      <c r="BA138" t="s">
        <v>74</v>
      </c>
      <c r="BB138" t="s">
        <v>74</v>
      </c>
      <c r="BC138" t="s">
        <v>74</v>
      </c>
      <c r="BD138" t="s">
        <v>74</v>
      </c>
      <c r="BE138" t="s">
        <v>2892</v>
      </c>
      <c r="BF138" t="str">
        <f>HYPERLINK("http://dx.doi.org/10.1002/anie.202310973","http://dx.doi.org/10.1002/anie.202310973")</f>
        <v>http://dx.doi.org/10.1002/anie.202310973</v>
      </c>
      <c r="BG138" t="s">
        <v>74</v>
      </c>
      <c r="BH138" t="s">
        <v>407</v>
      </c>
      <c r="BI138">
        <v>10</v>
      </c>
      <c r="BJ138" t="s">
        <v>523</v>
      </c>
      <c r="BK138" t="s">
        <v>119</v>
      </c>
      <c r="BL138" t="s">
        <v>524</v>
      </c>
      <c r="BM138" t="s">
        <v>2893</v>
      </c>
      <c r="BN138">
        <v>37667678</v>
      </c>
      <c r="BO138" t="s">
        <v>74</v>
      </c>
      <c r="BP138" t="s">
        <v>74</v>
      </c>
      <c r="BQ138" t="s">
        <v>74</v>
      </c>
      <c r="BR138" t="s">
        <v>99</v>
      </c>
      <c r="BS138" t="s">
        <v>2894</v>
      </c>
      <c r="BT138" t="str">
        <f>HYPERLINK("https%3A%2F%2Fwww.webofscience.com%2Fwos%2Fwoscc%2Ffull-record%2FWOS:001065551600001","View Full Record in Web of Science")</f>
        <v>View Full Record in Web of Science</v>
      </c>
    </row>
    <row r="139" spans="1:72" x14ac:dyDescent="0.15">
      <c r="A139" t="s">
        <v>72</v>
      </c>
      <c r="B139" t="s">
        <v>2895</v>
      </c>
      <c r="C139" t="s">
        <v>74</v>
      </c>
      <c r="D139" t="s">
        <v>74</v>
      </c>
      <c r="E139" t="s">
        <v>74</v>
      </c>
      <c r="F139" t="s">
        <v>2896</v>
      </c>
      <c r="G139" t="s">
        <v>74</v>
      </c>
      <c r="H139" t="s">
        <v>74</v>
      </c>
      <c r="I139" t="s">
        <v>2897</v>
      </c>
      <c r="J139" t="s">
        <v>2702</v>
      </c>
      <c r="K139" t="s">
        <v>74</v>
      </c>
      <c r="L139" t="s">
        <v>74</v>
      </c>
      <c r="M139" t="s">
        <v>78</v>
      </c>
      <c r="N139" t="s">
        <v>338</v>
      </c>
      <c r="O139" t="s">
        <v>74</v>
      </c>
      <c r="P139" t="s">
        <v>74</v>
      </c>
      <c r="Q139" t="s">
        <v>74</v>
      </c>
      <c r="R139" t="s">
        <v>74</v>
      </c>
      <c r="S139" t="s">
        <v>74</v>
      </c>
      <c r="T139" t="s">
        <v>2898</v>
      </c>
      <c r="U139" t="s">
        <v>2899</v>
      </c>
      <c r="V139" t="s">
        <v>2900</v>
      </c>
      <c r="W139" t="s">
        <v>2901</v>
      </c>
      <c r="X139" t="s">
        <v>2902</v>
      </c>
      <c r="Y139" t="s">
        <v>2903</v>
      </c>
      <c r="Z139" t="s">
        <v>2904</v>
      </c>
      <c r="AA139" t="s">
        <v>74</v>
      </c>
      <c r="AB139" t="s">
        <v>74</v>
      </c>
      <c r="AC139" t="s">
        <v>2905</v>
      </c>
      <c r="AD139" t="s">
        <v>2905</v>
      </c>
      <c r="AE139" t="s">
        <v>2906</v>
      </c>
      <c r="AF139" t="s">
        <v>74</v>
      </c>
      <c r="AG139">
        <v>79</v>
      </c>
      <c r="AH139">
        <v>0</v>
      </c>
      <c r="AI139">
        <v>0</v>
      </c>
      <c r="AJ139">
        <v>1</v>
      </c>
      <c r="AK139">
        <v>1</v>
      </c>
      <c r="AL139" t="s">
        <v>87</v>
      </c>
      <c r="AM139" t="s">
        <v>88</v>
      </c>
      <c r="AN139" t="s">
        <v>89</v>
      </c>
      <c r="AO139" t="s">
        <v>2714</v>
      </c>
      <c r="AP139" t="s">
        <v>2715</v>
      </c>
      <c r="AQ139" t="s">
        <v>74</v>
      </c>
      <c r="AR139" t="s">
        <v>2716</v>
      </c>
      <c r="AS139" t="s">
        <v>2717</v>
      </c>
      <c r="AT139" t="s">
        <v>2858</v>
      </c>
      <c r="AU139">
        <v>2023</v>
      </c>
      <c r="AV139" t="s">
        <v>74</v>
      </c>
      <c r="AW139" t="s">
        <v>74</v>
      </c>
      <c r="AX139" t="s">
        <v>74</v>
      </c>
      <c r="AY139" t="s">
        <v>74</v>
      </c>
      <c r="AZ139" t="s">
        <v>74</v>
      </c>
      <c r="BA139" t="s">
        <v>74</v>
      </c>
      <c r="BB139" t="s">
        <v>74</v>
      </c>
      <c r="BC139" t="s">
        <v>74</v>
      </c>
      <c r="BD139" t="s">
        <v>74</v>
      </c>
      <c r="BE139" t="s">
        <v>2907</v>
      </c>
      <c r="BF139" t="str">
        <f>HYPERLINK("http://dx.doi.org/10.1002/mar.21892","http://dx.doi.org/10.1002/mar.21892")</f>
        <v>http://dx.doi.org/10.1002/mar.21892</v>
      </c>
      <c r="BG139" t="s">
        <v>74</v>
      </c>
      <c r="BH139" t="s">
        <v>407</v>
      </c>
      <c r="BI139">
        <v>17</v>
      </c>
      <c r="BJ139" t="s">
        <v>2720</v>
      </c>
      <c r="BK139" t="s">
        <v>546</v>
      </c>
      <c r="BL139" t="s">
        <v>2721</v>
      </c>
      <c r="BM139" t="s">
        <v>2908</v>
      </c>
      <c r="BN139" t="s">
        <v>74</v>
      </c>
      <c r="BO139" t="s">
        <v>122</v>
      </c>
      <c r="BP139" t="s">
        <v>74</v>
      </c>
      <c r="BQ139" t="s">
        <v>74</v>
      </c>
      <c r="BR139" t="s">
        <v>99</v>
      </c>
      <c r="BS139" t="s">
        <v>2909</v>
      </c>
      <c r="BT139" t="str">
        <f>HYPERLINK("https%3A%2F%2Fwww.webofscience.com%2Fwos%2Fwoscc%2Ffull-record%2FWOS:001067391400001","View Full Record in Web of Science")</f>
        <v>View Full Record in Web of Science</v>
      </c>
    </row>
    <row r="140" spans="1:72" x14ac:dyDescent="0.15">
      <c r="A140" t="s">
        <v>72</v>
      </c>
      <c r="B140" t="s">
        <v>2910</v>
      </c>
      <c r="C140" t="s">
        <v>74</v>
      </c>
      <c r="D140" t="s">
        <v>74</v>
      </c>
      <c r="E140" t="s">
        <v>74</v>
      </c>
      <c r="F140" t="s">
        <v>2911</v>
      </c>
      <c r="G140" t="s">
        <v>74</v>
      </c>
      <c r="H140" t="s">
        <v>74</v>
      </c>
      <c r="I140" t="s">
        <v>2912</v>
      </c>
      <c r="J140" t="s">
        <v>2913</v>
      </c>
      <c r="K140" t="s">
        <v>74</v>
      </c>
      <c r="L140" t="s">
        <v>74</v>
      </c>
      <c r="M140" t="s">
        <v>78</v>
      </c>
      <c r="N140" t="s">
        <v>338</v>
      </c>
      <c r="O140" t="s">
        <v>74</v>
      </c>
      <c r="P140" t="s">
        <v>74</v>
      </c>
      <c r="Q140" t="s">
        <v>74</v>
      </c>
      <c r="R140" t="s">
        <v>74</v>
      </c>
      <c r="S140" t="s">
        <v>74</v>
      </c>
      <c r="T140" t="s">
        <v>2914</v>
      </c>
      <c r="U140" t="s">
        <v>2915</v>
      </c>
      <c r="V140" t="s">
        <v>2916</v>
      </c>
      <c r="W140" t="s">
        <v>2917</v>
      </c>
      <c r="X140" t="s">
        <v>2918</v>
      </c>
      <c r="Y140" t="s">
        <v>2919</v>
      </c>
      <c r="Z140" t="s">
        <v>2920</v>
      </c>
      <c r="AA140" t="s">
        <v>74</v>
      </c>
      <c r="AB140" t="s">
        <v>2921</v>
      </c>
      <c r="AC140" t="s">
        <v>2922</v>
      </c>
      <c r="AD140" t="s">
        <v>2923</v>
      </c>
      <c r="AE140" t="s">
        <v>2924</v>
      </c>
      <c r="AF140" t="s">
        <v>74</v>
      </c>
      <c r="AG140">
        <v>121</v>
      </c>
      <c r="AH140">
        <v>0</v>
      </c>
      <c r="AI140">
        <v>0</v>
      </c>
      <c r="AJ140">
        <v>2</v>
      </c>
      <c r="AK140">
        <v>2</v>
      </c>
      <c r="AL140" t="s">
        <v>426</v>
      </c>
      <c r="AM140" t="s">
        <v>427</v>
      </c>
      <c r="AN140" t="s">
        <v>428</v>
      </c>
      <c r="AO140" t="s">
        <v>2925</v>
      </c>
      <c r="AP140" t="s">
        <v>2926</v>
      </c>
      <c r="AQ140" t="s">
        <v>74</v>
      </c>
      <c r="AR140" t="s">
        <v>2927</v>
      </c>
      <c r="AS140" t="s">
        <v>2928</v>
      </c>
      <c r="AT140" t="s">
        <v>2858</v>
      </c>
      <c r="AU140">
        <v>2023</v>
      </c>
      <c r="AV140" t="s">
        <v>74</v>
      </c>
      <c r="AW140" t="s">
        <v>74</v>
      </c>
      <c r="AX140" t="s">
        <v>74</v>
      </c>
      <c r="AY140" t="s">
        <v>74</v>
      </c>
      <c r="AZ140" t="s">
        <v>74</v>
      </c>
      <c r="BA140" t="s">
        <v>74</v>
      </c>
      <c r="BB140" t="s">
        <v>74</v>
      </c>
      <c r="BC140" t="s">
        <v>74</v>
      </c>
      <c r="BD140" t="s">
        <v>74</v>
      </c>
      <c r="BE140" t="s">
        <v>2929</v>
      </c>
      <c r="BF140" t="str">
        <f>HYPERLINK("http://dx.doi.org/10.1002/chem.202301758","http://dx.doi.org/10.1002/chem.202301758")</f>
        <v>http://dx.doi.org/10.1002/chem.202301758</v>
      </c>
      <c r="BG140" t="s">
        <v>74</v>
      </c>
      <c r="BH140" t="s">
        <v>407</v>
      </c>
      <c r="BI140">
        <v>12</v>
      </c>
      <c r="BJ140" t="s">
        <v>523</v>
      </c>
      <c r="BK140" t="s">
        <v>119</v>
      </c>
      <c r="BL140" t="s">
        <v>524</v>
      </c>
      <c r="BM140" t="s">
        <v>2930</v>
      </c>
      <c r="BN140">
        <v>37490592</v>
      </c>
      <c r="BO140" t="s">
        <v>74</v>
      </c>
      <c r="BP140" t="s">
        <v>74</v>
      </c>
      <c r="BQ140" t="s">
        <v>74</v>
      </c>
      <c r="BR140" t="s">
        <v>99</v>
      </c>
      <c r="BS140" t="s">
        <v>2931</v>
      </c>
      <c r="BT140" t="str">
        <f>HYPERLINK("https%3A%2F%2Fwww.webofscience.com%2Fwos%2Fwoscc%2Ffull-record%2FWOS:001065647500001","View Full Record in Web of Science")</f>
        <v>View Full Record in Web of Science</v>
      </c>
    </row>
    <row r="141" spans="1:72" x14ac:dyDescent="0.15">
      <c r="A141" t="s">
        <v>72</v>
      </c>
      <c r="B141" t="s">
        <v>2932</v>
      </c>
      <c r="C141" t="s">
        <v>74</v>
      </c>
      <c r="D141" t="s">
        <v>74</v>
      </c>
      <c r="E141" t="s">
        <v>74</v>
      </c>
      <c r="F141" t="s">
        <v>2933</v>
      </c>
      <c r="G141" t="s">
        <v>74</v>
      </c>
      <c r="H141" t="s">
        <v>74</v>
      </c>
      <c r="I141" t="s">
        <v>2934</v>
      </c>
      <c r="J141" t="s">
        <v>2935</v>
      </c>
      <c r="K141" t="s">
        <v>74</v>
      </c>
      <c r="L141" t="s">
        <v>74</v>
      </c>
      <c r="M141" t="s">
        <v>78</v>
      </c>
      <c r="N141" t="s">
        <v>79</v>
      </c>
      <c r="O141" t="s">
        <v>74</v>
      </c>
      <c r="P141" t="s">
        <v>74</v>
      </c>
      <c r="Q141" t="s">
        <v>74</v>
      </c>
      <c r="R141" t="s">
        <v>74</v>
      </c>
      <c r="S141" t="s">
        <v>74</v>
      </c>
      <c r="T141" t="s">
        <v>74</v>
      </c>
      <c r="U141" t="s">
        <v>74</v>
      </c>
      <c r="V141" t="s">
        <v>2936</v>
      </c>
      <c r="W141" t="s">
        <v>2937</v>
      </c>
      <c r="X141" t="s">
        <v>2938</v>
      </c>
      <c r="Y141" t="s">
        <v>2939</v>
      </c>
      <c r="Z141" t="s">
        <v>2940</v>
      </c>
      <c r="AA141" t="s">
        <v>74</v>
      </c>
      <c r="AB141" t="s">
        <v>74</v>
      </c>
      <c r="AC141" t="s">
        <v>2941</v>
      </c>
      <c r="AD141" t="s">
        <v>2942</v>
      </c>
      <c r="AE141" t="s">
        <v>2943</v>
      </c>
      <c r="AF141" t="s">
        <v>74</v>
      </c>
      <c r="AG141">
        <v>14</v>
      </c>
      <c r="AH141">
        <v>0</v>
      </c>
      <c r="AI141">
        <v>0</v>
      </c>
      <c r="AJ141">
        <v>2</v>
      </c>
      <c r="AK141">
        <v>2</v>
      </c>
      <c r="AL141" t="s">
        <v>87</v>
      </c>
      <c r="AM141" t="s">
        <v>88</v>
      </c>
      <c r="AN141" t="s">
        <v>89</v>
      </c>
      <c r="AO141" t="s">
        <v>2944</v>
      </c>
      <c r="AP141" t="s">
        <v>2945</v>
      </c>
      <c r="AQ141" t="s">
        <v>74</v>
      </c>
      <c r="AR141" t="s">
        <v>2946</v>
      </c>
      <c r="AS141" t="s">
        <v>2947</v>
      </c>
      <c r="AT141" t="s">
        <v>2948</v>
      </c>
      <c r="AU141">
        <v>2023</v>
      </c>
      <c r="AV141">
        <v>37</v>
      </c>
      <c r="AW141">
        <v>17</v>
      </c>
      <c r="AX141" t="s">
        <v>74</v>
      </c>
      <c r="AY141" t="s">
        <v>74</v>
      </c>
      <c r="AZ141" t="s">
        <v>74</v>
      </c>
      <c r="BA141" t="s">
        <v>74</v>
      </c>
      <c r="BB141" t="s">
        <v>74</v>
      </c>
      <c r="BC141" t="s">
        <v>74</v>
      </c>
      <c r="BD141" t="s">
        <v>2949</v>
      </c>
      <c r="BE141" t="s">
        <v>2950</v>
      </c>
      <c r="BF141" t="str">
        <f>HYPERLINK("http://dx.doi.org/10.1002/rcm.9598","http://dx.doi.org/10.1002/rcm.9598")</f>
        <v>http://dx.doi.org/10.1002/rcm.9598</v>
      </c>
      <c r="BG141" t="s">
        <v>74</v>
      </c>
      <c r="BH141" t="s">
        <v>74</v>
      </c>
      <c r="BI141">
        <v>7</v>
      </c>
      <c r="BJ141" t="s">
        <v>2951</v>
      </c>
      <c r="BK141" t="s">
        <v>119</v>
      </c>
      <c r="BL141" t="s">
        <v>2952</v>
      </c>
      <c r="BM141" t="s">
        <v>2953</v>
      </c>
      <c r="BN141">
        <v>37580502</v>
      </c>
      <c r="BO141" t="s">
        <v>74</v>
      </c>
      <c r="BP141" t="s">
        <v>74</v>
      </c>
      <c r="BQ141" t="s">
        <v>74</v>
      </c>
      <c r="BR141" t="s">
        <v>99</v>
      </c>
      <c r="BS141" t="s">
        <v>2954</v>
      </c>
      <c r="BT141" t="str">
        <f>HYPERLINK("https%3A%2F%2Fwww.webofscience.com%2Fwos%2Fwoscc%2Ffull-record%2FWOS:001024256000001","View Full Record in Web of Science")</f>
        <v>View Full Record in Web of Science</v>
      </c>
    </row>
    <row r="142" spans="1:72" x14ac:dyDescent="0.15">
      <c r="A142" t="s">
        <v>72</v>
      </c>
      <c r="B142" t="s">
        <v>2955</v>
      </c>
      <c r="C142" t="s">
        <v>74</v>
      </c>
      <c r="D142" t="s">
        <v>74</v>
      </c>
      <c r="E142" t="s">
        <v>74</v>
      </c>
      <c r="F142" t="s">
        <v>2956</v>
      </c>
      <c r="G142" t="s">
        <v>74</v>
      </c>
      <c r="H142" t="s">
        <v>74</v>
      </c>
      <c r="I142" t="s">
        <v>2957</v>
      </c>
      <c r="J142" t="s">
        <v>1773</v>
      </c>
      <c r="K142" t="s">
        <v>74</v>
      </c>
      <c r="L142" t="s">
        <v>74</v>
      </c>
      <c r="M142" t="s">
        <v>78</v>
      </c>
      <c r="N142" t="s">
        <v>338</v>
      </c>
      <c r="O142" t="s">
        <v>74</v>
      </c>
      <c r="P142" t="s">
        <v>74</v>
      </c>
      <c r="Q142" t="s">
        <v>74</v>
      </c>
      <c r="R142" t="s">
        <v>74</v>
      </c>
      <c r="S142" t="s">
        <v>74</v>
      </c>
      <c r="T142" t="s">
        <v>2958</v>
      </c>
      <c r="U142" t="s">
        <v>74</v>
      </c>
      <c r="V142" t="s">
        <v>2959</v>
      </c>
      <c r="W142" t="s">
        <v>2960</v>
      </c>
      <c r="X142" t="s">
        <v>2961</v>
      </c>
      <c r="Y142" t="s">
        <v>2962</v>
      </c>
      <c r="Z142" t="s">
        <v>2963</v>
      </c>
      <c r="AA142" t="s">
        <v>2964</v>
      </c>
      <c r="AB142" t="s">
        <v>2965</v>
      </c>
      <c r="AC142" t="s">
        <v>2966</v>
      </c>
      <c r="AD142" t="s">
        <v>2967</v>
      </c>
      <c r="AE142" t="s">
        <v>2968</v>
      </c>
      <c r="AF142" t="s">
        <v>74</v>
      </c>
      <c r="AG142">
        <v>50</v>
      </c>
      <c r="AH142">
        <v>0</v>
      </c>
      <c r="AI142">
        <v>0</v>
      </c>
      <c r="AJ142">
        <v>24</v>
      </c>
      <c r="AK142">
        <v>24</v>
      </c>
      <c r="AL142" t="s">
        <v>426</v>
      </c>
      <c r="AM142" t="s">
        <v>427</v>
      </c>
      <c r="AN142" t="s">
        <v>428</v>
      </c>
      <c r="AO142" t="s">
        <v>1785</v>
      </c>
      <c r="AP142" t="s">
        <v>1786</v>
      </c>
      <c r="AQ142" t="s">
        <v>74</v>
      </c>
      <c r="AR142" t="s">
        <v>1787</v>
      </c>
      <c r="AS142" t="s">
        <v>1788</v>
      </c>
      <c r="AT142" t="s">
        <v>2858</v>
      </c>
      <c r="AU142">
        <v>2023</v>
      </c>
      <c r="AV142" t="s">
        <v>74</v>
      </c>
      <c r="AW142" t="s">
        <v>74</v>
      </c>
      <c r="AX142" t="s">
        <v>74</v>
      </c>
      <c r="AY142" t="s">
        <v>74</v>
      </c>
      <c r="AZ142" t="s">
        <v>74</v>
      </c>
      <c r="BA142" t="s">
        <v>74</v>
      </c>
      <c r="BB142" t="s">
        <v>74</v>
      </c>
      <c r="BC142" t="s">
        <v>74</v>
      </c>
      <c r="BD142" t="s">
        <v>74</v>
      </c>
      <c r="BE142" t="s">
        <v>2969</v>
      </c>
      <c r="BF142" t="str">
        <f>HYPERLINK("http://dx.doi.org/10.1002/adma.202302771","http://dx.doi.org/10.1002/adma.202302771")</f>
        <v>http://dx.doi.org/10.1002/adma.202302771</v>
      </c>
      <c r="BG142" t="s">
        <v>74</v>
      </c>
      <c r="BH142" t="s">
        <v>407</v>
      </c>
      <c r="BI142">
        <v>8</v>
      </c>
      <c r="BJ142" t="s">
        <v>609</v>
      </c>
      <c r="BK142" t="s">
        <v>119</v>
      </c>
      <c r="BL142" t="s">
        <v>610</v>
      </c>
      <c r="BM142" t="s">
        <v>2970</v>
      </c>
      <c r="BN142">
        <v>37278254</v>
      </c>
      <c r="BO142" t="s">
        <v>74</v>
      </c>
      <c r="BP142" t="s">
        <v>74</v>
      </c>
      <c r="BQ142" t="s">
        <v>74</v>
      </c>
      <c r="BR142" t="s">
        <v>99</v>
      </c>
      <c r="BS142" t="s">
        <v>2971</v>
      </c>
      <c r="BT142" t="str">
        <f>HYPERLINK("https%3A%2F%2Fwww.webofscience.com%2Fwos%2Fwoscc%2Ffull-record%2FWOS:001065923000001","View Full Record in Web of Science")</f>
        <v>View Full Record in Web of Science</v>
      </c>
    </row>
    <row r="143" spans="1:72" x14ac:dyDescent="0.15">
      <c r="A143" t="s">
        <v>72</v>
      </c>
      <c r="B143" t="s">
        <v>2972</v>
      </c>
      <c r="C143" t="s">
        <v>74</v>
      </c>
      <c r="D143" t="s">
        <v>74</v>
      </c>
      <c r="E143" t="s">
        <v>74</v>
      </c>
      <c r="F143" t="s">
        <v>2973</v>
      </c>
      <c r="G143" t="s">
        <v>74</v>
      </c>
      <c r="H143" t="s">
        <v>74</v>
      </c>
      <c r="I143" t="s">
        <v>2974</v>
      </c>
      <c r="J143" t="s">
        <v>1001</v>
      </c>
      <c r="K143" t="s">
        <v>74</v>
      </c>
      <c r="L143" t="s">
        <v>74</v>
      </c>
      <c r="M143" t="s">
        <v>78</v>
      </c>
      <c r="N143" t="s">
        <v>594</v>
      </c>
      <c r="O143" t="s">
        <v>74</v>
      </c>
      <c r="P143" t="s">
        <v>74</v>
      </c>
      <c r="Q143" t="s">
        <v>74</v>
      </c>
      <c r="R143" t="s">
        <v>74</v>
      </c>
      <c r="S143" t="s">
        <v>74</v>
      </c>
      <c r="T143" t="s">
        <v>2975</v>
      </c>
      <c r="U143" t="s">
        <v>2976</v>
      </c>
      <c r="V143" t="s">
        <v>2977</v>
      </c>
      <c r="W143" t="s">
        <v>2978</v>
      </c>
      <c r="X143" t="s">
        <v>2979</v>
      </c>
      <c r="Y143" t="s">
        <v>2980</v>
      </c>
      <c r="Z143" t="s">
        <v>2981</v>
      </c>
      <c r="AA143" t="s">
        <v>74</v>
      </c>
      <c r="AB143" t="s">
        <v>2982</v>
      </c>
      <c r="AC143" t="s">
        <v>2983</v>
      </c>
      <c r="AD143" t="s">
        <v>2984</v>
      </c>
      <c r="AE143" t="s">
        <v>2985</v>
      </c>
      <c r="AF143" t="s">
        <v>74</v>
      </c>
      <c r="AG143">
        <v>160</v>
      </c>
      <c r="AH143">
        <v>0</v>
      </c>
      <c r="AI143">
        <v>0</v>
      </c>
      <c r="AJ143">
        <v>4</v>
      </c>
      <c r="AK143">
        <v>4</v>
      </c>
      <c r="AL143" t="s">
        <v>426</v>
      </c>
      <c r="AM143" t="s">
        <v>427</v>
      </c>
      <c r="AN143" t="s">
        <v>428</v>
      </c>
      <c r="AO143" t="s">
        <v>1014</v>
      </c>
      <c r="AP143" t="s">
        <v>1015</v>
      </c>
      <c r="AQ143" t="s">
        <v>74</v>
      </c>
      <c r="AR143" t="s">
        <v>1016</v>
      </c>
      <c r="AS143" t="s">
        <v>1017</v>
      </c>
      <c r="AT143" t="s">
        <v>2858</v>
      </c>
      <c r="AU143">
        <v>2023</v>
      </c>
      <c r="AV143" t="s">
        <v>74</v>
      </c>
      <c r="AW143" t="s">
        <v>74</v>
      </c>
      <c r="AX143" t="s">
        <v>74</v>
      </c>
      <c r="AY143" t="s">
        <v>74</v>
      </c>
      <c r="AZ143" t="s">
        <v>74</v>
      </c>
      <c r="BA143" t="s">
        <v>74</v>
      </c>
      <c r="BB143" t="s">
        <v>74</v>
      </c>
      <c r="BC143" t="s">
        <v>74</v>
      </c>
      <c r="BD143" t="s">
        <v>74</v>
      </c>
      <c r="BE143" t="s">
        <v>2986</v>
      </c>
      <c r="BF143" t="str">
        <f>HYPERLINK("http://dx.doi.org/10.1002/anie.202311138","http://dx.doi.org/10.1002/anie.202311138")</f>
        <v>http://dx.doi.org/10.1002/anie.202311138</v>
      </c>
      <c r="BG143" t="s">
        <v>74</v>
      </c>
      <c r="BH143" t="s">
        <v>407</v>
      </c>
      <c r="BI143">
        <v>18</v>
      </c>
      <c r="BJ143" t="s">
        <v>523</v>
      </c>
      <c r="BK143" t="s">
        <v>119</v>
      </c>
      <c r="BL143" t="s">
        <v>524</v>
      </c>
      <c r="BM143" t="s">
        <v>2987</v>
      </c>
      <c r="BN143">
        <v>37615530</v>
      </c>
      <c r="BO143" t="s">
        <v>74</v>
      </c>
      <c r="BP143" t="s">
        <v>74</v>
      </c>
      <c r="BQ143" t="s">
        <v>74</v>
      </c>
      <c r="BR143" t="s">
        <v>99</v>
      </c>
      <c r="BS143" t="s">
        <v>2988</v>
      </c>
      <c r="BT143" t="str">
        <f>HYPERLINK("https%3A%2F%2Fwww.webofscience.com%2Fwos%2Fwoscc%2Ffull-record%2FWOS:001065646800001","View Full Record in Web of Science")</f>
        <v>View Full Record in Web of Science</v>
      </c>
    </row>
    <row r="144" spans="1:72" x14ac:dyDescent="0.15">
      <c r="A144" t="s">
        <v>72</v>
      </c>
      <c r="B144" t="s">
        <v>2989</v>
      </c>
      <c r="C144" t="s">
        <v>74</v>
      </c>
      <c r="D144" t="s">
        <v>74</v>
      </c>
      <c r="E144" t="s">
        <v>74</v>
      </c>
      <c r="F144" t="s">
        <v>2990</v>
      </c>
      <c r="G144" t="s">
        <v>74</v>
      </c>
      <c r="H144" t="s">
        <v>74</v>
      </c>
      <c r="I144" t="s">
        <v>2991</v>
      </c>
      <c r="J144" t="s">
        <v>593</v>
      </c>
      <c r="K144" t="s">
        <v>74</v>
      </c>
      <c r="L144" t="s">
        <v>74</v>
      </c>
      <c r="M144" t="s">
        <v>78</v>
      </c>
      <c r="N144" t="s">
        <v>338</v>
      </c>
      <c r="O144" t="s">
        <v>74</v>
      </c>
      <c r="P144" t="s">
        <v>74</v>
      </c>
      <c r="Q144" t="s">
        <v>74</v>
      </c>
      <c r="R144" t="s">
        <v>74</v>
      </c>
      <c r="S144" t="s">
        <v>74</v>
      </c>
      <c r="T144" t="s">
        <v>2992</v>
      </c>
      <c r="U144" t="s">
        <v>2993</v>
      </c>
      <c r="V144" t="s">
        <v>2994</v>
      </c>
      <c r="W144" t="s">
        <v>2995</v>
      </c>
      <c r="X144" t="s">
        <v>2996</v>
      </c>
      <c r="Y144" t="s">
        <v>2997</v>
      </c>
      <c r="Z144" t="s">
        <v>2998</v>
      </c>
      <c r="AA144" t="s">
        <v>2999</v>
      </c>
      <c r="AB144" t="s">
        <v>3000</v>
      </c>
      <c r="AC144" t="s">
        <v>3001</v>
      </c>
      <c r="AD144" t="s">
        <v>3002</v>
      </c>
      <c r="AE144" t="s">
        <v>3003</v>
      </c>
      <c r="AF144" t="s">
        <v>74</v>
      </c>
      <c r="AG144">
        <v>57</v>
      </c>
      <c r="AH144">
        <v>0</v>
      </c>
      <c r="AI144">
        <v>0</v>
      </c>
      <c r="AJ144">
        <v>12</v>
      </c>
      <c r="AK144">
        <v>12</v>
      </c>
      <c r="AL144" t="s">
        <v>426</v>
      </c>
      <c r="AM144" t="s">
        <v>427</v>
      </c>
      <c r="AN144" t="s">
        <v>428</v>
      </c>
      <c r="AO144" t="s">
        <v>605</v>
      </c>
      <c r="AP144" t="s">
        <v>606</v>
      </c>
      <c r="AQ144" t="s">
        <v>74</v>
      </c>
      <c r="AR144" t="s">
        <v>593</v>
      </c>
      <c r="AS144" t="s">
        <v>607</v>
      </c>
      <c r="AT144" t="s">
        <v>2858</v>
      </c>
      <c r="AU144">
        <v>2023</v>
      </c>
      <c r="AV144" t="s">
        <v>74</v>
      </c>
      <c r="AW144" t="s">
        <v>74</v>
      </c>
      <c r="AX144" t="s">
        <v>74</v>
      </c>
      <c r="AY144" t="s">
        <v>74</v>
      </c>
      <c r="AZ144" t="s">
        <v>74</v>
      </c>
      <c r="BA144" t="s">
        <v>74</v>
      </c>
      <c r="BB144" t="s">
        <v>74</v>
      </c>
      <c r="BC144" t="s">
        <v>74</v>
      </c>
      <c r="BD144" t="s">
        <v>74</v>
      </c>
      <c r="BE144" t="s">
        <v>3004</v>
      </c>
      <c r="BF144" t="str">
        <f>HYPERLINK("http://dx.doi.org/10.1002/smll.202305772","http://dx.doi.org/10.1002/smll.202305772")</f>
        <v>http://dx.doi.org/10.1002/smll.202305772</v>
      </c>
      <c r="BG144" t="s">
        <v>74</v>
      </c>
      <c r="BH144" t="s">
        <v>407</v>
      </c>
      <c r="BI144">
        <v>9</v>
      </c>
      <c r="BJ144" t="s">
        <v>609</v>
      </c>
      <c r="BK144" t="s">
        <v>119</v>
      </c>
      <c r="BL144" t="s">
        <v>610</v>
      </c>
      <c r="BM144" t="s">
        <v>3005</v>
      </c>
      <c r="BN144">
        <v>37712152</v>
      </c>
      <c r="BO144" t="s">
        <v>74</v>
      </c>
      <c r="BP144" t="s">
        <v>74</v>
      </c>
      <c r="BQ144" t="s">
        <v>74</v>
      </c>
      <c r="BR144" t="s">
        <v>99</v>
      </c>
      <c r="BS144" t="s">
        <v>3006</v>
      </c>
      <c r="BT144" t="str">
        <f>HYPERLINK("https%3A%2F%2Fwww.webofscience.com%2Fwos%2Fwoscc%2Ffull-record%2FWOS:001065549700001","View Full Record in Web of Science")</f>
        <v>View Full Record in Web of Science</v>
      </c>
    </row>
    <row r="145" spans="1:72" x14ac:dyDescent="0.15">
      <c r="A145" t="s">
        <v>72</v>
      </c>
      <c r="B145" t="s">
        <v>3007</v>
      </c>
      <c r="C145" t="s">
        <v>74</v>
      </c>
      <c r="D145" t="s">
        <v>74</v>
      </c>
      <c r="E145" t="s">
        <v>74</v>
      </c>
      <c r="F145" t="s">
        <v>3008</v>
      </c>
      <c r="G145" t="s">
        <v>74</v>
      </c>
      <c r="H145" t="s">
        <v>74</v>
      </c>
      <c r="I145" t="s">
        <v>3009</v>
      </c>
      <c r="J145" t="s">
        <v>1568</v>
      </c>
      <c r="K145" t="s">
        <v>74</v>
      </c>
      <c r="L145" t="s">
        <v>74</v>
      </c>
      <c r="M145" t="s">
        <v>78</v>
      </c>
      <c r="N145" t="s">
        <v>338</v>
      </c>
      <c r="O145" t="s">
        <v>74</v>
      </c>
      <c r="P145" t="s">
        <v>74</v>
      </c>
      <c r="Q145" t="s">
        <v>74</v>
      </c>
      <c r="R145" t="s">
        <v>74</v>
      </c>
      <c r="S145" t="s">
        <v>74</v>
      </c>
      <c r="T145" t="s">
        <v>3010</v>
      </c>
      <c r="U145" t="s">
        <v>3011</v>
      </c>
      <c r="V145" t="s">
        <v>3012</v>
      </c>
      <c r="W145" t="s">
        <v>3013</v>
      </c>
      <c r="X145" t="s">
        <v>3014</v>
      </c>
      <c r="Y145" t="s">
        <v>3015</v>
      </c>
      <c r="Z145" t="s">
        <v>3016</v>
      </c>
      <c r="AA145" t="s">
        <v>74</v>
      </c>
      <c r="AB145" t="s">
        <v>3017</v>
      </c>
      <c r="AC145" t="s">
        <v>74</v>
      </c>
      <c r="AD145" t="s">
        <v>74</v>
      </c>
      <c r="AE145" t="s">
        <v>74</v>
      </c>
      <c r="AF145" t="s">
        <v>74</v>
      </c>
      <c r="AG145">
        <v>30</v>
      </c>
      <c r="AH145">
        <v>0</v>
      </c>
      <c r="AI145">
        <v>0</v>
      </c>
      <c r="AJ145">
        <v>0</v>
      </c>
      <c r="AK145">
        <v>0</v>
      </c>
      <c r="AL145" t="s">
        <v>87</v>
      </c>
      <c r="AM145" t="s">
        <v>88</v>
      </c>
      <c r="AN145" t="s">
        <v>89</v>
      </c>
      <c r="AO145" t="s">
        <v>1578</v>
      </c>
      <c r="AP145" t="s">
        <v>74</v>
      </c>
      <c r="AQ145" t="s">
        <v>74</v>
      </c>
      <c r="AR145" t="s">
        <v>1579</v>
      </c>
      <c r="AS145" t="s">
        <v>1580</v>
      </c>
      <c r="AT145" t="s">
        <v>2858</v>
      </c>
      <c r="AU145">
        <v>2023</v>
      </c>
      <c r="AV145" t="s">
        <v>74</v>
      </c>
      <c r="AW145" t="s">
        <v>74</v>
      </c>
      <c r="AX145" t="s">
        <v>74</v>
      </c>
      <c r="AY145" t="s">
        <v>74</v>
      </c>
      <c r="AZ145" t="s">
        <v>74</v>
      </c>
      <c r="BA145" t="s">
        <v>74</v>
      </c>
      <c r="BB145" t="s">
        <v>74</v>
      </c>
      <c r="BC145" t="s">
        <v>74</v>
      </c>
      <c r="BD145" t="s">
        <v>74</v>
      </c>
      <c r="BE145" t="s">
        <v>3018</v>
      </c>
      <c r="BF145" t="str">
        <f>HYPERLINK("http://dx.doi.org/10.1002/cam4.6489","http://dx.doi.org/10.1002/cam4.6489")</f>
        <v>http://dx.doi.org/10.1002/cam4.6489</v>
      </c>
      <c r="BG145" t="s">
        <v>74</v>
      </c>
      <c r="BH145" t="s">
        <v>407</v>
      </c>
      <c r="BI145">
        <v>12</v>
      </c>
      <c r="BJ145" t="s">
        <v>789</v>
      </c>
      <c r="BK145" t="s">
        <v>119</v>
      </c>
      <c r="BL145" t="s">
        <v>789</v>
      </c>
      <c r="BM145" t="s">
        <v>3019</v>
      </c>
      <c r="BN145">
        <v>37712718</v>
      </c>
      <c r="BO145" t="s">
        <v>234</v>
      </c>
      <c r="BP145" t="s">
        <v>74</v>
      </c>
      <c r="BQ145" t="s">
        <v>74</v>
      </c>
      <c r="BR145" t="s">
        <v>99</v>
      </c>
      <c r="BS145" t="s">
        <v>3020</v>
      </c>
      <c r="BT145" t="str">
        <f>HYPERLINK("https%3A%2F%2Fwww.webofscience.com%2Fwos%2Fwoscc%2Ffull-record%2FWOS:001068203900001","View Full Record in Web of Science")</f>
        <v>View Full Record in Web of Science</v>
      </c>
    </row>
    <row r="146" spans="1:72" x14ac:dyDescent="0.15">
      <c r="A146" t="s">
        <v>72</v>
      </c>
      <c r="B146" t="s">
        <v>3021</v>
      </c>
      <c r="C146" t="s">
        <v>74</v>
      </c>
      <c r="D146" t="s">
        <v>74</v>
      </c>
      <c r="E146" t="s">
        <v>74</v>
      </c>
      <c r="F146" t="s">
        <v>3022</v>
      </c>
      <c r="G146" t="s">
        <v>74</v>
      </c>
      <c r="H146" t="s">
        <v>74</v>
      </c>
      <c r="I146" t="s">
        <v>3023</v>
      </c>
      <c r="J146" t="s">
        <v>3024</v>
      </c>
      <c r="K146" t="s">
        <v>74</v>
      </c>
      <c r="L146" t="s">
        <v>74</v>
      </c>
      <c r="M146" t="s">
        <v>78</v>
      </c>
      <c r="N146" t="s">
        <v>338</v>
      </c>
      <c r="O146" t="s">
        <v>74</v>
      </c>
      <c r="P146" t="s">
        <v>74</v>
      </c>
      <c r="Q146" t="s">
        <v>74</v>
      </c>
      <c r="R146" t="s">
        <v>74</v>
      </c>
      <c r="S146" t="s">
        <v>74</v>
      </c>
      <c r="T146" t="s">
        <v>3025</v>
      </c>
      <c r="U146" t="s">
        <v>74</v>
      </c>
      <c r="V146" t="s">
        <v>3026</v>
      </c>
      <c r="W146" t="s">
        <v>3027</v>
      </c>
      <c r="X146" t="s">
        <v>3028</v>
      </c>
      <c r="Y146" t="s">
        <v>3029</v>
      </c>
      <c r="Z146" t="s">
        <v>3030</v>
      </c>
      <c r="AA146" t="s">
        <v>74</v>
      </c>
      <c r="AB146" t="s">
        <v>74</v>
      </c>
      <c r="AC146" t="s">
        <v>74</v>
      </c>
      <c r="AD146" t="s">
        <v>74</v>
      </c>
      <c r="AE146" t="s">
        <v>74</v>
      </c>
      <c r="AF146" t="s">
        <v>74</v>
      </c>
      <c r="AG146">
        <v>19</v>
      </c>
      <c r="AH146">
        <v>0</v>
      </c>
      <c r="AI146">
        <v>0</v>
      </c>
      <c r="AJ146">
        <v>0</v>
      </c>
      <c r="AK146">
        <v>0</v>
      </c>
      <c r="AL146" t="s">
        <v>87</v>
      </c>
      <c r="AM146" t="s">
        <v>88</v>
      </c>
      <c r="AN146" t="s">
        <v>89</v>
      </c>
      <c r="AO146" t="s">
        <v>74</v>
      </c>
      <c r="AP146" t="s">
        <v>3031</v>
      </c>
      <c r="AQ146" t="s">
        <v>74</v>
      </c>
      <c r="AR146" t="s">
        <v>3032</v>
      </c>
      <c r="AS146" t="s">
        <v>3033</v>
      </c>
      <c r="AT146" t="s">
        <v>2858</v>
      </c>
      <c r="AU146">
        <v>2023</v>
      </c>
      <c r="AV146" t="s">
        <v>74</v>
      </c>
      <c r="AW146" t="s">
        <v>74</v>
      </c>
      <c r="AX146" t="s">
        <v>74</v>
      </c>
      <c r="AY146" t="s">
        <v>74</v>
      </c>
      <c r="AZ146" t="s">
        <v>74</v>
      </c>
      <c r="BA146" t="s">
        <v>74</v>
      </c>
      <c r="BB146" t="s">
        <v>74</v>
      </c>
      <c r="BC146" t="s">
        <v>74</v>
      </c>
      <c r="BD146" t="s">
        <v>74</v>
      </c>
      <c r="BE146" t="s">
        <v>3034</v>
      </c>
      <c r="BF146" t="str">
        <f>HYPERLINK("http://dx.doi.org/10.1049/cps2.12075","http://dx.doi.org/10.1049/cps2.12075")</f>
        <v>http://dx.doi.org/10.1049/cps2.12075</v>
      </c>
      <c r="BG146" t="s">
        <v>74</v>
      </c>
      <c r="BH146" t="s">
        <v>407</v>
      </c>
      <c r="BI146">
        <v>12</v>
      </c>
      <c r="BJ146" t="s">
        <v>3035</v>
      </c>
      <c r="BK146" t="s">
        <v>96</v>
      </c>
      <c r="BL146" t="s">
        <v>3036</v>
      </c>
      <c r="BM146" t="s">
        <v>3037</v>
      </c>
      <c r="BN146" t="s">
        <v>74</v>
      </c>
      <c r="BO146" t="s">
        <v>234</v>
      </c>
      <c r="BP146" t="s">
        <v>74</v>
      </c>
      <c r="BQ146" t="s">
        <v>74</v>
      </c>
      <c r="BR146" t="s">
        <v>99</v>
      </c>
      <c r="BS146" t="s">
        <v>3038</v>
      </c>
      <c r="BT146" t="str">
        <f>HYPERLINK("https%3A%2F%2Fwww.webofscience.com%2Fwos%2Fwoscc%2Ffull-record%2FWOS:001066719900001","View Full Record in Web of Science")</f>
        <v>View Full Record in Web of Science</v>
      </c>
    </row>
    <row r="147" spans="1:72" x14ac:dyDescent="0.15">
      <c r="A147" t="s">
        <v>72</v>
      </c>
      <c r="B147" t="s">
        <v>3039</v>
      </c>
      <c r="C147" t="s">
        <v>74</v>
      </c>
      <c r="D147" t="s">
        <v>74</v>
      </c>
      <c r="E147" t="s">
        <v>74</v>
      </c>
      <c r="F147" t="s">
        <v>3040</v>
      </c>
      <c r="G147" t="s">
        <v>74</v>
      </c>
      <c r="H147" t="s">
        <v>74</v>
      </c>
      <c r="I147" t="s">
        <v>3041</v>
      </c>
      <c r="J147" t="s">
        <v>3042</v>
      </c>
      <c r="K147" t="s">
        <v>74</v>
      </c>
      <c r="L147" t="s">
        <v>74</v>
      </c>
      <c r="M147" t="s">
        <v>78</v>
      </c>
      <c r="N147" t="s">
        <v>338</v>
      </c>
      <c r="O147" t="s">
        <v>74</v>
      </c>
      <c r="P147" t="s">
        <v>74</v>
      </c>
      <c r="Q147" t="s">
        <v>74</v>
      </c>
      <c r="R147" t="s">
        <v>74</v>
      </c>
      <c r="S147" t="s">
        <v>74</v>
      </c>
      <c r="T147" t="s">
        <v>3043</v>
      </c>
      <c r="U147" t="s">
        <v>3044</v>
      </c>
      <c r="V147" t="s">
        <v>3045</v>
      </c>
      <c r="W147" t="s">
        <v>3046</v>
      </c>
      <c r="X147" t="s">
        <v>3047</v>
      </c>
      <c r="Y147" t="s">
        <v>3048</v>
      </c>
      <c r="Z147" t="s">
        <v>3049</v>
      </c>
      <c r="AA147" t="s">
        <v>74</v>
      </c>
      <c r="AB147" t="s">
        <v>3050</v>
      </c>
      <c r="AC147" t="s">
        <v>3051</v>
      </c>
      <c r="AD147" t="s">
        <v>3052</v>
      </c>
      <c r="AE147" t="s">
        <v>3053</v>
      </c>
      <c r="AF147" t="s">
        <v>74</v>
      </c>
      <c r="AG147">
        <v>66</v>
      </c>
      <c r="AH147">
        <v>0</v>
      </c>
      <c r="AI147">
        <v>0</v>
      </c>
      <c r="AJ147">
        <v>0</v>
      </c>
      <c r="AK147">
        <v>0</v>
      </c>
      <c r="AL147" t="s">
        <v>87</v>
      </c>
      <c r="AM147" t="s">
        <v>88</v>
      </c>
      <c r="AN147" t="s">
        <v>89</v>
      </c>
      <c r="AO147" t="s">
        <v>3054</v>
      </c>
      <c r="AP147" t="s">
        <v>3055</v>
      </c>
      <c r="AQ147" t="s">
        <v>74</v>
      </c>
      <c r="AR147" t="s">
        <v>3056</v>
      </c>
      <c r="AS147" t="s">
        <v>3057</v>
      </c>
      <c r="AT147" t="s">
        <v>2858</v>
      </c>
      <c r="AU147">
        <v>2023</v>
      </c>
      <c r="AV147" t="s">
        <v>74</v>
      </c>
      <c r="AW147" t="s">
        <v>74</v>
      </c>
      <c r="AX147" t="s">
        <v>74</v>
      </c>
      <c r="AY147" t="s">
        <v>74</v>
      </c>
      <c r="AZ147" t="s">
        <v>74</v>
      </c>
      <c r="BA147" t="s">
        <v>74</v>
      </c>
      <c r="BB147" t="s">
        <v>74</v>
      </c>
      <c r="BC147" t="s">
        <v>74</v>
      </c>
      <c r="BD147" t="s">
        <v>74</v>
      </c>
      <c r="BE147" t="s">
        <v>3058</v>
      </c>
      <c r="BF147" t="str">
        <f>HYPERLINK("http://dx.doi.org/10.1111/risa.14218","http://dx.doi.org/10.1111/risa.14218")</f>
        <v>http://dx.doi.org/10.1111/risa.14218</v>
      </c>
      <c r="BG147" t="s">
        <v>74</v>
      </c>
      <c r="BH147" t="s">
        <v>407</v>
      </c>
      <c r="BI147">
        <v>21</v>
      </c>
      <c r="BJ147" t="s">
        <v>3059</v>
      </c>
      <c r="BK147" t="s">
        <v>409</v>
      </c>
      <c r="BL147" t="s">
        <v>3060</v>
      </c>
      <c r="BM147" t="s">
        <v>3061</v>
      </c>
      <c r="BN147">
        <v>37712296</v>
      </c>
      <c r="BO147" t="s">
        <v>122</v>
      </c>
      <c r="BP147" t="s">
        <v>74</v>
      </c>
      <c r="BQ147" t="s">
        <v>74</v>
      </c>
      <c r="BR147" t="s">
        <v>99</v>
      </c>
      <c r="BS147" t="s">
        <v>3062</v>
      </c>
      <c r="BT147" t="str">
        <f>HYPERLINK("https%3A%2F%2Fwww.webofscience.com%2Fwos%2Fwoscc%2Ffull-record%2FWOS:001067128900001","View Full Record in Web of Science")</f>
        <v>View Full Record in Web of Science</v>
      </c>
    </row>
    <row r="148" spans="1:72" x14ac:dyDescent="0.15">
      <c r="A148" t="s">
        <v>72</v>
      </c>
      <c r="B148" t="s">
        <v>3063</v>
      </c>
      <c r="C148" t="s">
        <v>74</v>
      </c>
      <c r="D148" t="s">
        <v>74</v>
      </c>
      <c r="E148" t="s">
        <v>74</v>
      </c>
      <c r="F148" t="s">
        <v>3064</v>
      </c>
      <c r="G148" t="s">
        <v>74</v>
      </c>
      <c r="H148" t="s">
        <v>74</v>
      </c>
      <c r="I148" t="s">
        <v>3065</v>
      </c>
      <c r="J148" t="s">
        <v>593</v>
      </c>
      <c r="K148" t="s">
        <v>74</v>
      </c>
      <c r="L148" t="s">
        <v>74</v>
      </c>
      <c r="M148" t="s">
        <v>78</v>
      </c>
      <c r="N148" t="s">
        <v>338</v>
      </c>
      <c r="O148" t="s">
        <v>74</v>
      </c>
      <c r="P148" t="s">
        <v>74</v>
      </c>
      <c r="Q148" t="s">
        <v>74</v>
      </c>
      <c r="R148" t="s">
        <v>74</v>
      </c>
      <c r="S148" t="s">
        <v>74</v>
      </c>
      <c r="T148" t="s">
        <v>3066</v>
      </c>
      <c r="U148" t="s">
        <v>3067</v>
      </c>
      <c r="V148" t="s">
        <v>3068</v>
      </c>
      <c r="W148" t="s">
        <v>3069</v>
      </c>
      <c r="X148" t="s">
        <v>3070</v>
      </c>
      <c r="Y148" t="s">
        <v>3071</v>
      </c>
      <c r="Z148" t="s">
        <v>3072</v>
      </c>
      <c r="AA148" t="s">
        <v>74</v>
      </c>
      <c r="AB148" t="s">
        <v>74</v>
      </c>
      <c r="AC148" t="s">
        <v>3073</v>
      </c>
      <c r="AD148" t="s">
        <v>3074</v>
      </c>
      <c r="AE148" t="s">
        <v>3075</v>
      </c>
      <c r="AF148" t="s">
        <v>74</v>
      </c>
      <c r="AG148">
        <v>46</v>
      </c>
      <c r="AH148">
        <v>0</v>
      </c>
      <c r="AI148">
        <v>0</v>
      </c>
      <c r="AJ148">
        <v>0</v>
      </c>
      <c r="AK148">
        <v>0</v>
      </c>
      <c r="AL148" t="s">
        <v>426</v>
      </c>
      <c r="AM148" t="s">
        <v>427</v>
      </c>
      <c r="AN148" t="s">
        <v>428</v>
      </c>
      <c r="AO148" t="s">
        <v>605</v>
      </c>
      <c r="AP148" t="s">
        <v>606</v>
      </c>
      <c r="AQ148" t="s">
        <v>74</v>
      </c>
      <c r="AR148" t="s">
        <v>593</v>
      </c>
      <c r="AS148" t="s">
        <v>607</v>
      </c>
      <c r="AT148" t="s">
        <v>2858</v>
      </c>
      <c r="AU148">
        <v>2023</v>
      </c>
      <c r="AV148" t="s">
        <v>74</v>
      </c>
      <c r="AW148" t="s">
        <v>74</v>
      </c>
      <c r="AX148" t="s">
        <v>74</v>
      </c>
      <c r="AY148" t="s">
        <v>74</v>
      </c>
      <c r="AZ148" t="s">
        <v>74</v>
      </c>
      <c r="BA148" t="s">
        <v>74</v>
      </c>
      <c r="BB148" t="s">
        <v>74</v>
      </c>
      <c r="BC148" t="s">
        <v>74</v>
      </c>
      <c r="BD148" t="s">
        <v>74</v>
      </c>
      <c r="BE148" t="s">
        <v>3076</v>
      </c>
      <c r="BF148" t="str">
        <f>HYPERLINK("http://dx.doi.org/10.1002/smll.202305748","http://dx.doi.org/10.1002/smll.202305748")</f>
        <v>http://dx.doi.org/10.1002/smll.202305748</v>
      </c>
      <c r="BG148" t="s">
        <v>74</v>
      </c>
      <c r="BH148" t="s">
        <v>407</v>
      </c>
      <c r="BI148">
        <v>13</v>
      </c>
      <c r="BJ148" t="s">
        <v>609</v>
      </c>
      <c r="BK148" t="s">
        <v>119</v>
      </c>
      <c r="BL148" t="s">
        <v>610</v>
      </c>
      <c r="BM148" t="s">
        <v>3077</v>
      </c>
      <c r="BN148">
        <v>37712175</v>
      </c>
      <c r="BO148" t="s">
        <v>301</v>
      </c>
      <c r="BP148" t="s">
        <v>74</v>
      </c>
      <c r="BQ148" t="s">
        <v>74</v>
      </c>
      <c r="BR148" t="s">
        <v>99</v>
      </c>
      <c r="BS148" t="s">
        <v>3078</v>
      </c>
      <c r="BT148" t="str">
        <f>HYPERLINK("https%3A%2F%2Fwww.webofscience.com%2Fwos%2Fwoscc%2Ffull-record%2FWOS:001065543100001","View Full Record in Web of Science")</f>
        <v>View Full Record in Web of Science</v>
      </c>
    </row>
    <row r="149" spans="1:72" x14ac:dyDescent="0.15">
      <c r="A149" t="s">
        <v>72</v>
      </c>
      <c r="B149" t="s">
        <v>3079</v>
      </c>
      <c r="C149" t="s">
        <v>74</v>
      </c>
      <c r="D149" t="s">
        <v>74</v>
      </c>
      <c r="E149" t="s">
        <v>74</v>
      </c>
      <c r="F149" t="s">
        <v>3080</v>
      </c>
      <c r="G149" t="s">
        <v>74</v>
      </c>
      <c r="H149" t="s">
        <v>74</v>
      </c>
      <c r="I149" t="s">
        <v>3081</v>
      </c>
      <c r="J149" t="s">
        <v>1568</v>
      </c>
      <c r="K149" t="s">
        <v>74</v>
      </c>
      <c r="L149" t="s">
        <v>74</v>
      </c>
      <c r="M149" t="s">
        <v>78</v>
      </c>
      <c r="N149" t="s">
        <v>338</v>
      </c>
      <c r="O149" t="s">
        <v>74</v>
      </c>
      <c r="P149" t="s">
        <v>74</v>
      </c>
      <c r="Q149" t="s">
        <v>74</v>
      </c>
      <c r="R149" t="s">
        <v>74</v>
      </c>
      <c r="S149" t="s">
        <v>74</v>
      </c>
      <c r="T149" t="s">
        <v>3082</v>
      </c>
      <c r="U149" t="s">
        <v>3083</v>
      </c>
      <c r="V149" t="s">
        <v>3084</v>
      </c>
      <c r="W149" t="s">
        <v>3085</v>
      </c>
      <c r="X149" t="s">
        <v>3086</v>
      </c>
      <c r="Y149" t="s">
        <v>3087</v>
      </c>
      <c r="Z149" t="s">
        <v>3088</v>
      </c>
      <c r="AA149" t="s">
        <v>74</v>
      </c>
      <c r="AB149" t="s">
        <v>3089</v>
      </c>
      <c r="AC149" t="s">
        <v>3090</v>
      </c>
      <c r="AD149" t="s">
        <v>3090</v>
      </c>
      <c r="AE149" t="s">
        <v>3090</v>
      </c>
      <c r="AF149" t="s">
        <v>74</v>
      </c>
      <c r="AG149">
        <v>28</v>
      </c>
      <c r="AH149">
        <v>0</v>
      </c>
      <c r="AI149">
        <v>0</v>
      </c>
      <c r="AJ149">
        <v>0</v>
      </c>
      <c r="AK149">
        <v>0</v>
      </c>
      <c r="AL149" t="s">
        <v>87</v>
      </c>
      <c r="AM149" t="s">
        <v>88</v>
      </c>
      <c r="AN149" t="s">
        <v>89</v>
      </c>
      <c r="AO149" t="s">
        <v>1578</v>
      </c>
      <c r="AP149" t="s">
        <v>74</v>
      </c>
      <c r="AQ149" t="s">
        <v>74</v>
      </c>
      <c r="AR149" t="s">
        <v>1579</v>
      </c>
      <c r="AS149" t="s">
        <v>1580</v>
      </c>
      <c r="AT149" t="s">
        <v>2858</v>
      </c>
      <c r="AU149">
        <v>2023</v>
      </c>
      <c r="AV149" t="s">
        <v>74</v>
      </c>
      <c r="AW149" t="s">
        <v>74</v>
      </c>
      <c r="AX149" t="s">
        <v>74</v>
      </c>
      <c r="AY149" t="s">
        <v>74</v>
      </c>
      <c r="AZ149" t="s">
        <v>74</v>
      </c>
      <c r="BA149" t="s">
        <v>74</v>
      </c>
      <c r="BB149" t="s">
        <v>74</v>
      </c>
      <c r="BC149" t="s">
        <v>74</v>
      </c>
      <c r="BD149" t="s">
        <v>74</v>
      </c>
      <c r="BE149" t="s">
        <v>3091</v>
      </c>
      <c r="BF149" t="str">
        <f>HYPERLINK("http://dx.doi.org/10.1002/cam4.6549","http://dx.doi.org/10.1002/cam4.6549")</f>
        <v>http://dx.doi.org/10.1002/cam4.6549</v>
      </c>
      <c r="BG149" t="s">
        <v>74</v>
      </c>
      <c r="BH149" t="s">
        <v>407</v>
      </c>
      <c r="BI149">
        <v>9</v>
      </c>
      <c r="BJ149" t="s">
        <v>789</v>
      </c>
      <c r="BK149" t="s">
        <v>119</v>
      </c>
      <c r="BL149" t="s">
        <v>789</v>
      </c>
      <c r="BM149" t="s">
        <v>3092</v>
      </c>
      <c r="BN149">
        <v>37712645</v>
      </c>
      <c r="BO149" t="s">
        <v>234</v>
      </c>
      <c r="BP149" t="s">
        <v>74</v>
      </c>
      <c r="BQ149" t="s">
        <v>74</v>
      </c>
      <c r="BR149" t="s">
        <v>99</v>
      </c>
      <c r="BS149" t="s">
        <v>3093</v>
      </c>
      <c r="BT149" t="str">
        <f>HYPERLINK("https%3A%2F%2Fwww.webofscience.com%2Fwos%2Fwoscc%2Ffull-record%2FWOS:001067182400001","View Full Record in Web of Science")</f>
        <v>View Full Record in Web of Science</v>
      </c>
    </row>
    <row r="150" spans="1:72" x14ac:dyDescent="0.15">
      <c r="A150" t="s">
        <v>72</v>
      </c>
      <c r="B150" t="s">
        <v>3094</v>
      </c>
      <c r="C150" t="s">
        <v>74</v>
      </c>
      <c r="D150" t="s">
        <v>74</v>
      </c>
      <c r="E150" t="s">
        <v>74</v>
      </c>
      <c r="F150" t="s">
        <v>3095</v>
      </c>
      <c r="G150" t="s">
        <v>74</v>
      </c>
      <c r="H150" t="s">
        <v>74</v>
      </c>
      <c r="I150" t="s">
        <v>3096</v>
      </c>
      <c r="J150" t="s">
        <v>3097</v>
      </c>
      <c r="K150" t="s">
        <v>74</v>
      </c>
      <c r="L150" t="s">
        <v>74</v>
      </c>
      <c r="M150" t="s">
        <v>78</v>
      </c>
      <c r="N150" t="s">
        <v>2419</v>
      </c>
      <c r="O150" t="s">
        <v>74</v>
      </c>
      <c r="P150" t="s">
        <v>74</v>
      </c>
      <c r="Q150" t="s">
        <v>74</v>
      </c>
      <c r="R150" t="s">
        <v>74</v>
      </c>
      <c r="S150" t="s">
        <v>74</v>
      </c>
      <c r="T150" t="s">
        <v>74</v>
      </c>
      <c r="U150" t="s">
        <v>74</v>
      </c>
      <c r="V150" t="s">
        <v>74</v>
      </c>
      <c r="W150" t="s">
        <v>3098</v>
      </c>
      <c r="X150" t="s">
        <v>3099</v>
      </c>
      <c r="Y150" t="s">
        <v>3100</v>
      </c>
      <c r="Z150" t="s">
        <v>3101</v>
      </c>
      <c r="AA150" t="s">
        <v>74</v>
      </c>
      <c r="AB150" t="s">
        <v>74</v>
      </c>
      <c r="AC150" t="s">
        <v>74</v>
      </c>
      <c r="AD150" t="s">
        <v>74</v>
      </c>
      <c r="AE150" t="s">
        <v>74</v>
      </c>
      <c r="AF150" t="s">
        <v>74</v>
      </c>
      <c r="AG150">
        <v>1</v>
      </c>
      <c r="AH150">
        <v>0</v>
      </c>
      <c r="AI150">
        <v>0</v>
      </c>
      <c r="AJ150">
        <v>0</v>
      </c>
      <c r="AK150">
        <v>0</v>
      </c>
      <c r="AL150" t="s">
        <v>87</v>
      </c>
      <c r="AM150" t="s">
        <v>88</v>
      </c>
      <c r="AN150" t="s">
        <v>89</v>
      </c>
      <c r="AO150" t="s">
        <v>3102</v>
      </c>
      <c r="AP150" t="s">
        <v>3103</v>
      </c>
      <c r="AQ150" t="s">
        <v>74</v>
      </c>
      <c r="AR150" t="s">
        <v>3104</v>
      </c>
      <c r="AS150" t="s">
        <v>3105</v>
      </c>
      <c r="AT150" t="s">
        <v>2858</v>
      </c>
      <c r="AU150">
        <v>2023</v>
      </c>
      <c r="AV150" t="s">
        <v>74</v>
      </c>
      <c r="AW150" t="s">
        <v>74</v>
      </c>
      <c r="AX150" t="s">
        <v>74</v>
      </c>
      <c r="AY150" t="s">
        <v>74</v>
      </c>
      <c r="AZ150" t="s">
        <v>74</v>
      </c>
      <c r="BA150" t="s">
        <v>74</v>
      </c>
      <c r="BB150" t="s">
        <v>74</v>
      </c>
      <c r="BC150" t="s">
        <v>74</v>
      </c>
      <c r="BD150" t="s">
        <v>74</v>
      </c>
      <c r="BE150" t="s">
        <v>3106</v>
      </c>
      <c r="BF150" t="str">
        <f>HYPERLINK("http://dx.doi.org/10.1111/amet.13212","http://dx.doi.org/10.1111/amet.13212")</f>
        <v>http://dx.doi.org/10.1111/amet.13212</v>
      </c>
      <c r="BG150" t="s">
        <v>74</v>
      </c>
      <c r="BH150" t="s">
        <v>407</v>
      </c>
      <c r="BI150">
        <v>2</v>
      </c>
      <c r="BJ150" t="s">
        <v>3107</v>
      </c>
      <c r="BK150" t="s">
        <v>546</v>
      </c>
      <c r="BL150" t="s">
        <v>3107</v>
      </c>
      <c r="BM150" t="s">
        <v>3108</v>
      </c>
      <c r="BN150" t="s">
        <v>74</v>
      </c>
      <c r="BO150" t="s">
        <v>74</v>
      </c>
      <c r="BP150" t="s">
        <v>74</v>
      </c>
      <c r="BQ150" t="s">
        <v>74</v>
      </c>
      <c r="BR150" t="s">
        <v>99</v>
      </c>
      <c r="BS150" t="s">
        <v>3109</v>
      </c>
      <c r="BT150" t="str">
        <f>HYPERLINK("https%3A%2F%2Fwww.webofscience.com%2Fwos%2Fwoscc%2Ffull-record%2FWOS:001068451900001","View Full Record in Web of Science")</f>
        <v>View Full Record in Web of Science</v>
      </c>
    </row>
    <row r="151" spans="1:72" x14ac:dyDescent="0.15">
      <c r="A151" t="s">
        <v>72</v>
      </c>
      <c r="B151" t="s">
        <v>3110</v>
      </c>
      <c r="C151" t="s">
        <v>74</v>
      </c>
      <c r="D151" t="s">
        <v>74</v>
      </c>
      <c r="E151" t="s">
        <v>74</v>
      </c>
      <c r="F151" t="s">
        <v>3111</v>
      </c>
      <c r="G151" t="s">
        <v>74</v>
      </c>
      <c r="H151" t="s">
        <v>74</v>
      </c>
      <c r="I151" t="s">
        <v>3112</v>
      </c>
      <c r="J151" t="s">
        <v>3113</v>
      </c>
      <c r="K151" t="s">
        <v>74</v>
      </c>
      <c r="L151" t="s">
        <v>74</v>
      </c>
      <c r="M151" t="s">
        <v>78</v>
      </c>
      <c r="N151" t="s">
        <v>338</v>
      </c>
      <c r="O151" t="s">
        <v>74</v>
      </c>
      <c r="P151" t="s">
        <v>74</v>
      </c>
      <c r="Q151" t="s">
        <v>74</v>
      </c>
      <c r="R151" t="s">
        <v>74</v>
      </c>
      <c r="S151" t="s">
        <v>74</v>
      </c>
      <c r="T151" t="s">
        <v>3114</v>
      </c>
      <c r="U151" t="s">
        <v>3115</v>
      </c>
      <c r="V151" t="s">
        <v>3116</v>
      </c>
      <c r="W151" t="s">
        <v>3117</v>
      </c>
      <c r="X151" t="s">
        <v>3118</v>
      </c>
      <c r="Y151" t="s">
        <v>3119</v>
      </c>
      <c r="Z151" t="s">
        <v>3120</v>
      </c>
      <c r="AA151" t="s">
        <v>3121</v>
      </c>
      <c r="AB151" t="s">
        <v>3122</v>
      </c>
      <c r="AC151" t="s">
        <v>74</v>
      </c>
      <c r="AD151" t="s">
        <v>74</v>
      </c>
      <c r="AE151" t="s">
        <v>74</v>
      </c>
      <c r="AF151" t="s">
        <v>74</v>
      </c>
      <c r="AG151">
        <v>65</v>
      </c>
      <c r="AH151">
        <v>0</v>
      </c>
      <c r="AI151">
        <v>0</v>
      </c>
      <c r="AJ151">
        <v>3</v>
      </c>
      <c r="AK151">
        <v>3</v>
      </c>
      <c r="AL151" t="s">
        <v>87</v>
      </c>
      <c r="AM151" t="s">
        <v>88</v>
      </c>
      <c r="AN151" t="s">
        <v>89</v>
      </c>
      <c r="AO151" t="s">
        <v>3123</v>
      </c>
      <c r="AP151" t="s">
        <v>74</v>
      </c>
      <c r="AQ151" t="s">
        <v>74</v>
      </c>
      <c r="AR151" t="s">
        <v>3124</v>
      </c>
      <c r="AS151" t="s">
        <v>3125</v>
      </c>
      <c r="AT151" t="s">
        <v>2858</v>
      </c>
      <c r="AU151">
        <v>2023</v>
      </c>
      <c r="AV151" t="s">
        <v>74</v>
      </c>
      <c r="AW151" t="s">
        <v>74</v>
      </c>
      <c r="AX151" t="s">
        <v>74</v>
      </c>
      <c r="AY151" t="s">
        <v>74</v>
      </c>
      <c r="AZ151" t="s">
        <v>74</v>
      </c>
      <c r="BA151" t="s">
        <v>74</v>
      </c>
      <c r="BB151" t="s">
        <v>74</v>
      </c>
      <c r="BC151" t="s">
        <v>74</v>
      </c>
      <c r="BD151" t="s">
        <v>74</v>
      </c>
      <c r="BE151" t="s">
        <v>3126</v>
      </c>
      <c r="BF151" t="str">
        <f>HYPERLINK("http://dx.doi.org/10.1002/admi.202300462","http://dx.doi.org/10.1002/admi.202300462")</f>
        <v>http://dx.doi.org/10.1002/admi.202300462</v>
      </c>
      <c r="BG151" t="s">
        <v>74</v>
      </c>
      <c r="BH151" t="s">
        <v>407</v>
      </c>
      <c r="BI151">
        <v>12</v>
      </c>
      <c r="BJ151" t="s">
        <v>3127</v>
      </c>
      <c r="BK151" t="s">
        <v>119</v>
      </c>
      <c r="BL151" t="s">
        <v>3128</v>
      </c>
      <c r="BM151" t="s">
        <v>3129</v>
      </c>
      <c r="BN151" t="s">
        <v>74</v>
      </c>
      <c r="BO151" t="s">
        <v>234</v>
      </c>
      <c r="BP151" t="s">
        <v>74</v>
      </c>
      <c r="BQ151" t="s">
        <v>74</v>
      </c>
      <c r="BR151" t="s">
        <v>99</v>
      </c>
      <c r="BS151" t="s">
        <v>3130</v>
      </c>
      <c r="BT151" t="str">
        <f>HYPERLINK("https%3A%2F%2Fwww.webofscience.com%2Fwos%2Fwoscc%2Ffull-record%2FWOS:001066646900001","View Full Record in Web of Science")</f>
        <v>View Full Record in Web of Science</v>
      </c>
    </row>
    <row r="152" spans="1:72" x14ac:dyDescent="0.15">
      <c r="A152" t="s">
        <v>72</v>
      </c>
      <c r="B152" t="s">
        <v>3131</v>
      </c>
      <c r="C152" t="s">
        <v>74</v>
      </c>
      <c r="D152" t="s">
        <v>74</v>
      </c>
      <c r="E152" t="s">
        <v>74</v>
      </c>
      <c r="F152" t="s">
        <v>3132</v>
      </c>
      <c r="G152" t="s">
        <v>74</v>
      </c>
      <c r="H152" t="s">
        <v>74</v>
      </c>
      <c r="I152" t="s">
        <v>3133</v>
      </c>
      <c r="J152" t="s">
        <v>3097</v>
      </c>
      <c r="K152" t="s">
        <v>74</v>
      </c>
      <c r="L152" t="s">
        <v>74</v>
      </c>
      <c r="M152" t="s">
        <v>78</v>
      </c>
      <c r="N152" t="s">
        <v>338</v>
      </c>
      <c r="O152" t="s">
        <v>74</v>
      </c>
      <c r="P152" t="s">
        <v>74</v>
      </c>
      <c r="Q152" t="s">
        <v>74</v>
      </c>
      <c r="R152" t="s">
        <v>74</v>
      </c>
      <c r="S152" t="s">
        <v>74</v>
      </c>
      <c r="T152" t="s">
        <v>3134</v>
      </c>
      <c r="U152" t="s">
        <v>3135</v>
      </c>
      <c r="V152" t="s">
        <v>3136</v>
      </c>
      <c r="W152" t="s">
        <v>3137</v>
      </c>
      <c r="X152" t="s">
        <v>3138</v>
      </c>
      <c r="Y152" t="s">
        <v>3139</v>
      </c>
      <c r="Z152" t="s">
        <v>3140</v>
      </c>
      <c r="AA152" t="s">
        <v>74</v>
      </c>
      <c r="AB152" t="s">
        <v>74</v>
      </c>
      <c r="AC152" t="s">
        <v>3141</v>
      </c>
      <c r="AD152" t="s">
        <v>3141</v>
      </c>
      <c r="AE152" t="s">
        <v>3142</v>
      </c>
      <c r="AF152" t="s">
        <v>74</v>
      </c>
      <c r="AG152">
        <v>41</v>
      </c>
      <c r="AH152">
        <v>0</v>
      </c>
      <c r="AI152">
        <v>0</v>
      </c>
      <c r="AJ152">
        <v>0</v>
      </c>
      <c r="AK152">
        <v>0</v>
      </c>
      <c r="AL152" t="s">
        <v>87</v>
      </c>
      <c r="AM152" t="s">
        <v>88</v>
      </c>
      <c r="AN152" t="s">
        <v>89</v>
      </c>
      <c r="AO152" t="s">
        <v>3102</v>
      </c>
      <c r="AP152" t="s">
        <v>3103</v>
      </c>
      <c r="AQ152" t="s">
        <v>74</v>
      </c>
      <c r="AR152" t="s">
        <v>3104</v>
      </c>
      <c r="AS152" t="s">
        <v>3105</v>
      </c>
      <c r="AT152" t="s">
        <v>2858</v>
      </c>
      <c r="AU152">
        <v>2023</v>
      </c>
      <c r="AV152" t="s">
        <v>74</v>
      </c>
      <c r="AW152" t="s">
        <v>74</v>
      </c>
      <c r="AX152" t="s">
        <v>74</v>
      </c>
      <c r="AY152" t="s">
        <v>74</v>
      </c>
      <c r="AZ152" t="s">
        <v>74</v>
      </c>
      <c r="BA152" t="s">
        <v>74</v>
      </c>
      <c r="BB152" t="s">
        <v>74</v>
      </c>
      <c r="BC152" t="s">
        <v>74</v>
      </c>
      <c r="BD152" t="s">
        <v>74</v>
      </c>
      <c r="BE152" t="s">
        <v>3143</v>
      </c>
      <c r="BF152" t="str">
        <f>HYPERLINK("http://dx.doi.org/10.1111/amet.13205","http://dx.doi.org/10.1111/amet.13205")</f>
        <v>http://dx.doi.org/10.1111/amet.13205</v>
      </c>
      <c r="BG152" t="s">
        <v>74</v>
      </c>
      <c r="BH152" t="s">
        <v>407</v>
      </c>
      <c r="BI152">
        <v>12</v>
      </c>
      <c r="BJ152" t="s">
        <v>3107</v>
      </c>
      <c r="BK152" t="s">
        <v>546</v>
      </c>
      <c r="BL152" t="s">
        <v>3107</v>
      </c>
      <c r="BM152" t="s">
        <v>3144</v>
      </c>
      <c r="BN152" t="s">
        <v>74</v>
      </c>
      <c r="BO152" t="s">
        <v>74</v>
      </c>
      <c r="BP152" t="s">
        <v>74</v>
      </c>
      <c r="BQ152" t="s">
        <v>74</v>
      </c>
      <c r="BR152" t="s">
        <v>99</v>
      </c>
      <c r="BS152" t="s">
        <v>3145</v>
      </c>
      <c r="BT152" t="str">
        <f>HYPERLINK("https%3A%2F%2Fwww.webofscience.com%2Fwos%2Fwoscc%2Ffull-record%2FWOS:001065715600001","View Full Record in Web of Science")</f>
        <v>View Full Record in Web of Science</v>
      </c>
    </row>
    <row r="153" spans="1:72" x14ac:dyDescent="0.15">
      <c r="A153" t="s">
        <v>72</v>
      </c>
      <c r="B153" t="s">
        <v>3146</v>
      </c>
      <c r="C153" t="s">
        <v>74</v>
      </c>
      <c r="D153" t="s">
        <v>74</v>
      </c>
      <c r="E153" t="s">
        <v>74</v>
      </c>
      <c r="F153" t="s">
        <v>3147</v>
      </c>
      <c r="G153" t="s">
        <v>74</v>
      </c>
      <c r="H153" t="s">
        <v>74</v>
      </c>
      <c r="I153" t="s">
        <v>3148</v>
      </c>
      <c r="J153" t="s">
        <v>2847</v>
      </c>
      <c r="K153" t="s">
        <v>74</v>
      </c>
      <c r="L153" t="s">
        <v>74</v>
      </c>
      <c r="M153" t="s">
        <v>78</v>
      </c>
      <c r="N153" t="s">
        <v>594</v>
      </c>
      <c r="O153" t="s">
        <v>74</v>
      </c>
      <c r="P153" t="s">
        <v>74</v>
      </c>
      <c r="Q153" t="s">
        <v>74</v>
      </c>
      <c r="R153" t="s">
        <v>74</v>
      </c>
      <c r="S153" t="s">
        <v>74</v>
      </c>
      <c r="T153" t="s">
        <v>74</v>
      </c>
      <c r="U153" t="s">
        <v>3149</v>
      </c>
      <c r="V153" t="s">
        <v>3150</v>
      </c>
      <c r="W153" t="s">
        <v>3151</v>
      </c>
      <c r="X153" t="s">
        <v>3152</v>
      </c>
      <c r="Y153" t="s">
        <v>3153</v>
      </c>
      <c r="Z153" t="s">
        <v>3154</v>
      </c>
      <c r="AA153" t="s">
        <v>74</v>
      </c>
      <c r="AB153" t="s">
        <v>3155</v>
      </c>
      <c r="AC153" t="s">
        <v>74</v>
      </c>
      <c r="AD153" t="s">
        <v>74</v>
      </c>
      <c r="AE153" t="s">
        <v>74</v>
      </c>
      <c r="AF153" t="s">
        <v>74</v>
      </c>
      <c r="AG153">
        <v>20</v>
      </c>
      <c r="AH153">
        <v>0</v>
      </c>
      <c r="AI153">
        <v>0</v>
      </c>
      <c r="AJ153">
        <v>0</v>
      </c>
      <c r="AK153">
        <v>0</v>
      </c>
      <c r="AL153" t="s">
        <v>87</v>
      </c>
      <c r="AM153" t="s">
        <v>88</v>
      </c>
      <c r="AN153" t="s">
        <v>89</v>
      </c>
      <c r="AO153" t="s">
        <v>2854</v>
      </c>
      <c r="AP153" t="s">
        <v>2855</v>
      </c>
      <c r="AQ153" t="s">
        <v>74</v>
      </c>
      <c r="AR153" t="s">
        <v>2856</v>
      </c>
      <c r="AS153" t="s">
        <v>2857</v>
      </c>
      <c r="AT153" t="s">
        <v>2858</v>
      </c>
      <c r="AU153">
        <v>2023</v>
      </c>
      <c r="AV153" t="s">
        <v>74</v>
      </c>
      <c r="AW153" t="s">
        <v>74</v>
      </c>
      <c r="AX153" t="s">
        <v>74</v>
      </c>
      <c r="AY153" t="s">
        <v>74</v>
      </c>
      <c r="AZ153" t="s">
        <v>74</v>
      </c>
      <c r="BA153" t="s">
        <v>74</v>
      </c>
      <c r="BB153" t="s">
        <v>74</v>
      </c>
      <c r="BC153" t="s">
        <v>74</v>
      </c>
      <c r="BD153" t="s">
        <v>74</v>
      </c>
      <c r="BE153" t="s">
        <v>3156</v>
      </c>
      <c r="BF153" t="str">
        <f>HYPERLINK("http://dx.doi.org/10.1111/ijd.16844","http://dx.doi.org/10.1111/ijd.16844")</f>
        <v>http://dx.doi.org/10.1111/ijd.16844</v>
      </c>
      <c r="BG153" t="s">
        <v>74</v>
      </c>
      <c r="BH153" t="s">
        <v>407</v>
      </c>
      <c r="BI153">
        <v>8</v>
      </c>
      <c r="BJ153" t="s">
        <v>2541</v>
      </c>
      <c r="BK153" t="s">
        <v>119</v>
      </c>
      <c r="BL153" t="s">
        <v>2541</v>
      </c>
      <c r="BM153" t="s">
        <v>3157</v>
      </c>
      <c r="BN153">
        <v>37715361</v>
      </c>
      <c r="BO153" t="s">
        <v>74</v>
      </c>
      <c r="BP153" t="s">
        <v>74</v>
      </c>
      <c r="BQ153" t="s">
        <v>74</v>
      </c>
      <c r="BR153" t="s">
        <v>99</v>
      </c>
      <c r="BS153" t="s">
        <v>3158</v>
      </c>
      <c r="BT153" t="str">
        <f>HYPERLINK("https%3A%2F%2Fwww.webofscience.com%2Fwos%2Fwoscc%2Ffull-record%2FWOS:001066646700001","View Full Record in Web of Science")</f>
        <v>View Full Record in Web of Science</v>
      </c>
    </row>
    <row r="154" spans="1:72" x14ac:dyDescent="0.15">
      <c r="A154" t="s">
        <v>72</v>
      </c>
      <c r="B154" t="s">
        <v>3159</v>
      </c>
      <c r="C154" t="s">
        <v>74</v>
      </c>
      <c r="D154" t="s">
        <v>74</v>
      </c>
      <c r="E154" t="s">
        <v>74</v>
      </c>
      <c r="F154" t="s">
        <v>3160</v>
      </c>
      <c r="G154" t="s">
        <v>74</v>
      </c>
      <c r="H154" t="s">
        <v>74</v>
      </c>
      <c r="I154" t="s">
        <v>3161</v>
      </c>
      <c r="J154" t="s">
        <v>3162</v>
      </c>
      <c r="K154" t="s">
        <v>74</v>
      </c>
      <c r="L154" t="s">
        <v>74</v>
      </c>
      <c r="M154" t="s">
        <v>78</v>
      </c>
      <c r="N154" t="s">
        <v>338</v>
      </c>
      <c r="O154" t="s">
        <v>74</v>
      </c>
      <c r="P154" t="s">
        <v>74</v>
      </c>
      <c r="Q154" t="s">
        <v>74</v>
      </c>
      <c r="R154" t="s">
        <v>74</v>
      </c>
      <c r="S154" t="s">
        <v>74</v>
      </c>
      <c r="T154" t="s">
        <v>3163</v>
      </c>
      <c r="U154" t="s">
        <v>3164</v>
      </c>
      <c r="V154" t="s">
        <v>3165</v>
      </c>
      <c r="W154" t="s">
        <v>3166</v>
      </c>
      <c r="X154" t="s">
        <v>3167</v>
      </c>
      <c r="Y154" t="s">
        <v>3168</v>
      </c>
      <c r="Z154" t="s">
        <v>3169</v>
      </c>
      <c r="AA154" t="s">
        <v>74</v>
      </c>
      <c r="AB154" t="s">
        <v>3170</v>
      </c>
      <c r="AC154" t="s">
        <v>3171</v>
      </c>
      <c r="AD154" t="s">
        <v>3172</v>
      </c>
      <c r="AE154" t="s">
        <v>3173</v>
      </c>
      <c r="AF154" t="s">
        <v>74</v>
      </c>
      <c r="AG154">
        <v>66</v>
      </c>
      <c r="AH154">
        <v>0</v>
      </c>
      <c r="AI154">
        <v>0</v>
      </c>
      <c r="AJ154">
        <v>0</v>
      </c>
      <c r="AK154">
        <v>0</v>
      </c>
      <c r="AL154" t="s">
        <v>87</v>
      </c>
      <c r="AM154" t="s">
        <v>88</v>
      </c>
      <c r="AN154" t="s">
        <v>89</v>
      </c>
      <c r="AO154" t="s">
        <v>3174</v>
      </c>
      <c r="AP154" t="s">
        <v>3175</v>
      </c>
      <c r="AQ154" t="s">
        <v>74</v>
      </c>
      <c r="AR154" t="s">
        <v>3162</v>
      </c>
      <c r="AS154" t="s">
        <v>3176</v>
      </c>
      <c r="AT154" t="s">
        <v>2858</v>
      </c>
      <c r="AU154">
        <v>2023</v>
      </c>
      <c r="AV154" t="s">
        <v>74</v>
      </c>
      <c r="AW154" t="s">
        <v>74</v>
      </c>
      <c r="AX154" t="s">
        <v>74</v>
      </c>
      <c r="AY154" t="s">
        <v>74</v>
      </c>
      <c r="AZ154" t="s">
        <v>74</v>
      </c>
      <c r="BA154" t="s">
        <v>74</v>
      </c>
      <c r="BB154" t="s">
        <v>74</v>
      </c>
      <c r="BC154" t="s">
        <v>74</v>
      </c>
      <c r="BD154" t="s">
        <v>74</v>
      </c>
      <c r="BE154" t="s">
        <v>3177</v>
      </c>
      <c r="BF154" t="str">
        <f>HYPERLINK("http://dx.doi.org/10.1111/xen.12826","http://dx.doi.org/10.1111/xen.12826")</f>
        <v>http://dx.doi.org/10.1111/xen.12826</v>
      </c>
      <c r="BG154" t="s">
        <v>74</v>
      </c>
      <c r="BH154" t="s">
        <v>407</v>
      </c>
      <c r="BI154">
        <v>14</v>
      </c>
      <c r="BJ154" t="s">
        <v>3178</v>
      </c>
      <c r="BK154" t="s">
        <v>119</v>
      </c>
      <c r="BL154" t="s">
        <v>3179</v>
      </c>
      <c r="BM154" t="s">
        <v>3180</v>
      </c>
      <c r="BN154">
        <v>37712342</v>
      </c>
      <c r="BO154" t="s">
        <v>74</v>
      </c>
      <c r="BP154" t="s">
        <v>74</v>
      </c>
      <c r="BQ154" t="s">
        <v>74</v>
      </c>
      <c r="BR154" t="s">
        <v>99</v>
      </c>
      <c r="BS154" t="s">
        <v>3181</v>
      </c>
      <c r="BT154" t="str">
        <f>HYPERLINK("https%3A%2F%2Fwww.webofscience.com%2Fwos%2Fwoscc%2Ffull-record%2FWOS:001065564600001","View Full Record in Web of Science")</f>
        <v>View Full Record in Web of Science</v>
      </c>
    </row>
    <row r="155" spans="1:72" x14ac:dyDescent="0.15">
      <c r="A155" t="s">
        <v>72</v>
      </c>
      <c r="B155" t="s">
        <v>3182</v>
      </c>
      <c r="C155" t="s">
        <v>74</v>
      </c>
      <c r="D155" t="s">
        <v>74</v>
      </c>
      <c r="E155" t="s">
        <v>74</v>
      </c>
      <c r="F155" t="s">
        <v>3183</v>
      </c>
      <c r="G155" t="s">
        <v>74</v>
      </c>
      <c r="H155" t="s">
        <v>74</v>
      </c>
      <c r="I155" t="s">
        <v>3184</v>
      </c>
      <c r="J155" t="s">
        <v>2680</v>
      </c>
      <c r="K155" t="s">
        <v>74</v>
      </c>
      <c r="L155" t="s">
        <v>74</v>
      </c>
      <c r="M155" t="s">
        <v>78</v>
      </c>
      <c r="N155" t="s">
        <v>338</v>
      </c>
      <c r="O155" t="s">
        <v>74</v>
      </c>
      <c r="P155" t="s">
        <v>74</v>
      </c>
      <c r="Q155" t="s">
        <v>74</v>
      </c>
      <c r="R155" t="s">
        <v>74</v>
      </c>
      <c r="S155" t="s">
        <v>74</v>
      </c>
      <c r="T155" t="s">
        <v>3185</v>
      </c>
      <c r="U155" t="s">
        <v>3186</v>
      </c>
      <c r="V155" t="s">
        <v>3187</v>
      </c>
      <c r="W155" t="s">
        <v>3188</v>
      </c>
      <c r="X155" t="s">
        <v>3189</v>
      </c>
      <c r="Y155" t="s">
        <v>3190</v>
      </c>
      <c r="Z155" t="s">
        <v>3191</v>
      </c>
      <c r="AA155" t="s">
        <v>74</v>
      </c>
      <c r="AB155" t="s">
        <v>74</v>
      </c>
      <c r="AC155" t="s">
        <v>74</v>
      </c>
      <c r="AD155" t="s">
        <v>74</v>
      </c>
      <c r="AE155" t="s">
        <v>74</v>
      </c>
      <c r="AF155" t="s">
        <v>74</v>
      </c>
      <c r="AG155">
        <v>45</v>
      </c>
      <c r="AH155">
        <v>0</v>
      </c>
      <c r="AI155">
        <v>0</v>
      </c>
      <c r="AJ155">
        <v>0</v>
      </c>
      <c r="AK155">
        <v>0</v>
      </c>
      <c r="AL155" t="s">
        <v>87</v>
      </c>
      <c r="AM155" t="s">
        <v>88</v>
      </c>
      <c r="AN155" t="s">
        <v>89</v>
      </c>
      <c r="AO155" t="s">
        <v>2690</v>
      </c>
      <c r="AP155" t="s">
        <v>2691</v>
      </c>
      <c r="AQ155" t="s">
        <v>74</v>
      </c>
      <c r="AR155" t="s">
        <v>2692</v>
      </c>
      <c r="AS155" t="s">
        <v>2693</v>
      </c>
      <c r="AT155" t="s">
        <v>2858</v>
      </c>
      <c r="AU155">
        <v>2023</v>
      </c>
      <c r="AV155" t="s">
        <v>74</v>
      </c>
      <c r="AW155" t="s">
        <v>74</v>
      </c>
      <c r="AX155" t="s">
        <v>74</v>
      </c>
      <c r="AY155" t="s">
        <v>74</v>
      </c>
      <c r="AZ155" t="s">
        <v>74</v>
      </c>
      <c r="BA155" t="s">
        <v>74</v>
      </c>
      <c r="BB155" t="s">
        <v>74</v>
      </c>
      <c r="BC155" t="s">
        <v>74</v>
      </c>
      <c r="BD155" t="s">
        <v>3192</v>
      </c>
      <c r="BE155" t="s">
        <v>3193</v>
      </c>
      <c r="BF155" t="str">
        <f>HYPERLINK("http://dx.doi.org/10.1002/jbt.23541","http://dx.doi.org/10.1002/jbt.23541")</f>
        <v>http://dx.doi.org/10.1002/jbt.23541</v>
      </c>
      <c r="BG155" t="s">
        <v>74</v>
      </c>
      <c r="BH155" t="s">
        <v>407</v>
      </c>
      <c r="BI155">
        <v>16</v>
      </c>
      <c r="BJ155" t="s">
        <v>2696</v>
      </c>
      <c r="BK155" t="s">
        <v>119</v>
      </c>
      <c r="BL155" t="s">
        <v>2696</v>
      </c>
      <c r="BM155" t="s">
        <v>3194</v>
      </c>
      <c r="BN155">
        <v>37712121</v>
      </c>
      <c r="BO155" t="s">
        <v>301</v>
      </c>
      <c r="BP155" t="s">
        <v>74</v>
      </c>
      <c r="BQ155" t="s">
        <v>74</v>
      </c>
      <c r="BR155" t="s">
        <v>99</v>
      </c>
      <c r="BS155" t="s">
        <v>3195</v>
      </c>
      <c r="BT155" t="str">
        <f>HYPERLINK("https%3A%2F%2Fwww.webofscience.com%2Fwos%2Fwoscc%2Ffull-record%2FWOS:001068085900001","View Full Record in Web of Science")</f>
        <v>View Full Record in Web of Science</v>
      </c>
    </row>
    <row r="156" spans="1:72" x14ac:dyDescent="0.15">
      <c r="A156" t="s">
        <v>72</v>
      </c>
      <c r="B156" t="s">
        <v>3196</v>
      </c>
      <c r="C156" t="s">
        <v>74</v>
      </c>
      <c r="D156" t="s">
        <v>74</v>
      </c>
      <c r="E156" t="s">
        <v>74</v>
      </c>
      <c r="F156" t="s">
        <v>3197</v>
      </c>
      <c r="G156" t="s">
        <v>74</v>
      </c>
      <c r="H156" t="s">
        <v>74</v>
      </c>
      <c r="I156" t="s">
        <v>3198</v>
      </c>
      <c r="J156" t="s">
        <v>2791</v>
      </c>
      <c r="K156" t="s">
        <v>74</v>
      </c>
      <c r="L156" t="s">
        <v>74</v>
      </c>
      <c r="M156" t="s">
        <v>78</v>
      </c>
      <c r="N156" t="s">
        <v>1297</v>
      </c>
      <c r="O156" t="s">
        <v>74</v>
      </c>
      <c r="P156" t="s">
        <v>74</v>
      </c>
      <c r="Q156" t="s">
        <v>74</v>
      </c>
      <c r="R156" t="s">
        <v>74</v>
      </c>
      <c r="S156" t="s">
        <v>74</v>
      </c>
      <c r="T156" t="s">
        <v>3199</v>
      </c>
      <c r="U156" t="s">
        <v>74</v>
      </c>
      <c r="V156" t="s">
        <v>3200</v>
      </c>
      <c r="W156" t="s">
        <v>3201</v>
      </c>
      <c r="X156" t="s">
        <v>3202</v>
      </c>
      <c r="Y156" t="s">
        <v>3203</v>
      </c>
      <c r="Z156" t="s">
        <v>3204</v>
      </c>
      <c r="AA156" t="s">
        <v>74</v>
      </c>
      <c r="AB156" t="s">
        <v>74</v>
      </c>
      <c r="AC156" t="s">
        <v>74</v>
      </c>
      <c r="AD156" t="s">
        <v>74</v>
      </c>
      <c r="AE156" t="s">
        <v>74</v>
      </c>
      <c r="AF156" t="s">
        <v>74</v>
      </c>
      <c r="AG156">
        <v>5</v>
      </c>
      <c r="AH156">
        <v>0</v>
      </c>
      <c r="AI156">
        <v>0</v>
      </c>
      <c r="AJ156">
        <v>0</v>
      </c>
      <c r="AK156">
        <v>0</v>
      </c>
      <c r="AL156" t="s">
        <v>87</v>
      </c>
      <c r="AM156" t="s">
        <v>88</v>
      </c>
      <c r="AN156" t="s">
        <v>89</v>
      </c>
      <c r="AO156" t="s">
        <v>2796</v>
      </c>
      <c r="AP156" t="s">
        <v>2797</v>
      </c>
      <c r="AQ156" t="s">
        <v>74</v>
      </c>
      <c r="AR156" t="s">
        <v>2798</v>
      </c>
      <c r="AS156" t="s">
        <v>2799</v>
      </c>
      <c r="AT156" t="s">
        <v>2858</v>
      </c>
      <c r="AU156">
        <v>2023</v>
      </c>
      <c r="AV156" t="s">
        <v>74</v>
      </c>
      <c r="AW156" t="s">
        <v>74</v>
      </c>
      <c r="AX156" t="s">
        <v>74</v>
      </c>
      <c r="AY156" t="s">
        <v>74</v>
      </c>
      <c r="AZ156" t="s">
        <v>74</v>
      </c>
      <c r="BA156" t="s">
        <v>74</v>
      </c>
      <c r="BB156" t="s">
        <v>74</v>
      </c>
      <c r="BC156" t="s">
        <v>74</v>
      </c>
      <c r="BD156" t="s">
        <v>74</v>
      </c>
      <c r="BE156" t="s">
        <v>3205</v>
      </c>
      <c r="BF156" t="str">
        <f>HYPERLINK("http://dx.doi.org/10.1002/joa3.12925","http://dx.doi.org/10.1002/joa3.12925")</f>
        <v>http://dx.doi.org/10.1002/joa3.12925</v>
      </c>
      <c r="BG156" t="s">
        <v>74</v>
      </c>
      <c r="BH156" t="s">
        <v>407</v>
      </c>
      <c r="BI156">
        <v>4</v>
      </c>
      <c r="BJ156" t="s">
        <v>1849</v>
      </c>
      <c r="BK156" t="s">
        <v>96</v>
      </c>
      <c r="BL156" t="s">
        <v>1850</v>
      </c>
      <c r="BM156" t="s">
        <v>3206</v>
      </c>
      <c r="BN156" t="s">
        <v>74</v>
      </c>
      <c r="BO156" t="s">
        <v>234</v>
      </c>
      <c r="BP156" t="s">
        <v>74</v>
      </c>
      <c r="BQ156" t="s">
        <v>74</v>
      </c>
      <c r="BR156" t="s">
        <v>99</v>
      </c>
      <c r="BS156" t="s">
        <v>3207</v>
      </c>
      <c r="BT156" t="str">
        <f>HYPERLINK("https%3A%2F%2Fwww.webofscience.com%2Fwos%2Fwoscc%2Ffull-record%2FWOS:001066191400001","View Full Record in Web of Science")</f>
        <v>View Full Record in Web of Science</v>
      </c>
    </row>
    <row r="157" spans="1:72" x14ac:dyDescent="0.15">
      <c r="A157" t="s">
        <v>72</v>
      </c>
      <c r="B157" t="s">
        <v>3208</v>
      </c>
      <c r="C157" t="s">
        <v>74</v>
      </c>
      <c r="D157" t="s">
        <v>74</v>
      </c>
      <c r="E157" t="s">
        <v>74</v>
      </c>
      <c r="F157" t="s">
        <v>3209</v>
      </c>
      <c r="G157" t="s">
        <v>74</v>
      </c>
      <c r="H157" t="s">
        <v>74</v>
      </c>
      <c r="I157" t="s">
        <v>3210</v>
      </c>
      <c r="J157" t="s">
        <v>3211</v>
      </c>
      <c r="K157" t="s">
        <v>74</v>
      </c>
      <c r="L157" t="s">
        <v>74</v>
      </c>
      <c r="M157" t="s">
        <v>78</v>
      </c>
      <c r="N157" t="s">
        <v>338</v>
      </c>
      <c r="O157" t="s">
        <v>74</v>
      </c>
      <c r="P157" t="s">
        <v>74</v>
      </c>
      <c r="Q157" t="s">
        <v>74</v>
      </c>
      <c r="R157" t="s">
        <v>74</v>
      </c>
      <c r="S157" t="s">
        <v>74</v>
      </c>
      <c r="T157" t="s">
        <v>3212</v>
      </c>
      <c r="U157" t="s">
        <v>3213</v>
      </c>
      <c r="V157" t="s">
        <v>3214</v>
      </c>
      <c r="W157" t="s">
        <v>3215</v>
      </c>
      <c r="X157" t="s">
        <v>3216</v>
      </c>
      <c r="Y157" t="s">
        <v>3217</v>
      </c>
      <c r="Z157" t="s">
        <v>3218</v>
      </c>
      <c r="AA157" t="s">
        <v>74</v>
      </c>
      <c r="AB157" t="s">
        <v>3219</v>
      </c>
      <c r="AC157" t="s">
        <v>3220</v>
      </c>
      <c r="AD157" t="s">
        <v>3220</v>
      </c>
      <c r="AE157" t="s">
        <v>3220</v>
      </c>
      <c r="AF157" t="s">
        <v>74</v>
      </c>
      <c r="AG157">
        <v>72</v>
      </c>
      <c r="AH157">
        <v>0</v>
      </c>
      <c r="AI157">
        <v>0</v>
      </c>
      <c r="AJ157">
        <v>1</v>
      </c>
      <c r="AK157">
        <v>1</v>
      </c>
      <c r="AL157" t="s">
        <v>87</v>
      </c>
      <c r="AM157" t="s">
        <v>88</v>
      </c>
      <c r="AN157" t="s">
        <v>89</v>
      </c>
      <c r="AO157" t="s">
        <v>3221</v>
      </c>
      <c r="AP157" t="s">
        <v>3222</v>
      </c>
      <c r="AQ157" t="s">
        <v>74</v>
      </c>
      <c r="AR157" t="s">
        <v>3223</v>
      </c>
      <c r="AS157" t="s">
        <v>3224</v>
      </c>
      <c r="AT157" t="s">
        <v>2858</v>
      </c>
      <c r="AU157">
        <v>2023</v>
      </c>
      <c r="AV157" t="s">
        <v>74</v>
      </c>
      <c r="AW157" t="s">
        <v>74</v>
      </c>
      <c r="AX157" t="s">
        <v>74</v>
      </c>
      <c r="AY157" t="s">
        <v>74</v>
      </c>
      <c r="AZ157" t="s">
        <v>74</v>
      </c>
      <c r="BA157" t="s">
        <v>74</v>
      </c>
      <c r="BB157" t="s">
        <v>74</v>
      </c>
      <c r="BC157" t="s">
        <v>74</v>
      </c>
      <c r="BD157" t="s">
        <v>74</v>
      </c>
      <c r="BE157" t="s">
        <v>3225</v>
      </c>
      <c r="BF157" t="str">
        <f>HYPERLINK("http://dx.doi.org/10.1111/jora.12885","http://dx.doi.org/10.1111/jora.12885")</f>
        <v>http://dx.doi.org/10.1111/jora.12885</v>
      </c>
      <c r="BG157" t="s">
        <v>74</v>
      </c>
      <c r="BH157" t="s">
        <v>407</v>
      </c>
      <c r="BI157">
        <v>16</v>
      </c>
      <c r="BJ157" t="s">
        <v>3226</v>
      </c>
      <c r="BK157" t="s">
        <v>546</v>
      </c>
      <c r="BL157" t="s">
        <v>3227</v>
      </c>
      <c r="BM157" t="s">
        <v>3228</v>
      </c>
      <c r="BN157">
        <v>37712872</v>
      </c>
      <c r="BO157" t="s">
        <v>74</v>
      </c>
      <c r="BP157" t="s">
        <v>74</v>
      </c>
      <c r="BQ157" t="s">
        <v>74</v>
      </c>
      <c r="BR157" t="s">
        <v>99</v>
      </c>
      <c r="BS157" t="s">
        <v>3229</v>
      </c>
      <c r="BT157" t="str">
        <f>HYPERLINK("https%3A%2F%2Fwww.webofscience.com%2Fwos%2Fwoscc%2Ffull-record%2FWOS:001067186800001","View Full Record in Web of Science")</f>
        <v>View Full Record in Web of Science</v>
      </c>
    </row>
    <row r="158" spans="1:72" x14ac:dyDescent="0.15">
      <c r="A158" t="s">
        <v>72</v>
      </c>
      <c r="B158" t="s">
        <v>3230</v>
      </c>
      <c r="C158" t="s">
        <v>74</v>
      </c>
      <c r="D158" t="s">
        <v>74</v>
      </c>
      <c r="E158" t="s">
        <v>74</v>
      </c>
      <c r="F158" t="s">
        <v>3231</v>
      </c>
      <c r="G158" t="s">
        <v>74</v>
      </c>
      <c r="H158" t="s">
        <v>74</v>
      </c>
      <c r="I158" t="s">
        <v>3232</v>
      </c>
      <c r="J158" t="s">
        <v>875</v>
      </c>
      <c r="K158" t="s">
        <v>74</v>
      </c>
      <c r="L158" t="s">
        <v>74</v>
      </c>
      <c r="M158" t="s">
        <v>78</v>
      </c>
      <c r="N158" t="s">
        <v>338</v>
      </c>
      <c r="O158" t="s">
        <v>74</v>
      </c>
      <c r="P158" t="s">
        <v>74</v>
      </c>
      <c r="Q158" t="s">
        <v>74</v>
      </c>
      <c r="R158" t="s">
        <v>74</v>
      </c>
      <c r="S158" t="s">
        <v>74</v>
      </c>
      <c r="T158" t="s">
        <v>3233</v>
      </c>
      <c r="U158" t="s">
        <v>3234</v>
      </c>
      <c r="V158" t="s">
        <v>3235</v>
      </c>
      <c r="W158" t="s">
        <v>3236</v>
      </c>
      <c r="X158" t="s">
        <v>3237</v>
      </c>
      <c r="Y158" t="s">
        <v>3238</v>
      </c>
      <c r="Z158" t="s">
        <v>3239</v>
      </c>
      <c r="AA158" t="s">
        <v>74</v>
      </c>
      <c r="AB158" t="s">
        <v>74</v>
      </c>
      <c r="AC158" t="s">
        <v>3240</v>
      </c>
      <c r="AD158" t="s">
        <v>3241</v>
      </c>
      <c r="AE158" t="s">
        <v>3242</v>
      </c>
      <c r="AF158" t="s">
        <v>74</v>
      </c>
      <c r="AG158">
        <v>45</v>
      </c>
      <c r="AH158">
        <v>0</v>
      </c>
      <c r="AI158">
        <v>0</v>
      </c>
      <c r="AJ158">
        <v>0</v>
      </c>
      <c r="AK158">
        <v>0</v>
      </c>
      <c r="AL158" t="s">
        <v>426</v>
      </c>
      <c r="AM158" t="s">
        <v>427</v>
      </c>
      <c r="AN158" t="s">
        <v>428</v>
      </c>
      <c r="AO158" t="s">
        <v>886</v>
      </c>
      <c r="AP158" t="s">
        <v>887</v>
      </c>
      <c r="AQ158" t="s">
        <v>74</v>
      </c>
      <c r="AR158" t="s">
        <v>888</v>
      </c>
      <c r="AS158" t="s">
        <v>889</v>
      </c>
      <c r="AT158" t="s">
        <v>2858</v>
      </c>
      <c r="AU158">
        <v>2023</v>
      </c>
      <c r="AV158" t="s">
        <v>74</v>
      </c>
      <c r="AW158" t="s">
        <v>74</v>
      </c>
      <c r="AX158" t="s">
        <v>74</v>
      </c>
      <c r="AY158" t="s">
        <v>74</v>
      </c>
      <c r="AZ158" t="s">
        <v>74</v>
      </c>
      <c r="BA158" t="s">
        <v>74</v>
      </c>
      <c r="BB158" t="s">
        <v>74</v>
      </c>
      <c r="BC158" t="s">
        <v>74</v>
      </c>
      <c r="BD158" t="s">
        <v>74</v>
      </c>
      <c r="BE158" t="s">
        <v>3243</v>
      </c>
      <c r="BF158" t="str">
        <f>HYPERLINK("http://dx.doi.org/10.1002/adfm.202308029","http://dx.doi.org/10.1002/adfm.202308029")</f>
        <v>http://dx.doi.org/10.1002/adfm.202308029</v>
      </c>
      <c r="BG158" t="s">
        <v>74</v>
      </c>
      <c r="BH158" t="s">
        <v>407</v>
      </c>
      <c r="BI158">
        <v>10</v>
      </c>
      <c r="BJ158" t="s">
        <v>609</v>
      </c>
      <c r="BK158" t="s">
        <v>119</v>
      </c>
      <c r="BL158" t="s">
        <v>610</v>
      </c>
      <c r="BM158" t="s">
        <v>3244</v>
      </c>
      <c r="BN158" t="s">
        <v>74</v>
      </c>
      <c r="BO158" t="s">
        <v>74</v>
      </c>
      <c r="BP158" t="s">
        <v>74</v>
      </c>
      <c r="BQ158" t="s">
        <v>74</v>
      </c>
      <c r="BR158" t="s">
        <v>99</v>
      </c>
      <c r="BS158" t="s">
        <v>3245</v>
      </c>
      <c r="BT158" t="str">
        <f>HYPERLINK("https%3A%2F%2Fwww.webofscience.com%2Fwos%2Fwoscc%2Ffull-record%2FWOS:001065562900001","View Full Record in Web of Science")</f>
        <v>View Full Record in Web of Science</v>
      </c>
    </row>
    <row r="159" spans="1:72" x14ac:dyDescent="0.15">
      <c r="A159" t="s">
        <v>72</v>
      </c>
      <c r="B159" t="s">
        <v>3246</v>
      </c>
      <c r="C159" t="s">
        <v>74</v>
      </c>
      <c r="D159" t="s">
        <v>74</v>
      </c>
      <c r="E159" t="s">
        <v>74</v>
      </c>
      <c r="F159" t="s">
        <v>3247</v>
      </c>
      <c r="G159" t="s">
        <v>74</v>
      </c>
      <c r="H159" t="s">
        <v>74</v>
      </c>
      <c r="I159" t="s">
        <v>3248</v>
      </c>
      <c r="J159" t="s">
        <v>3249</v>
      </c>
      <c r="K159" t="s">
        <v>74</v>
      </c>
      <c r="L159" t="s">
        <v>74</v>
      </c>
      <c r="M159" t="s">
        <v>78</v>
      </c>
      <c r="N159" t="s">
        <v>338</v>
      </c>
      <c r="O159" t="s">
        <v>74</v>
      </c>
      <c r="P159" t="s">
        <v>74</v>
      </c>
      <c r="Q159" t="s">
        <v>74</v>
      </c>
      <c r="R159" t="s">
        <v>74</v>
      </c>
      <c r="S159" t="s">
        <v>74</v>
      </c>
      <c r="T159" t="s">
        <v>3250</v>
      </c>
      <c r="U159" t="s">
        <v>3251</v>
      </c>
      <c r="V159" t="s">
        <v>3252</v>
      </c>
      <c r="W159" t="s">
        <v>3253</v>
      </c>
      <c r="X159" t="s">
        <v>3254</v>
      </c>
      <c r="Y159" t="s">
        <v>3255</v>
      </c>
      <c r="Z159" t="s">
        <v>3256</v>
      </c>
      <c r="AA159" t="s">
        <v>74</v>
      </c>
      <c r="AB159" t="s">
        <v>74</v>
      </c>
      <c r="AC159" t="s">
        <v>3257</v>
      </c>
      <c r="AD159" t="s">
        <v>3258</v>
      </c>
      <c r="AE159" t="s">
        <v>3259</v>
      </c>
      <c r="AF159" t="s">
        <v>74</v>
      </c>
      <c r="AG159">
        <v>50</v>
      </c>
      <c r="AH159">
        <v>0</v>
      </c>
      <c r="AI159">
        <v>0</v>
      </c>
      <c r="AJ159">
        <v>0</v>
      </c>
      <c r="AK159">
        <v>0</v>
      </c>
      <c r="AL159" t="s">
        <v>87</v>
      </c>
      <c r="AM159" t="s">
        <v>88</v>
      </c>
      <c r="AN159" t="s">
        <v>89</v>
      </c>
      <c r="AO159" t="s">
        <v>3260</v>
      </c>
      <c r="AP159" t="s">
        <v>3261</v>
      </c>
      <c r="AQ159" t="s">
        <v>74</v>
      </c>
      <c r="AR159" t="s">
        <v>3262</v>
      </c>
      <c r="AS159" t="s">
        <v>3263</v>
      </c>
      <c r="AT159" t="s">
        <v>3264</v>
      </c>
      <c r="AU159">
        <v>2023</v>
      </c>
      <c r="AV159" t="s">
        <v>74</v>
      </c>
      <c r="AW159" t="s">
        <v>74</v>
      </c>
      <c r="AX159" t="s">
        <v>74</v>
      </c>
      <c r="AY159" t="s">
        <v>74</v>
      </c>
      <c r="AZ159" t="s">
        <v>74</v>
      </c>
      <c r="BA159" t="s">
        <v>74</v>
      </c>
      <c r="BB159" t="s">
        <v>74</v>
      </c>
      <c r="BC159" t="s">
        <v>74</v>
      </c>
      <c r="BD159" t="s">
        <v>74</v>
      </c>
      <c r="BE159" t="s">
        <v>3265</v>
      </c>
      <c r="BF159" t="str">
        <f>HYPERLINK("http://dx.doi.org/10.1002/fld.5237","http://dx.doi.org/10.1002/fld.5237")</f>
        <v>http://dx.doi.org/10.1002/fld.5237</v>
      </c>
      <c r="BG159" t="s">
        <v>74</v>
      </c>
      <c r="BH159" t="s">
        <v>407</v>
      </c>
      <c r="BI159">
        <v>43</v>
      </c>
      <c r="BJ159" t="s">
        <v>3266</v>
      </c>
      <c r="BK159" t="s">
        <v>119</v>
      </c>
      <c r="BL159" t="s">
        <v>3267</v>
      </c>
      <c r="BM159" t="s">
        <v>3268</v>
      </c>
      <c r="BN159" t="s">
        <v>74</v>
      </c>
      <c r="BO159" t="s">
        <v>74</v>
      </c>
      <c r="BP159" t="s">
        <v>74</v>
      </c>
      <c r="BQ159" t="s">
        <v>74</v>
      </c>
      <c r="BR159" t="s">
        <v>99</v>
      </c>
      <c r="BS159" t="s">
        <v>3269</v>
      </c>
      <c r="BT159" t="str">
        <f>HYPERLINK("https%3A%2F%2Fwww.webofscience.com%2Fwos%2Fwoscc%2Ffull-record%2FWOS:001065316000001","View Full Record in Web of Science")</f>
        <v>View Full Record in Web of Science</v>
      </c>
    </row>
    <row r="160" spans="1:72" x14ac:dyDescent="0.15">
      <c r="A160" t="s">
        <v>72</v>
      </c>
      <c r="B160" t="s">
        <v>3270</v>
      </c>
      <c r="C160" t="s">
        <v>74</v>
      </c>
      <c r="D160" t="s">
        <v>74</v>
      </c>
      <c r="E160" t="s">
        <v>74</v>
      </c>
      <c r="F160" t="s">
        <v>3271</v>
      </c>
      <c r="G160" t="s">
        <v>74</v>
      </c>
      <c r="H160" t="s">
        <v>74</v>
      </c>
      <c r="I160" t="s">
        <v>3272</v>
      </c>
      <c r="J160" t="s">
        <v>504</v>
      </c>
      <c r="K160" t="s">
        <v>74</v>
      </c>
      <c r="L160" t="s">
        <v>74</v>
      </c>
      <c r="M160" t="s">
        <v>78</v>
      </c>
      <c r="N160" t="s">
        <v>338</v>
      </c>
      <c r="O160" t="s">
        <v>74</v>
      </c>
      <c r="P160" t="s">
        <v>74</v>
      </c>
      <c r="Q160" t="s">
        <v>74</v>
      </c>
      <c r="R160" t="s">
        <v>74</v>
      </c>
      <c r="S160" t="s">
        <v>74</v>
      </c>
      <c r="T160" t="s">
        <v>3273</v>
      </c>
      <c r="U160" t="s">
        <v>3274</v>
      </c>
      <c r="V160" t="s">
        <v>3275</v>
      </c>
      <c r="W160" t="s">
        <v>3276</v>
      </c>
      <c r="X160" t="s">
        <v>3277</v>
      </c>
      <c r="Y160" t="s">
        <v>3278</v>
      </c>
      <c r="Z160" t="s">
        <v>3279</v>
      </c>
      <c r="AA160" t="s">
        <v>3280</v>
      </c>
      <c r="AB160" t="s">
        <v>3281</v>
      </c>
      <c r="AC160" t="s">
        <v>3282</v>
      </c>
      <c r="AD160" t="s">
        <v>3283</v>
      </c>
      <c r="AE160" t="s">
        <v>3284</v>
      </c>
      <c r="AF160" t="s">
        <v>74</v>
      </c>
      <c r="AG160">
        <v>126</v>
      </c>
      <c r="AH160">
        <v>0</v>
      </c>
      <c r="AI160">
        <v>0</v>
      </c>
      <c r="AJ160">
        <v>0</v>
      </c>
      <c r="AK160">
        <v>0</v>
      </c>
      <c r="AL160" t="s">
        <v>87</v>
      </c>
      <c r="AM160" t="s">
        <v>88</v>
      </c>
      <c r="AN160" t="s">
        <v>89</v>
      </c>
      <c r="AO160" t="s">
        <v>517</v>
      </c>
      <c r="AP160" t="s">
        <v>518</v>
      </c>
      <c r="AQ160" t="s">
        <v>74</v>
      </c>
      <c r="AR160" t="s">
        <v>519</v>
      </c>
      <c r="AS160" t="s">
        <v>520</v>
      </c>
      <c r="AT160" t="s">
        <v>3264</v>
      </c>
      <c r="AU160">
        <v>2023</v>
      </c>
      <c r="AV160" t="s">
        <v>74</v>
      </c>
      <c r="AW160" t="s">
        <v>74</v>
      </c>
      <c r="AX160" t="s">
        <v>74</v>
      </c>
      <c r="AY160" t="s">
        <v>74</v>
      </c>
      <c r="AZ160" t="s">
        <v>74</v>
      </c>
      <c r="BA160" t="s">
        <v>74</v>
      </c>
      <c r="BB160" t="s">
        <v>74</v>
      </c>
      <c r="BC160" t="s">
        <v>74</v>
      </c>
      <c r="BD160" t="s">
        <v>74</v>
      </c>
      <c r="BE160" t="s">
        <v>3285</v>
      </c>
      <c r="BF160" t="str">
        <f>HYPERLINK("http://dx.doi.org/10.1002/jcc.27231","http://dx.doi.org/10.1002/jcc.27231")</f>
        <v>http://dx.doi.org/10.1002/jcc.27231</v>
      </c>
      <c r="BG160" t="s">
        <v>74</v>
      </c>
      <c r="BH160" t="s">
        <v>407</v>
      </c>
      <c r="BI160">
        <v>12</v>
      </c>
      <c r="BJ160" t="s">
        <v>523</v>
      </c>
      <c r="BK160" t="s">
        <v>119</v>
      </c>
      <c r="BL160" t="s">
        <v>524</v>
      </c>
      <c r="BM160" t="s">
        <v>3286</v>
      </c>
      <c r="BN160">
        <v>37706600</v>
      </c>
      <c r="BO160" t="s">
        <v>122</v>
      </c>
      <c r="BP160" t="s">
        <v>74</v>
      </c>
      <c r="BQ160" t="s">
        <v>74</v>
      </c>
      <c r="BR160" t="s">
        <v>99</v>
      </c>
      <c r="BS160" t="s">
        <v>3287</v>
      </c>
      <c r="BT160" t="str">
        <f>HYPERLINK("https%3A%2F%2Fwww.webofscience.com%2Fwos%2Fwoscc%2Ffull-record%2FWOS:001066711000001","View Full Record in Web of Science")</f>
        <v>View Full Record in Web of Science</v>
      </c>
    </row>
    <row r="161" spans="1:72" x14ac:dyDescent="0.15">
      <c r="A161" t="s">
        <v>72</v>
      </c>
      <c r="B161" t="s">
        <v>3288</v>
      </c>
      <c r="C161" t="s">
        <v>74</v>
      </c>
      <c r="D161" t="s">
        <v>74</v>
      </c>
      <c r="E161" t="s">
        <v>74</v>
      </c>
      <c r="F161" t="s">
        <v>3289</v>
      </c>
      <c r="G161" t="s">
        <v>74</v>
      </c>
      <c r="H161" t="s">
        <v>74</v>
      </c>
      <c r="I161" t="s">
        <v>3290</v>
      </c>
      <c r="J161" t="s">
        <v>2663</v>
      </c>
      <c r="K161" t="s">
        <v>74</v>
      </c>
      <c r="L161" t="s">
        <v>74</v>
      </c>
      <c r="M161" t="s">
        <v>78</v>
      </c>
      <c r="N161" t="s">
        <v>2664</v>
      </c>
      <c r="O161" t="s">
        <v>74</v>
      </c>
      <c r="P161" t="s">
        <v>74</v>
      </c>
      <c r="Q161" t="s">
        <v>74</v>
      </c>
      <c r="R161" t="s">
        <v>74</v>
      </c>
      <c r="S161" t="s">
        <v>74</v>
      </c>
      <c r="T161" t="s">
        <v>74</v>
      </c>
      <c r="U161" t="s">
        <v>74</v>
      </c>
      <c r="V161" t="s">
        <v>74</v>
      </c>
      <c r="W161" t="s">
        <v>3291</v>
      </c>
      <c r="X161" t="s">
        <v>3292</v>
      </c>
      <c r="Y161" t="s">
        <v>3293</v>
      </c>
      <c r="Z161" t="s">
        <v>3294</v>
      </c>
      <c r="AA161" t="s">
        <v>74</v>
      </c>
      <c r="AB161" t="s">
        <v>3295</v>
      </c>
      <c r="AC161" t="s">
        <v>74</v>
      </c>
      <c r="AD161" t="s">
        <v>74</v>
      </c>
      <c r="AE161" t="s">
        <v>74</v>
      </c>
      <c r="AF161" t="s">
        <v>74</v>
      </c>
      <c r="AG161">
        <v>1</v>
      </c>
      <c r="AH161">
        <v>0</v>
      </c>
      <c r="AI161">
        <v>0</v>
      </c>
      <c r="AJ161">
        <v>0</v>
      </c>
      <c r="AK161">
        <v>0</v>
      </c>
      <c r="AL161" t="s">
        <v>87</v>
      </c>
      <c r="AM161" t="s">
        <v>88</v>
      </c>
      <c r="AN161" t="s">
        <v>89</v>
      </c>
      <c r="AO161" t="s">
        <v>2668</v>
      </c>
      <c r="AP161" t="s">
        <v>2669</v>
      </c>
      <c r="AQ161" t="s">
        <v>74</v>
      </c>
      <c r="AR161" t="s">
        <v>2670</v>
      </c>
      <c r="AS161" t="s">
        <v>2671</v>
      </c>
      <c r="AT161" t="s">
        <v>3264</v>
      </c>
      <c r="AU161">
        <v>2023</v>
      </c>
      <c r="AV161" t="s">
        <v>74</v>
      </c>
      <c r="AW161" t="s">
        <v>74</v>
      </c>
      <c r="AX161" t="s">
        <v>74</v>
      </c>
      <c r="AY161" t="s">
        <v>74</v>
      </c>
      <c r="AZ161" t="s">
        <v>74</v>
      </c>
      <c r="BA161" t="s">
        <v>74</v>
      </c>
      <c r="BB161" t="s">
        <v>74</v>
      </c>
      <c r="BC161" t="s">
        <v>74</v>
      </c>
      <c r="BD161" t="s">
        <v>74</v>
      </c>
      <c r="BE161" t="s">
        <v>3296</v>
      </c>
      <c r="BF161" t="str">
        <f>HYPERLINK("http://dx.doi.org/10.1111/medu.15235","http://dx.doi.org/10.1111/medu.15235")</f>
        <v>http://dx.doi.org/10.1111/medu.15235</v>
      </c>
      <c r="BG161" t="s">
        <v>74</v>
      </c>
      <c r="BH161" t="s">
        <v>407</v>
      </c>
      <c r="BI161">
        <v>2</v>
      </c>
      <c r="BJ161" t="s">
        <v>2673</v>
      </c>
      <c r="BK161" t="s">
        <v>119</v>
      </c>
      <c r="BL161" t="s">
        <v>2674</v>
      </c>
      <c r="BM161" t="s">
        <v>3297</v>
      </c>
      <c r="BN161">
        <v>37709503</v>
      </c>
      <c r="BO161" t="s">
        <v>74</v>
      </c>
      <c r="BP161" t="s">
        <v>74</v>
      </c>
      <c r="BQ161" t="s">
        <v>74</v>
      </c>
      <c r="BR161" t="s">
        <v>99</v>
      </c>
      <c r="BS161" t="s">
        <v>3298</v>
      </c>
      <c r="BT161" t="str">
        <f>HYPERLINK("https%3A%2F%2Fwww.webofscience.com%2Fwos%2Fwoscc%2Ffull-record%2FWOS:001067791200001","View Full Record in Web of Science")</f>
        <v>View Full Record in Web of Science</v>
      </c>
    </row>
    <row r="162" spans="1:72" x14ac:dyDescent="0.15">
      <c r="A162" t="s">
        <v>72</v>
      </c>
      <c r="B162" t="s">
        <v>3299</v>
      </c>
      <c r="C162" t="s">
        <v>74</v>
      </c>
      <c r="D162" t="s">
        <v>74</v>
      </c>
      <c r="E162" t="s">
        <v>74</v>
      </c>
      <c r="F162" t="s">
        <v>3300</v>
      </c>
      <c r="G162" t="s">
        <v>74</v>
      </c>
      <c r="H162" t="s">
        <v>74</v>
      </c>
      <c r="I162" t="s">
        <v>3301</v>
      </c>
      <c r="J162" t="s">
        <v>3302</v>
      </c>
      <c r="K162" t="s">
        <v>74</v>
      </c>
      <c r="L162" t="s">
        <v>74</v>
      </c>
      <c r="M162" t="s">
        <v>78</v>
      </c>
      <c r="N162" t="s">
        <v>338</v>
      </c>
      <c r="O162" t="s">
        <v>74</v>
      </c>
      <c r="P162" t="s">
        <v>74</v>
      </c>
      <c r="Q162" t="s">
        <v>74</v>
      </c>
      <c r="R162" t="s">
        <v>74</v>
      </c>
      <c r="S162" t="s">
        <v>74</v>
      </c>
      <c r="T162" t="s">
        <v>3303</v>
      </c>
      <c r="U162" t="s">
        <v>74</v>
      </c>
      <c r="V162" t="s">
        <v>3304</v>
      </c>
      <c r="W162" t="s">
        <v>3305</v>
      </c>
      <c r="X162" t="s">
        <v>3306</v>
      </c>
      <c r="Y162" t="s">
        <v>3307</v>
      </c>
      <c r="Z162" t="s">
        <v>3308</v>
      </c>
      <c r="AA162" t="s">
        <v>74</v>
      </c>
      <c r="AB162" t="s">
        <v>3309</v>
      </c>
      <c r="AC162" t="s">
        <v>3310</v>
      </c>
      <c r="AD162" t="s">
        <v>3310</v>
      </c>
      <c r="AE162" t="s">
        <v>3310</v>
      </c>
      <c r="AF162" t="s">
        <v>74</v>
      </c>
      <c r="AG162">
        <v>14</v>
      </c>
      <c r="AH162">
        <v>0</v>
      </c>
      <c r="AI162">
        <v>0</v>
      </c>
      <c r="AJ162">
        <v>0</v>
      </c>
      <c r="AK162">
        <v>0</v>
      </c>
      <c r="AL162" t="s">
        <v>87</v>
      </c>
      <c r="AM162" t="s">
        <v>88</v>
      </c>
      <c r="AN162" t="s">
        <v>89</v>
      </c>
      <c r="AO162" t="s">
        <v>3311</v>
      </c>
      <c r="AP162" t="s">
        <v>3312</v>
      </c>
      <c r="AQ162" t="s">
        <v>74</v>
      </c>
      <c r="AR162" t="s">
        <v>3313</v>
      </c>
      <c r="AS162" t="s">
        <v>3314</v>
      </c>
      <c r="AT162" t="s">
        <v>3264</v>
      </c>
      <c r="AU162">
        <v>2023</v>
      </c>
      <c r="AV162" t="s">
        <v>74</v>
      </c>
      <c r="AW162" t="s">
        <v>74</v>
      </c>
      <c r="AX162" t="s">
        <v>74</v>
      </c>
      <c r="AY162" t="s">
        <v>74</v>
      </c>
      <c r="AZ162" t="s">
        <v>74</v>
      </c>
      <c r="BA162" t="s">
        <v>74</v>
      </c>
      <c r="BB162" t="s">
        <v>74</v>
      </c>
      <c r="BC162" t="s">
        <v>74</v>
      </c>
      <c r="BD162" t="s">
        <v>74</v>
      </c>
      <c r="BE162" t="s">
        <v>3315</v>
      </c>
      <c r="BF162" t="str">
        <f>HYPERLINK("http://dx.doi.org/10.1111/aje.13212","http://dx.doi.org/10.1111/aje.13212")</f>
        <v>http://dx.doi.org/10.1111/aje.13212</v>
      </c>
      <c r="BG162" t="s">
        <v>74</v>
      </c>
      <c r="BH162" t="s">
        <v>407</v>
      </c>
      <c r="BI162">
        <v>3</v>
      </c>
      <c r="BJ162" t="s">
        <v>3316</v>
      </c>
      <c r="BK162" t="s">
        <v>119</v>
      </c>
      <c r="BL162" t="s">
        <v>3317</v>
      </c>
      <c r="BM162" t="s">
        <v>3318</v>
      </c>
      <c r="BN162" t="s">
        <v>74</v>
      </c>
      <c r="BO162" t="s">
        <v>122</v>
      </c>
      <c r="BP162" t="s">
        <v>74</v>
      </c>
      <c r="BQ162" t="s">
        <v>74</v>
      </c>
      <c r="BR162" t="s">
        <v>99</v>
      </c>
      <c r="BS162" t="s">
        <v>3319</v>
      </c>
      <c r="BT162" t="str">
        <f>HYPERLINK("https%3A%2F%2Fwww.webofscience.com%2Fwos%2Fwoscc%2Ffull-record%2FWOS:001065491200001","View Full Record in Web of Science")</f>
        <v>View Full Record in Web of Science</v>
      </c>
    </row>
    <row r="163" spans="1:72" x14ac:dyDescent="0.15">
      <c r="A163" t="s">
        <v>72</v>
      </c>
      <c r="B163" t="s">
        <v>3320</v>
      </c>
      <c r="C163" t="s">
        <v>74</v>
      </c>
      <c r="D163" t="s">
        <v>74</v>
      </c>
      <c r="E163" t="s">
        <v>74</v>
      </c>
      <c r="F163" t="s">
        <v>3321</v>
      </c>
      <c r="G163" t="s">
        <v>74</v>
      </c>
      <c r="H163" t="s">
        <v>74</v>
      </c>
      <c r="I163" t="s">
        <v>3322</v>
      </c>
      <c r="J163" t="s">
        <v>3323</v>
      </c>
      <c r="K163" t="s">
        <v>74</v>
      </c>
      <c r="L163" t="s">
        <v>74</v>
      </c>
      <c r="M163" t="s">
        <v>78</v>
      </c>
      <c r="N163" t="s">
        <v>594</v>
      </c>
      <c r="O163" t="s">
        <v>74</v>
      </c>
      <c r="P163" t="s">
        <v>74</v>
      </c>
      <c r="Q163" t="s">
        <v>74</v>
      </c>
      <c r="R163" t="s">
        <v>74</v>
      </c>
      <c r="S163" t="s">
        <v>74</v>
      </c>
      <c r="T163" t="s">
        <v>3324</v>
      </c>
      <c r="U163" t="s">
        <v>3325</v>
      </c>
      <c r="V163" t="s">
        <v>3326</v>
      </c>
      <c r="W163" t="s">
        <v>3327</v>
      </c>
      <c r="X163" t="s">
        <v>3328</v>
      </c>
      <c r="Y163" t="s">
        <v>3329</v>
      </c>
      <c r="Z163" t="s">
        <v>3330</v>
      </c>
      <c r="AA163" t="s">
        <v>74</v>
      </c>
      <c r="AB163" t="s">
        <v>3331</v>
      </c>
      <c r="AC163" t="s">
        <v>3332</v>
      </c>
      <c r="AD163" t="s">
        <v>3333</v>
      </c>
      <c r="AE163" t="s">
        <v>3334</v>
      </c>
      <c r="AF163" t="s">
        <v>74</v>
      </c>
      <c r="AG163">
        <v>96</v>
      </c>
      <c r="AH163">
        <v>0</v>
      </c>
      <c r="AI163">
        <v>0</v>
      </c>
      <c r="AJ163">
        <v>0</v>
      </c>
      <c r="AK163">
        <v>0</v>
      </c>
      <c r="AL163" t="s">
        <v>87</v>
      </c>
      <c r="AM163" t="s">
        <v>88</v>
      </c>
      <c r="AN163" t="s">
        <v>89</v>
      </c>
      <c r="AO163" t="s">
        <v>3335</v>
      </c>
      <c r="AP163" t="s">
        <v>3336</v>
      </c>
      <c r="AQ163" t="s">
        <v>74</v>
      </c>
      <c r="AR163" t="s">
        <v>3337</v>
      </c>
      <c r="AS163" t="s">
        <v>3338</v>
      </c>
      <c r="AT163" t="s">
        <v>3264</v>
      </c>
      <c r="AU163">
        <v>2023</v>
      </c>
      <c r="AV163" t="s">
        <v>74</v>
      </c>
      <c r="AW163" t="s">
        <v>74</v>
      </c>
      <c r="AX163" t="s">
        <v>74</v>
      </c>
      <c r="AY163" t="s">
        <v>74</v>
      </c>
      <c r="AZ163" t="s">
        <v>74</v>
      </c>
      <c r="BA163" t="s">
        <v>74</v>
      </c>
      <c r="BB163" t="s">
        <v>74</v>
      </c>
      <c r="BC163" t="s">
        <v>74</v>
      </c>
      <c r="BD163" t="s">
        <v>74</v>
      </c>
      <c r="BE163" t="s">
        <v>3339</v>
      </c>
      <c r="BF163" t="str">
        <f>HYPERLINK("http://dx.doi.org/10.1002/jsfa.12934","http://dx.doi.org/10.1002/jsfa.12934")</f>
        <v>http://dx.doi.org/10.1002/jsfa.12934</v>
      </c>
      <c r="BG163" t="s">
        <v>74</v>
      </c>
      <c r="BH163" t="s">
        <v>407</v>
      </c>
      <c r="BI163">
        <v>11</v>
      </c>
      <c r="BJ163" t="s">
        <v>3340</v>
      </c>
      <c r="BK163" t="s">
        <v>119</v>
      </c>
      <c r="BL163" t="s">
        <v>3341</v>
      </c>
      <c r="BM163" t="s">
        <v>3342</v>
      </c>
      <c r="BN163">
        <v>37607216</v>
      </c>
      <c r="BO163" t="s">
        <v>74</v>
      </c>
      <c r="BP163" t="s">
        <v>74</v>
      </c>
      <c r="BQ163" t="s">
        <v>74</v>
      </c>
      <c r="BR163" t="s">
        <v>99</v>
      </c>
      <c r="BS163" t="s">
        <v>3343</v>
      </c>
      <c r="BT163" t="str">
        <f>HYPERLINK("https%3A%2F%2Fwww.webofscience.com%2Fwos%2Fwoscc%2Ffull-record%2FWOS:001065385600001","View Full Record in Web of Science")</f>
        <v>View Full Record in Web of Science</v>
      </c>
    </row>
    <row r="164" spans="1:72" x14ac:dyDescent="0.15">
      <c r="A164" t="s">
        <v>72</v>
      </c>
      <c r="B164" t="s">
        <v>3344</v>
      </c>
      <c r="C164" t="s">
        <v>74</v>
      </c>
      <c r="D164" t="s">
        <v>74</v>
      </c>
      <c r="E164" t="s">
        <v>74</v>
      </c>
      <c r="F164" t="s">
        <v>3345</v>
      </c>
      <c r="G164" t="s">
        <v>74</v>
      </c>
      <c r="H164" t="s">
        <v>74</v>
      </c>
      <c r="I164" t="s">
        <v>3346</v>
      </c>
      <c r="J164" t="s">
        <v>3347</v>
      </c>
      <c r="K164" t="s">
        <v>74</v>
      </c>
      <c r="L164" t="s">
        <v>74</v>
      </c>
      <c r="M164" t="s">
        <v>78</v>
      </c>
      <c r="N164" t="s">
        <v>338</v>
      </c>
      <c r="O164" t="s">
        <v>74</v>
      </c>
      <c r="P164" t="s">
        <v>74</v>
      </c>
      <c r="Q164" t="s">
        <v>74</v>
      </c>
      <c r="R164" t="s">
        <v>74</v>
      </c>
      <c r="S164" t="s">
        <v>74</v>
      </c>
      <c r="T164" t="s">
        <v>3348</v>
      </c>
      <c r="U164" t="s">
        <v>3349</v>
      </c>
      <c r="V164" t="s">
        <v>3350</v>
      </c>
      <c r="W164" t="s">
        <v>3351</v>
      </c>
      <c r="X164" t="s">
        <v>3352</v>
      </c>
      <c r="Y164" t="s">
        <v>3353</v>
      </c>
      <c r="Z164" t="s">
        <v>3354</v>
      </c>
      <c r="AA164" t="s">
        <v>74</v>
      </c>
      <c r="AB164" t="s">
        <v>3355</v>
      </c>
      <c r="AC164" t="s">
        <v>3356</v>
      </c>
      <c r="AD164" t="s">
        <v>3356</v>
      </c>
      <c r="AE164" t="s">
        <v>3357</v>
      </c>
      <c r="AF164" t="s">
        <v>74</v>
      </c>
      <c r="AG164">
        <v>44</v>
      </c>
      <c r="AH164">
        <v>0</v>
      </c>
      <c r="AI164">
        <v>0</v>
      </c>
      <c r="AJ164">
        <v>2</v>
      </c>
      <c r="AK164">
        <v>2</v>
      </c>
      <c r="AL164" t="s">
        <v>426</v>
      </c>
      <c r="AM164" t="s">
        <v>427</v>
      </c>
      <c r="AN164" t="s">
        <v>428</v>
      </c>
      <c r="AO164" t="s">
        <v>3358</v>
      </c>
      <c r="AP164" t="s">
        <v>3359</v>
      </c>
      <c r="AQ164" t="s">
        <v>74</v>
      </c>
      <c r="AR164" t="s">
        <v>3347</v>
      </c>
      <c r="AS164" t="s">
        <v>3360</v>
      </c>
      <c r="AT164" t="s">
        <v>3361</v>
      </c>
      <c r="AU164">
        <v>2023</v>
      </c>
      <c r="AV164" t="s">
        <v>74</v>
      </c>
      <c r="AW164" t="s">
        <v>74</v>
      </c>
      <c r="AX164" t="s">
        <v>74</v>
      </c>
      <c r="AY164" t="s">
        <v>74</v>
      </c>
      <c r="AZ164" t="s">
        <v>74</v>
      </c>
      <c r="BA164" t="s">
        <v>74</v>
      </c>
      <c r="BB164" t="s">
        <v>74</v>
      </c>
      <c r="BC164" t="s">
        <v>74</v>
      </c>
      <c r="BD164" t="s">
        <v>74</v>
      </c>
      <c r="BE164" t="s">
        <v>3362</v>
      </c>
      <c r="BF164" t="str">
        <f>HYPERLINK("http://dx.doi.org/10.1002/cbic.202300463","http://dx.doi.org/10.1002/cbic.202300463")</f>
        <v>http://dx.doi.org/10.1002/cbic.202300463</v>
      </c>
      <c r="BG164" t="s">
        <v>74</v>
      </c>
      <c r="BH164" t="s">
        <v>407</v>
      </c>
      <c r="BI164">
        <v>10</v>
      </c>
      <c r="BJ164" t="s">
        <v>3363</v>
      </c>
      <c r="BK164" t="s">
        <v>119</v>
      </c>
      <c r="BL164" t="s">
        <v>3364</v>
      </c>
      <c r="BM164" t="s">
        <v>3365</v>
      </c>
      <c r="BN164">
        <v>37578628</v>
      </c>
      <c r="BO164" t="s">
        <v>122</v>
      </c>
      <c r="BP164" t="s">
        <v>74</v>
      </c>
      <c r="BQ164" t="s">
        <v>74</v>
      </c>
      <c r="BR164" t="s">
        <v>99</v>
      </c>
      <c r="BS164" t="s">
        <v>3366</v>
      </c>
      <c r="BT164" t="str">
        <f>HYPERLINK("https%3A%2F%2Fwww.webofscience.com%2Fwos%2Fwoscc%2Ffull-record%2FWOS:001064565700001","View Full Record in Web of Science")</f>
        <v>View Full Record in Web of Science</v>
      </c>
    </row>
    <row r="165" spans="1:72" x14ac:dyDescent="0.15">
      <c r="A165" t="s">
        <v>72</v>
      </c>
      <c r="B165" t="s">
        <v>3367</v>
      </c>
      <c r="C165" t="s">
        <v>74</v>
      </c>
      <c r="D165" t="s">
        <v>74</v>
      </c>
      <c r="E165" t="s">
        <v>74</v>
      </c>
      <c r="F165" t="s">
        <v>3368</v>
      </c>
      <c r="G165" t="s">
        <v>74</v>
      </c>
      <c r="H165" t="s">
        <v>74</v>
      </c>
      <c r="I165" t="s">
        <v>3369</v>
      </c>
      <c r="J165" t="s">
        <v>3370</v>
      </c>
      <c r="K165" t="s">
        <v>74</v>
      </c>
      <c r="L165" t="s">
        <v>74</v>
      </c>
      <c r="M165" t="s">
        <v>78</v>
      </c>
      <c r="N165" t="s">
        <v>338</v>
      </c>
      <c r="O165" t="s">
        <v>74</v>
      </c>
      <c r="P165" t="s">
        <v>74</v>
      </c>
      <c r="Q165" t="s">
        <v>74</v>
      </c>
      <c r="R165" t="s">
        <v>74</v>
      </c>
      <c r="S165" t="s">
        <v>74</v>
      </c>
      <c r="T165" t="s">
        <v>3371</v>
      </c>
      <c r="U165" t="s">
        <v>3372</v>
      </c>
      <c r="V165" t="s">
        <v>3373</v>
      </c>
      <c r="W165" t="s">
        <v>3374</v>
      </c>
      <c r="X165" t="s">
        <v>3375</v>
      </c>
      <c r="Y165" t="s">
        <v>3376</v>
      </c>
      <c r="Z165" t="s">
        <v>3377</v>
      </c>
      <c r="AA165" t="s">
        <v>74</v>
      </c>
      <c r="AB165" t="s">
        <v>74</v>
      </c>
      <c r="AC165" t="s">
        <v>3378</v>
      </c>
      <c r="AD165" t="s">
        <v>3379</v>
      </c>
      <c r="AE165" t="s">
        <v>3380</v>
      </c>
      <c r="AF165" t="s">
        <v>74</v>
      </c>
      <c r="AG165">
        <v>53</v>
      </c>
      <c r="AH165">
        <v>0</v>
      </c>
      <c r="AI165">
        <v>0</v>
      </c>
      <c r="AJ165">
        <v>0</v>
      </c>
      <c r="AK165">
        <v>0</v>
      </c>
      <c r="AL165" t="s">
        <v>426</v>
      </c>
      <c r="AM165" t="s">
        <v>427</v>
      </c>
      <c r="AN165" t="s">
        <v>428</v>
      </c>
      <c r="AO165" t="s">
        <v>3381</v>
      </c>
      <c r="AP165" t="s">
        <v>74</v>
      </c>
      <c r="AQ165" t="s">
        <v>74</v>
      </c>
      <c r="AR165" t="s">
        <v>3382</v>
      </c>
      <c r="AS165" t="s">
        <v>3383</v>
      </c>
      <c r="AT165" t="s">
        <v>3361</v>
      </c>
      <c r="AU165">
        <v>2023</v>
      </c>
      <c r="AV165" t="s">
        <v>74</v>
      </c>
      <c r="AW165" t="s">
        <v>74</v>
      </c>
      <c r="AX165" t="s">
        <v>74</v>
      </c>
      <c r="AY165" t="s">
        <v>74</v>
      </c>
      <c r="AZ165" t="s">
        <v>74</v>
      </c>
      <c r="BA165" t="s">
        <v>74</v>
      </c>
      <c r="BB165" t="s">
        <v>74</v>
      </c>
      <c r="BC165" t="s">
        <v>74</v>
      </c>
      <c r="BD165">
        <v>2301554</v>
      </c>
      <c r="BE165" t="s">
        <v>3384</v>
      </c>
      <c r="BF165" t="str">
        <f>HYPERLINK("http://dx.doi.org/10.1002/adom.202301554","http://dx.doi.org/10.1002/adom.202301554")</f>
        <v>http://dx.doi.org/10.1002/adom.202301554</v>
      </c>
      <c r="BG165" t="s">
        <v>74</v>
      </c>
      <c r="BH165" t="s">
        <v>407</v>
      </c>
      <c r="BI165">
        <v>9</v>
      </c>
      <c r="BJ165" t="s">
        <v>3385</v>
      </c>
      <c r="BK165" t="s">
        <v>119</v>
      </c>
      <c r="BL165" t="s">
        <v>3386</v>
      </c>
      <c r="BM165" t="s">
        <v>3387</v>
      </c>
      <c r="BN165" t="s">
        <v>74</v>
      </c>
      <c r="BO165" t="s">
        <v>122</v>
      </c>
      <c r="BP165" t="s">
        <v>74</v>
      </c>
      <c r="BQ165" t="s">
        <v>74</v>
      </c>
      <c r="BR165" t="s">
        <v>99</v>
      </c>
      <c r="BS165" t="s">
        <v>3388</v>
      </c>
      <c r="BT165" t="str">
        <f>HYPERLINK("https%3A%2F%2Fwww.webofscience.com%2Fwos%2Fwoscc%2Ffull-record%2FWOS:001066209100001","View Full Record in Web of Science")</f>
        <v>View Full Record in Web of Science</v>
      </c>
    </row>
    <row r="166" spans="1:72" x14ac:dyDescent="0.15">
      <c r="A166" t="s">
        <v>72</v>
      </c>
      <c r="B166" t="s">
        <v>3389</v>
      </c>
      <c r="C166" t="s">
        <v>74</v>
      </c>
      <c r="D166" t="s">
        <v>74</v>
      </c>
      <c r="E166" t="s">
        <v>74</v>
      </c>
      <c r="F166" t="s">
        <v>3390</v>
      </c>
      <c r="G166" t="s">
        <v>74</v>
      </c>
      <c r="H166" t="s">
        <v>74</v>
      </c>
      <c r="I166" t="s">
        <v>3391</v>
      </c>
      <c r="J166" t="s">
        <v>2028</v>
      </c>
      <c r="K166" t="s">
        <v>74</v>
      </c>
      <c r="L166" t="s">
        <v>74</v>
      </c>
      <c r="M166" t="s">
        <v>78</v>
      </c>
      <c r="N166" t="s">
        <v>3392</v>
      </c>
      <c r="O166" t="s">
        <v>74</v>
      </c>
      <c r="P166" t="s">
        <v>74</v>
      </c>
      <c r="Q166" t="s">
        <v>74</v>
      </c>
      <c r="R166" t="s">
        <v>74</v>
      </c>
      <c r="S166" t="s">
        <v>74</v>
      </c>
      <c r="T166" t="s">
        <v>3393</v>
      </c>
      <c r="U166" t="s">
        <v>3394</v>
      </c>
      <c r="V166" t="s">
        <v>3395</v>
      </c>
      <c r="W166" t="s">
        <v>3396</v>
      </c>
      <c r="X166" t="s">
        <v>3397</v>
      </c>
      <c r="Y166" t="s">
        <v>3398</v>
      </c>
      <c r="Z166" t="s">
        <v>3399</v>
      </c>
      <c r="AA166" t="s">
        <v>74</v>
      </c>
      <c r="AB166" t="s">
        <v>74</v>
      </c>
      <c r="AC166" t="s">
        <v>3400</v>
      </c>
      <c r="AD166" t="s">
        <v>3401</v>
      </c>
      <c r="AE166" t="s">
        <v>3402</v>
      </c>
      <c r="AF166" t="s">
        <v>74</v>
      </c>
      <c r="AG166">
        <v>163</v>
      </c>
      <c r="AH166">
        <v>0</v>
      </c>
      <c r="AI166">
        <v>0</v>
      </c>
      <c r="AJ166">
        <v>3</v>
      </c>
      <c r="AK166">
        <v>3</v>
      </c>
      <c r="AL166" t="s">
        <v>426</v>
      </c>
      <c r="AM166" t="s">
        <v>427</v>
      </c>
      <c r="AN166" t="s">
        <v>428</v>
      </c>
      <c r="AO166" t="s">
        <v>2037</v>
      </c>
      <c r="AP166" t="s">
        <v>74</v>
      </c>
      <c r="AQ166" t="s">
        <v>74</v>
      </c>
      <c r="AR166" t="s">
        <v>2028</v>
      </c>
      <c r="AS166" t="s">
        <v>2038</v>
      </c>
      <c r="AT166" t="s">
        <v>3403</v>
      </c>
      <c r="AU166">
        <v>2023</v>
      </c>
      <c r="AV166">
        <v>8</v>
      </c>
      <c r="AW166">
        <v>34</v>
      </c>
      <c r="AX166" t="s">
        <v>74</v>
      </c>
      <c r="AY166" t="s">
        <v>74</v>
      </c>
      <c r="AZ166" t="s">
        <v>74</v>
      </c>
      <c r="BA166" t="s">
        <v>74</v>
      </c>
      <c r="BB166" t="s">
        <v>74</v>
      </c>
      <c r="BC166" t="s">
        <v>74</v>
      </c>
      <c r="BD166" t="s">
        <v>3404</v>
      </c>
      <c r="BE166" t="s">
        <v>3405</v>
      </c>
      <c r="BF166" t="str">
        <f>HYPERLINK("http://dx.doi.org/10.1002/slct.202302177","http://dx.doi.org/10.1002/slct.202302177")</f>
        <v>http://dx.doi.org/10.1002/slct.202302177</v>
      </c>
      <c r="BG166" t="s">
        <v>74</v>
      </c>
      <c r="BH166" t="s">
        <v>74</v>
      </c>
      <c r="BI166">
        <v>13</v>
      </c>
      <c r="BJ166" t="s">
        <v>523</v>
      </c>
      <c r="BK166" t="s">
        <v>119</v>
      </c>
      <c r="BL166" t="s">
        <v>524</v>
      </c>
      <c r="BM166" t="s">
        <v>3406</v>
      </c>
      <c r="BN166" t="s">
        <v>74</v>
      </c>
      <c r="BO166" t="s">
        <v>74</v>
      </c>
      <c r="BP166" t="s">
        <v>74</v>
      </c>
      <c r="BQ166" t="s">
        <v>74</v>
      </c>
      <c r="BR166" t="s">
        <v>99</v>
      </c>
      <c r="BS166" t="s">
        <v>3407</v>
      </c>
      <c r="BT166" t="str">
        <f>HYPERLINK("https%3A%2F%2Fwww.webofscience.com%2Fwos%2Fwoscc%2Ffull-record%2FWOS:001060072000001","View Full Record in Web of Science")</f>
        <v>View Full Record in Web of Science</v>
      </c>
    </row>
    <row r="167" spans="1:72" x14ac:dyDescent="0.15">
      <c r="A167" t="s">
        <v>72</v>
      </c>
      <c r="B167" t="s">
        <v>3408</v>
      </c>
      <c r="C167" t="s">
        <v>74</v>
      </c>
      <c r="D167" t="s">
        <v>74</v>
      </c>
      <c r="E167" t="s">
        <v>74</v>
      </c>
      <c r="F167" t="s">
        <v>3409</v>
      </c>
      <c r="G167" t="s">
        <v>74</v>
      </c>
      <c r="H167" t="s">
        <v>74</v>
      </c>
      <c r="I167" t="s">
        <v>3410</v>
      </c>
      <c r="J167" t="s">
        <v>3411</v>
      </c>
      <c r="K167" t="s">
        <v>74</v>
      </c>
      <c r="L167" t="s">
        <v>74</v>
      </c>
      <c r="M167" t="s">
        <v>78</v>
      </c>
      <c r="N167" t="s">
        <v>338</v>
      </c>
      <c r="O167" t="s">
        <v>74</v>
      </c>
      <c r="P167" t="s">
        <v>74</v>
      </c>
      <c r="Q167" t="s">
        <v>74</v>
      </c>
      <c r="R167" t="s">
        <v>74</v>
      </c>
      <c r="S167" t="s">
        <v>74</v>
      </c>
      <c r="T167" t="s">
        <v>3412</v>
      </c>
      <c r="U167" t="s">
        <v>3413</v>
      </c>
      <c r="V167" t="s">
        <v>3414</v>
      </c>
      <c r="W167" t="s">
        <v>3415</v>
      </c>
      <c r="X167" t="s">
        <v>3416</v>
      </c>
      <c r="Y167" t="s">
        <v>3417</v>
      </c>
      <c r="Z167" t="s">
        <v>3418</v>
      </c>
      <c r="AA167" t="s">
        <v>74</v>
      </c>
      <c r="AB167" t="s">
        <v>3419</v>
      </c>
      <c r="AC167" t="s">
        <v>3420</v>
      </c>
      <c r="AD167" t="s">
        <v>3420</v>
      </c>
      <c r="AE167" t="s">
        <v>3421</v>
      </c>
      <c r="AF167" t="s">
        <v>74</v>
      </c>
      <c r="AG167">
        <v>25</v>
      </c>
      <c r="AH167">
        <v>0</v>
      </c>
      <c r="AI167">
        <v>0</v>
      </c>
      <c r="AJ167">
        <v>0</v>
      </c>
      <c r="AK167">
        <v>0</v>
      </c>
      <c r="AL167" t="s">
        <v>87</v>
      </c>
      <c r="AM167" t="s">
        <v>88</v>
      </c>
      <c r="AN167" t="s">
        <v>89</v>
      </c>
      <c r="AO167" t="s">
        <v>3422</v>
      </c>
      <c r="AP167" t="s">
        <v>3423</v>
      </c>
      <c r="AQ167" t="s">
        <v>74</v>
      </c>
      <c r="AR167" t="s">
        <v>3424</v>
      </c>
      <c r="AS167" t="s">
        <v>3425</v>
      </c>
      <c r="AT167" t="s">
        <v>3361</v>
      </c>
      <c r="AU167">
        <v>2023</v>
      </c>
      <c r="AV167" t="s">
        <v>74</v>
      </c>
      <c r="AW167" t="s">
        <v>74</v>
      </c>
      <c r="AX167" t="s">
        <v>74</v>
      </c>
      <c r="AY167" t="s">
        <v>74</v>
      </c>
      <c r="AZ167" t="s">
        <v>74</v>
      </c>
      <c r="BA167" t="s">
        <v>74</v>
      </c>
      <c r="BB167" t="s">
        <v>74</v>
      </c>
      <c r="BC167" t="s">
        <v>74</v>
      </c>
      <c r="BD167" t="s">
        <v>74</v>
      </c>
      <c r="BE167" t="s">
        <v>3426</v>
      </c>
      <c r="BF167" t="str">
        <f>HYPERLINK("http://dx.doi.org/10.1002/ppul.26689","http://dx.doi.org/10.1002/ppul.26689")</f>
        <v>http://dx.doi.org/10.1002/ppul.26689</v>
      </c>
      <c r="BG167" t="s">
        <v>74</v>
      </c>
      <c r="BH167" t="s">
        <v>407</v>
      </c>
      <c r="BI167">
        <v>11</v>
      </c>
      <c r="BJ167" t="s">
        <v>3427</v>
      </c>
      <c r="BK167" t="s">
        <v>119</v>
      </c>
      <c r="BL167" t="s">
        <v>3427</v>
      </c>
      <c r="BM167" t="s">
        <v>3428</v>
      </c>
      <c r="BN167">
        <v>37701936</v>
      </c>
      <c r="BO167" t="s">
        <v>74</v>
      </c>
      <c r="BP167" t="s">
        <v>74</v>
      </c>
      <c r="BQ167" t="s">
        <v>74</v>
      </c>
      <c r="BR167" t="s">
        <v>99</v>
      </c>
      <c r="BS167" t="s">
        <v>3429</v>
      </c>
      <c r="BT167" t="str">
        <f>HYPERLINK("https%3A%2F%2Fwww.webofscience.com%2Fwos%2Fwoscc%2Ffull-record%2FWOS:001066168000001","View Full Record in Web of Science")</f>
        <v>View Full Record in Web of Science</v>
      </c>
    </row>
    <row r="168" spans="1:72" x14ac:dyDescent="0.15">
      <c r="A168" t="s">
        <v>72</v>
      </c>
      <c r="B168" t="s">
        <v>3430</v>
      </c>
      <c r="C168" t="s">
        <v>74</v>
      </c>
      <c r="D168" t="s">
        <v>74</v>
      </c>
      <c r="E168" t="s">
        <v>74</v>
      </c>
      <c r="F168" t="s">
        <v>3431</v>
      </c>
      <c r="G168" t="s">
        <v>74</v>
      </c>
      <c r="H168" t="s">
        <v>74</v>
      </c>
      <c r="I168" t="s">
        <v>3432</v>
      </c>
      <c r="J168" t="s">
        <v>593</v>
      </c>
      <c r="K168" t="s">
        <v>74</v>
      </c>
      <c r="L168" t="s">
        <v>74</v>
      </c>
      <c r="M168" t="s">
        <v>78</v>
      </c>
      <c r="N168" t="s">
        <v>338</v>
      </c>
      <c r="O168" t="s">
        <v>74</v>
      </c>
      <c r="P168" t="s">
        <v>74</v>
      </c>
      <c r="Q168" t="s">
        <v>74</v>
      </c>
      <c r="R168" t="s">
        <v>74</v>
      </c>
      <c r="S168" t="s">
        <v>74</v>
      </c>
      <c r="T168" t="s">
        <v>3433</v>
      </c>
      <c r="U168" t="s">
        <v>3434</v>
      </c>
      <c r="V168" t="s">
        <v>3435</v>
      </c>
      <c r="W168" t="s">
        <v>3436</v>
      </c>
      <c r="X168" t="s">
        <v>3437</v>
      </c>
      <c r="Y168" t="s">
        <v>3438</v>
      </c>
      <c r="Z168" t="s">
        <v>3439</v>
      </c>
      <c r="AA168" t="s">
        <v>3440</v>
      </c>
      <c r="AB168" t="s">
        <v>3441</v>
      </c>
      <c r="AC168" t="s">
        <v>3442</v>
      </c>
      <c r="AD168" t="s">
        <v>3443</v>
      </c>
      <c r="AE168" t="s">
        <v>3444</v>
      </c>
      <c r="AF168" t="s">
        <v>74</v>
      </c>
      <c r="AG168">
        <v>31</v>
      </c>
      <c r="AH168">
        <v>0</v>
      </c>
      <c r="AI168">
        <v>0</v>
      </c>
      <c r="AJ168">
        <v>2</v>
      </c>
      <c r="AK168">
        <v>2</v>
      </c>
      <c r="AL168" t="s">
        <v>426</v>
      </c>
      <c r="AM168" t="s">
        <v>427</v>
      </c>
      <c r="AN168" t="s">
        <v>428</v>
      </c>
      <c r="AO168" t="s">
        <v>605</v>
      </c>
      <c r="AP168" t="s">
        <v>606</v>
      </c>
      <c r="AQ168" t="s">
        <v>74</v>
      </c>
      <c r="AR168" t="s">
        <v>593</v>
      </c>
      <c r="AS168" t="s">
        <v>607</v>
      </c>
      <c r="AT168" t="s">
        <v>3361</v>
      </c>
      <c r="AU168">
        <v>2023</v>
      </c>
      <c r="AV168" t="s">
        <v>74</v>
      </c>
      <c r="AW168" t="s">
        <v>74</v>
      </c>
      <c r="AX168" t="s">
        <v>74</v>
      </c>
      <c r="AY168" t="s">
        <v>74</v>
      </c>
      <c r="AZ168" t="s">
        <v>74</v>
      </c>
      <c r="BA168" t="s">
        <v>74</v>
      </c>
      <c r="BB168" t="s">
        <v>74</v>
      </c>
      <c r="BC168" t="s">
        <v>74</v>
      </c>
      <c r="BD168" t="s">
        <v>74</v>
      </c>
      <c r="BE168" t="s">
        <v>3445</v>
      </c>
      <c r="BF168" t="str">
        <f>HYPERLINK("http://dx.doi.org/10.1002/smll.202303916","http://dx.doi.org/10.1002/smll.202303916")</f>
        <v>http://dx.doi.org/10.1002/smll.202303916</v>
      </c>
      <c r="BG168" t="s">
        <v>74</v>
      </c>
      <c r="BH168" t="s">
        <v>407</v>
      </c>
      <c r="BI168">
        <v>12</v>
      </c>
      <c r="BJ168" t="s">
        <v>609</v>
      </c>
      <c r="BK168" t="s">
        <v>119</v>
      </c>
      <c r="BL168" t="s">
        <v>610</v>
      </c>
      <c r="BM168" t="s">
        <v>3446</v>
      </c>
      <c r="BN168">
        <v>37705134</v>
      </c>
      <c r="BO168" t="s">
        <v>74</v>
      </c>
      <c r="BP168" t="s">
        <v>74</v>
      </c>
      <c r="BQ168" t="s">
        <v>74</v>
      </c>
      <c r="BR168" t="s">
        <v>99</v>
      </c>
      <c r="BS168" t="s">
        <v>3447</v>
      </c>
      <c r="BT168" t="str">
        <f>HYPERLINK("https%3A%2F%2Fwww.webofscience.com%2Fwos%2Fwoscc%2Ffull-record%2FWOS:001064846100001","View Full Record in Web of Science")</f>
        <v>View Full Record in Web of Science</v>
      </c>
    </row>
    <row r="169" spans="1:72" x14ac:dyDescent="0.15">
      <c r="A169" t="s">
        <v>72</v>
      </c>
      <c r="B169" t="s">
        <v>3448</v>
      </c>
      <c r="C169" t="s">
        <v>74</v>
      </c>
      <c r="D169" t="s">
        <v>74</v>
      </c>
      <c r="E169" t="s">
        <v>74</v>
      </c>
      <c r="F169" t="s">
        <v>3449</v>
      </c>
      <c r="G169" t="s">
        <v>74</v>
      </c>
      <c r="H169" t="s">
        <v>74</v>
      </c>
      <c r="I169" t="s">
        <v>3450</v>
      </c>
      <c r="J169" t="s">
        <v>1001</v>
      </c>
      <c r="K169" t="s">
        <v>74</v>
      </c>
      <c r="L169" t="s">
        <v>74</v>
      </c>
      <c r="M169" t="s">
        <v>78</v>
      </c>
      <c r="N169" t="s">
        <v>594</v>
      </c>
      <c r="O169" t="s">
        <v>74</v>
      </c>
      <c r="P169" t="s">
        <v>74</v>
      </c>
      <c r="Q169" t="s">
        <v>74</v>
      </c>
      <c r="R169" t="s">
        <v>74</v>
      </c>
      <c r="S169" t="s">
        <v>74</v>
      </c>
      <c r="T169" t="s">
        <v>3451</v>
      </c>
      <c r="U169" t="s">
        <v>3452</v>
      </c>
      <c r="V169" t="s">
        <v>3453</v>
      </c>
      <c r="W169" t="s">
        <v>3454</v>
      </c>
      <c r="X169" t="s">
        <v>3455</v>
      </c>
      <c r="Y169" t="s">
        <v>3456</v>
      </c>
      <c r="Z169" t="s">
        <v>3457</v>
      </c>
      <c r="AA169" t="s">
        <v>3458</v>
      </c>
      <c r="AB169" t="s">
        <v>3459</v>
      </c>
      <c r="AC169" t="s">
        <v>3460</v>
      </c>
      <c r="AD169" t="s">
        <v>3461</v>
      </c>
      <c r="AE169" t="s">
        <v>3462</v>
      </c>
      <c r="AF169" t="s">
        <v>74</v>
      </c>
      <c r="AG169">
        <v>80</v>
      </c>
      <c r="AH169">
        <v>0</v>
      </c>
      <c r="AI169">
        <v>0</v>
      </c>
      <c r="AJ169">
        <v>6</v>
      </c>
      <c r="AK169">
        <v>6</v>
      </c>
      <c r="AL169" t="s">
        <v>426</v>
      </c>
      <c r="AM169" t="s">
        <v>427</v>
      </c>
      <c r="AN169" t="s">
        <v>428</v>
      </c>
      <c r="AO169" t="s">
        <v>1014</v>
      </c>
      <c r="AP169" t="s">
        <v>1015</v>
      </c>
      <c r="AQ169" t="s">
        <v>74</v>
      </c>
      <c r="AR169" t="s">
        <v>1016</v>
      </c>
      <c r="AS169" t="s">
        <v>1017</v>
      </c>
      <c r="AT169" t="s">
        <v>3361</v>
      </c>
      <c r="AU169">
        <v>2023</v>
      </c>
      <c r="AV169" t="s">
        <v>74</v>
      </c>
      <c r="AW169" t="s">
        <v>74</v>
      </c>
      <c r="AX169" t="s">
        <v>74</v>
      </c>
      <c r="AY169" t="s">
        <v>74</v>
      </c>
      <c r="AZ169" t="s">
        <v>74</v>
      </c>
      <c r="BA169" t="s">
        <v>74</v>
      </c>
      <c r="BB169" t="s">
        <v>74</v>
      </c>
      <c r="BC169" t="s">
        <v>74</v>
      </c>
      <c r="BD169" t="s">
        <v>74</v>
      </c>
      <c r="BE169" t="s">
        <v>3463</v>
      </c>
      <c r="BF169" t="str">
        <f>HYPERLINK("http://dx.doi.org/10.1002/anie.202309160","http://dx.doi.org/10.1002/anie.202309160")</f>
        <v>http://dx.doi.org/10.1002/anie.202309160</v>
      </c>
      <c r="BG169" t="s">
        <v>74</v>
      </c>
      <c r="BH169" t="s">
        <v>407</v>
      </c>
      <c r="BI169">
        <v>16</v>
      </c>
      <c r="BJ169" t="s">
        <v>523</v>
      </c>
      <c r="BK169" t="s">
        <v>119</v>
      </c>
      <c r="BL169" t="s">
        <v>524</v>
      </c>
      <c r="BM169" t="s">
        <v>3464</v>
      </c>
      <c r="BN169">
        <v>37653555</v>
      </c>
      <c r="BO169" t="s">
        <v>74</v>
      </c>
      <c r="BP169" t="s">
        <v>74</v>
      </c>
      <c r="BQ169" t="s">
        <v>74</v>
      </c>
      <c r="BR169" t="s">
        <v>99</v>
      </c>
      <c r="BS169" t="s">
        <v>3465</v>
      </c>
      <c r="BT169" t="str">
        <f>HYPERLINK("https%3A%2F%2Fwww.webofscience.com%2Fwos%2Fwoscc%2Ffull-record%2FWOS:001070189800001","View Full Record in Web of Science")</f>
        <v>View Full Record in Web of Science</v>
      </c>
    </row>
    <row r="170" spans="1:72" x14ac:dyDescent="0.15">
      <c r="A170" t="s">
        <v>72</v>
      </c>
      <c r="B170" t="s">
        <v>3466</v>
      </c>
      <c r="C170" t="s">
        <v>74</v>
      </c>
      <c r="D170" t="s">
        <v>74</v>
      </c>
      <c r="E170" t="s">
        <v>74</v>
      </c>
      <c r="F170" t="s">
        <v>3467</v>
      </c>
      <c r="G170" t="s">
        <v>74</v>
      </c>
      <c r="H170" t="s">
        <v>74</v>
      </c>
      <c r="I170" t="s">
        <v>3468</v>
      </c>
      <c r="J170" t="s">
        <v>3469</v>
      </c>
      <c r="K170" t="s">
        <v>74</v>
      </c>
      <c r="L170" t="s">
        <v>74</v>
      </c>
      <c r="M170" t="s">
        <v>78</v>
      </c>
      <c r="N170" t="s">
        <v>338</v>
      </c>
      <c r="O170" t="s">
        <v>74</v>
      </c>
      <c r="P170" t="s">
        <v>74</v>
      </c>
      <c r="Q170" t="s">
        <v>74</v>
      </c>
      <c r="R170" t="s">
        <v>74</v>
      </c>
      <c r="S170" t="s">
        <v>74</v>
      </c>
      <c r="T170" t="s">
        <v>3470</v>
      </c>
      <c r="U170" t="s">
        <v>3471</v>
      </c>
      <c r="V170" t="s">
        <v>3472</v>
      </c>
      <c r="W170" t="s">
        <v>3473</v>
      </c>
      <c r="X170" t="s">
        <v>3474</v>
      </c>
      <c r="Y170" t="s">
        <v>3475</v>
      </c>
      <c r="Z170" t="s">
        <v>3476</v>
      </c>
      <c r="AA170" t="s">
        <v>74</v>
      </c>
      <c r="AB170" t="s">
        <v>3477</v>
      </c>
      <c r="AC170" t="s">
        <v>3478</v>
      </c>
      <c r="AD170" t="s">
        <v>3478</v>
      </c>
      <c r="AE170" t="s">
        <v>3478</v>
      </c>
      <c r="AF170" t="s">
        <v>74</v>
      </c>
      <c r="AG170">
        <v>125</v>
      </c>
      <c r="AH170">
        <v>0</v>
      </c>
      <c r="AI170">
        <v>0</v>
      </c>
      <c r="AJ170">
        <v>1</v>
      </c>
      <c r="AK170">
        <v>1</v>
      </c>
      <c r="AL170" t="s">
        <v>87</v>
      </c>
      <c r="AM170" t="s">
        <v>88</v>
      </c>
      <c r="AN170" t="s">
        <v>89</v>
      </c>
      <c r="AO170" t="s">
        <v>3479</v>
      </c>
      <c r="AP170" t="s">
        <v>3480</v>
      </c>
      <c r="AQ170" t="s">
        <v>74</v>
      </c>
      <c r="AR170" t="s">
        <v>3481</v>
      </c>
      <c r="AS170" t="s">
        <v>3482</v>
      </c>
      <c r="AT170" t="s">
        <v>3361</v>
      </c>
      <c r="AU170">
        <v>2023</v>
      </c>
      <c r="AV170" t="s">
        <v>74</v>
      </c>
      <c r="AW170" t="s">
        <v>74</v>
      </c>
      <c r="AX170" t="s">
        <v>74</v>
      </c>
      <c r="AY170" t="s">
        <v>74</v>
      </c>
      <c r="AZ170" t="s">
        <v>74</v>
      </c>
      <c r="BA170" t="s">
        <v>74</v>
      </c>
      <c r="BB170" t="s">
        <v>74</v>
      </c>
      <c r="BC170" t="s">
        <v>74</v>
      </c>
      <c r="BD170" t="s">
        <v>74</v>
      </c>
      <c r="BE170" t="s">
        <v>3483</v>
      </c>
      <c r="BF170" t="str">
        <f>HYPERLINK("http://dx.doi.org/10.1111/jnc.15961","http://dx.doi.org/10.1111/jnc.15961")</f>
        <v>http://dx.doi.org/10.1111/jnc.15961</v>
      </c>
      <c r="BG170" t="s">
        <v>74</v>
      </c>
      <c r="BH170" t="s">
        <v>407</v>
      </c>
      <c r="BI170">
        <v>19</v>
      </c>
      <c r="BJ170" t="s">
        <v>3484</v>
      </c>
      <c r="BK170" t="s">
        <v>119</v>
      </c>
      <c r="BL170" t="s">
        <v>3485</v>
      </c>
      <c r="BM170" t="s">
        <v>3486</v>
      </c>
      <c r="BN170">
        <v>37702109</v>
      </c>
      <c r="BO170" t="s">
        <v>74</v>
      </c>
      <c r="BP170" t="s">
        <v>74</v>
      </c>
      <c r="BQ170" t="s">
        <v>74</v>
      </c>
      <c r="BR170" t="s">
        <v>99</v>
      </c>
      <c r="BS170" t="s">
        <v>3487</v>
      </c>
      <c r="BT170" t="str">
        <f>HYPERLINK("https%3A%2F%2Fwww.webofscience.com%2Fwos%2Fwoscc%2Ffull-record%2FWOS:001066230400001","View Full Record in Web of Science")</f>
        <v>View Full Record in Web of Science</v>
      </c>
    </row>
    <row r="171" spans="1:72" x14ac:dyDescent="0.15">
      <c r="A171" t="s">
        <v>72</v>
      </c>
      <c r="B171" t="s">
        <v>3488</v>
      </c>
      <c r="C171" t="s">
        <v>74</v>
      </c>
      <c r="D171" t="s">
        <v>74</v>
      </c>
      <c r="E171" t="s">
        <v>74</v>
      </c>
      <c r="F171" t="s">
        <v>3489</v>
      </c>
      <c r="G171" t="s">
        <v>74</v>
      </c>
      <c r="H171" t="s">
        <v>74</v>
      </c>
      <c r="I171" t="s">
        <v>3490</v>
      </c>
      <c r="J171" t="s">
        <v>3370</v>
      </c>
      <c r="K171" t="s">
        <v>74</v>
      </c>
      <c r="L171" t="s">
        <v>74</v>
      </c>
      <c r="M171" t="s">
        <v>78</v>
      </c>
      <c r="N171" t="s">
        <v>338</v>
      </c>
      <c r="O171" t="s">
        <v>74</v>
      </c>
      <c r="P171" t="s">
        <v>74</v>
      </c>
      <c r="Q171" t="s">
        <v>74</v>
      </c>
      <c r="R171" t="s">
        <v>74</v>
      </c>
      <c r="S171" t="s">
        <v>74</v>
      </c>
      <c r="T171" t="s">
        <v>3491</v>
      </c>
      <c r="U171" t="s">
        <v>3492</v>
      </c>
      <c r="V171" t="s">
        <v>3493</v>
      </c>
      <c r="W171" t="s">
        <v>3494</v>
      </c>
      <c r="X171" t="s">
        <v>3495</v>
      </c>
      <c r="Y171" t="s">
        <v>3496</v>
      </c>
      <c r="Z171" t="s">
        <v>3497</v>
      </c>
      <c r="AA171" t="s">
        <v>74</v>
      </c>
      <c r="AB171" t="s">
        <v>74</v>
      </c>
      <c r="AC171" t="s">
        <v>3498</v>
      </c>
      <c r="AD171" t="s">
        <v>3499</v>
      </c>
      <c r="AE171" t="s">
        <v>3500</v>
      </c>
      <c r="AF171" t="s">
        <v>74</v>
      </c>
      <c r="AG171">
        <v>38</v>
      </c>
      <c r="AH171">
        <v>0</v>
      </c>
      <c r="AI171">
        <v>0</v>
      </c>
      <c r="AJ171">
        <v>1</v>
      </c>
      <c r="AK171">
        <v>1</v>
      </c>
      <c r="AL171" t="s">
        <v>426</v>
      </c>
      <c r="AM171" t="s">
        <v>427</v>
      </c>
      <c r="AN171" t="s">
        <v>428</v>
      </c>
      <c r="AO171" t="s">
        <v>3381</v>
      </c>
      <c r="AP171" t="s">
        <v>74</v>
      </c>
      <c r="AQ171" t="s">
        <v>74</v>
      </c>
      <c r="AR171" t="s">
        <v>3382</v>
      </c>
      <c r="AS171" t="s">
        <v>3383</v>
      </c>
      <c r="AT171" t="s">
        <v>3361</v>
      </c>
      <c r="AU171">
        <v>2023</v>
      </c>
      <c r="AV171" t="s">
        <v>74</v>
      </c>
      <c r="AW171" t="s">
        <v>74</v>
      </c>
      <c r="AX171" t="s">
        <v>74</v>
      </c>
      <c r="AY171" t="s">
        <v>74</v>
      </c>
      <c r="AZ171" t="s">
        <v>74</v>
      </c>
      <c r="BA171" t="s">
        <v>74</v>
      </c>
      <c r="BB171" t="s">
        <v>74</v>
      </c>
      <c r="BC171" t="s">
        <v>74</v>
      </c>
      <c r="BD171" t="s">
        <v>74</v>
      </c>
      <c r="BE171" t="s">
        <v>3501</v>
      </c>
      <c r="BF171" t="str">
        <f>HYPERLINK("http://dx.doi.org/10.1002/adom.202301812","http://dx.doi.org/10.1002/adom.202301812")</f>
        <v>http://dx.doi.org/10.1002/adom.202301812</v>
      </c>
      <c r="BG171" t="s">
        <v>74</v>
      </c>
      <c r="BH171" t="s">
        <v>407</v>
      </c>
      <c r="BI171">
        <v>8</v>
      </c>
      <c r="BJ171" t="s">
        <v>3385</v>
      </c>
      <c r="BK171" t="s">
        <v>119</v>
      </c>
      <c r="BL171" t="s">
        <v>3386</v>
      </c>
      <c r="BM171" t="s">
        <v>3502</v>
      </c>
      <c r="BN171" t="s">
        <v>74</v>
      </c>
      <c r="BO171" t="s">
        <v>74</v>
      </c>
      <c r="BP171" t="s">
        <v>74</v>
      </c>
      <c r="BQ171" t="s">
        <v>74</v>
      </c>
      <c r="BR171" t="s">
        <v>99</v>
      </c>
      <c r="BS171" t="s">
        <v>3503</v>
      </c>
      <c r="BT171" t="str">
        <f>HYPERLINK("https%3A%2F%2Fwww.webofscience.com%2Fwos%2Fwoscc%2Ffull-record%2FWOS:001064554700001","View Full Record in Web of Science")</f>
        <v>View Full Record in Web of Science</v>
      </c>
    </row>
    <row r="172" spans="1:72" x14ac:dyDescent="0.15">
      <c r="A172" t="s">
        <v>72</v>
      </c>
      <c r="B172" t="s">
        <v>3504</v>
      </c>
      <c r="C172" t="s">
        <v>74</v>
      </c>
      <c r="D172" t="s">
        <v>74</v>
      </c>
      <c r="E172" t="s">
        <v>74</v>
      </c>
      <c r="F172" t="s">
        <v>3505</v>
      </c>
      <c r="G172" t="s">
        <v>74</v>
      </c>
      <c r="H172" t="s">
        <v>74</v>
      </c>
      <c r="I172" t="s">
        <v>3506</v>
      </c>
      <c r="J172" t="s">
        <v>1503</v>
      </c>
      <c r="K172" t="s">
        <v>74</v>
      </c>
      <c r="L172" t="s">
        <v>74</v>
      </c>
      <c r="M172" t="s">
        <v>78</v>
      </c>
      <c r="N172" t="s">
        <v>338</v>
      </c>
      <c r="O172" t="s">
        <v>74</v>
      </c>
      <c r="P172" t="s">
        <v>74</v>
      </c>
      <c r="Q172" t="s">
        <v>74</v>
      </c>
      <c r="R172" t="s">
        <v>74</v>
      </c>
      <c r="S172" t="s">
        <v>74</v>
      </c>
      <c r="T172" t="s">
        <v>3507</v>
      </c>
      <c r="U172" t="s">
        <v>74</v>
      </c>
      <c r="V172" t="s">
        <v>3508</v>
      </c>
      <c r="W172" t="s">
        <v>3509</v>
      </c>
      <c r="X172" t="s">
        <v>3510</v>
      </c>
      <c r="Y172" t="s">
        <v>3511</v>
      </c>
      <c r="Z172" t="s">
        <v>3512</v>
      </c>
      <c r="AA172" t="s">
        <v>3513</v>
      </c>
      <c r="AB172" t="s">
        <v>3514</v>
      </c>
      <c r="AC172" t="s">
        <v>3515</v>
      </c>
      <c r="AD172" t="s">
        <v>3515</v>
      </c>
      <c r="AE172" t="s">
        <v>3516</v>
      </c>
      <c r="AF172" t="s">
        <v>74</v>
      </c>
      <c r="AG172">
        <v>28</v>
      </c>
      <c r="AH172">
        <v>0</v>
      </c>
      <c r="AI172">
        <v>0</v>
      </c>
      <c r="AJ172">
        <v>0</v>
      </c>
      <c r="AK172">
        <v>0</v>
      </c>
      <c r="AL172" t="s">
        <v>87</v>
      </c>
      <c r="AM172" t="s">
        <v>88</v>
      </c>
      <c r="AN172" t="s">
        <v>89</v>
      </c>
      <c r="AO172" t="s">
        <v>1512</v>
      </c>
      <c r="AP172" t="s">
        <v>1513</v>
      </c>
      <c r="AQ172" t="s">
        <v>74</v>
      </c>
      <c r="AR172" t="s">
        <v>1514</v>
      </c>
      <c r="AS172" t="s">
        <v>1515</v>
      </c>
      <c r="AT172" t="s">
        <v>3361</v>
      </c>
      <c r="AU172">
        <v>2023</v>
      </c>
      <c r="AV172" t="s">
        <v>74</v>
      </c>
      <c r="AW172" t="s">
        <v>74</v>
      </c>
      <c r="AX172" t="s">
        <v>74</v>
      </c>
      <c r="AY172" t="s">
        <v>74</v>
      </c>
      <c r="AZ172" t="s">
        <v>74</v>
      </c>
      <c r="BA172" t="s">
        <v>74</v>
      </c>
      <c r="BB172" t="s">
        <v>74</v>
      </c>
      <c r="BC172" t="s">
        <v>74</v>
      </c>
      <c r="BD172" t="s">
        <v>74</v>
      </c>
      <c r="BE172" t="s">
        <v>3517</v>
      </c>
      <c r="BF172" t="str">
        <f>HYPERLINK("http://dx.doi.org/10.1002/qre.3441","http://dx.doi.org/10.1002/qre.3441")</f>
        <v>http://dx.doi.org/10.1002/qre.3441</v>
      </c>
      <c r="BG172" t="s">
        <v>74</v>
      </c>
      <c r="BH172" t="s">
        <v>407</v>
      </c>
      <c r="BI172">
        <v>23</v>
      </c>
      <c r="BJ172" t="s">
        <v>1517</v>
      </c>
      <c r="BK172" t="s">
        <v>119</v>
      </c>
      <c r="BL172" t="s">
        <v>1518</v>
      </c>
      <c r="BM172" t="s">
        <v>3518</v>
      </c>
      <c r="BN172" t="s">
        <v>74</v>
      </c>
      <c r="BO172" t="s">
        <v>301</v>
      </c>
      <c r="BP172" t="s">
        <v>74</v>
      </c>
      <c r="BQ172" t="s">
        <v>74</v>
      </c>
      <c r="BR172" t="s">
        <v>99</v>
      </c>
      <c r="BS172" t="s">
        <v>3519</v>
      </c>
      <c r="BT172" t="str">
        <f>HYPERLINK("https%3A%2F%2Fwww.webofscience.com%2Fwos%2Fwoscc%2Ffull-record%2FWOS:001064774100001","View Full Record in Web of Science")</f>
        <v>View Full Record in Web of Science</v>
      </c>
    </row>
    <row r="173" spans="1:72" x14ac:dyDescent="0.15">
      <c r="A173" t="s">
        <v>72</v>
      </c>
      <c r="B173" t="s">
        <v>3520</v>
      </c>
      <c r="C173" t="s">
        <v>74</v>
      </c>
      <c r="D173" t="s">
        <v>74</v>
      </c>
      <c r="E173" t="s">
        <v>74</v>
      </c>
      <c r="F173" t="s">
        <v>3521</v>
      </c>
      <c r="G173" t="s">
        <v>74</v>
      </c>
      <c r="H173" t="s">
        <v>74</v>
      </c>
      <c r="I173" t="s">
        <v>3522</v>
      </c>
      <c r="J173" t="s">
        <v>2028</v>
      </c>
      <c r="K173" t="s">
        <v>74</v>
      </c>
      <c r="L173" t="s">
        <v>74</v>
      </c>
      <c r="M173" t="s">
        <v>78</v>
      </c>
      <c r="N173" t="s">
        <v>79</v>
      </c>
      <c r="O173" t="s">
        <v>74</v>
      </c>
      <c r="P173" t="s">
        <v>74</v>
      </c>
      <c r="Q173" t="s">
        <v>74</v>
      </c>
      <c r="R173" t="s">
        <v>74</v>
      </c>
      <c r="S173" t="s">
        <v>74</v>
      </c>
      <c r="T173" t="s">
        <v>3523</v>
      </c>
      <c r="U173" t="s">
        <v>3524</v>
      </c>
      <c r="V173" t="s">
        <v>3525</v>
      </c>
      <c r="W173" t="s">
        <v>3526</v>
      </c>
      <c r="X173" t="s">
        <v>3527</v>
      </c>
      <c r="Y173" t="s">
        <v>3528</v>
      </c>
      <c r="Z173" t="s">
        <v>3529</v>
      </c>
      <c r="AA173" t="s">
        <v>74</v>
      </c>
      <c r="AB173" t="s">
        <v>74</v>
      </c>
      <c r="AC173" t="s">
        <v>3530</v>
      </c>
      <c r="AD173" t="s">
        <v>3530</v>
      </c>
      <c r="AE173" t="s">
        <v>3530</v>
      </c>
      <c r="AF173" t="s">
        <v>74</v>
      </c>
      <c r="AG173">
        <v>66</v>
      </c>
      <c r="AH173">
        <v>0</v>
      </c>
      <c r="AI173">
        <v>0</v>
      </c>
      <c r="AJ173">
        <v>0</v>
      </c>
      <c r="AK173">
        <v>0</v>
      </c>
      <c r="AL173" t="s">
        <v>426</v>
      </c>
      <c r="AM173" t="s">
        <v>427</v>
      </c>
      <c r="AN173" t="s">
        <v>428</v>
      </c>
      <c r="AO173" t="s">
        <v>2037</v>
      </c>
      <c r="AP173" t="s">
        <v>74</v>
      </c>
      <c r="AQ173" t="s">
        <v>74</v>
      </c>
      <c r="AR173" t="s">
        <v>2028</v>
      </c>
      <c r="AS173" t="s">
        <v>2038</v>
      </c>
      <c r="AT173" t="s">
        <v>3403</v>
      </c>
      <c r="AU173">
        <v>2023</v>
      </c>
      <c r="AV173">
        <v>8</v>
      </c>
      <c r="AW173">
        <v>34</v>
      </c>
      <c r="AX173" t="s">
        <v>74</v>
      </c>
      <c r="AY173" t="s">
        <v>74</v>
      </c>
      <c r="AZ173" t="s">
        <v>74</v>
      </c>
      <c r="BA173" t="s">
        <v>74</v>
      </c>
      <c r="BB173" t="s">
        <v>74</v>
      </c>
      <c r="BC173" t="s">
        <v>74</v>
      </c>
      <c r="BD173" t="s">
        <v>3531</v>
      </c>
      <c r="BE173" t="s">
        <v>3532</v>
      </c>
      <c r="BF173" t="str">
        <f>HYPERLINK("http://dx.doi.org/10.1002/slct.202302515","http://dx.doi.org/10.1002/slct.202302515")</f>
        <v>http://dx.doi.org/10.1002/slct.202302515</v>
      </c>
      <c r="BG173" t="s">
        <v>74</v>
      </c>
      <c r="BH173" t="s">
        <v>74</v>
      </c>
      <c r="BI173">
        <v>9</v>
      </c>
      <c r="BJ173" t="s">
        <v>523</v>
      </c>
      <c r="BK173" t="s">
        <v>119</v>
      </c>
      <c r="BL173" t="s">
        <v>524</v>
      </c>
      <c r="BM173" t="s">
        <v>3533</v>
      </c>
      <c r="BN173" t="s">
        <v>74</v>
      </c>
      <c r="BO173" t="s">
        <v>74</v>
      </c>
      <c r="BP173" t="s">
        <v>74</v>
      </c>
      <c r="BQ173" t="s">
        <v>74</v>
      </c>
      <c r="BR173" t="s">
        <v>99</v>
      </c>
      <c r="BS173" t="s">
        <v>3534</v>
      </c>
      <c r="BT173" t="str">
        <f>HYPERLINK("https%3A%2F%2Fwww.webofscience.com%2Fwos%2Fwoscc%2Ffull-record%2FWOS:001060789000001","View Full Record in Web of Science")</f>
        <v>View Full Record in Web of Science</v>
      </c>
    </row>
    <row r="174" spans="1:72" x14ac:dyDescent="0.15">
      <c r="A174" t="s">
        <v>72</v>
      </c>
      <c r="B174" t="s">
        <v>3535</v>
      </c>
      <c r="C174" t="s">
        <v>74</v>
      </c>
      <c r="D174" t="s">
        <v>74</v>
      </c>
      <c r="E174" t="s">
        <v>74</v>
      </c>
      <c r="F174" t="s">
        <v>3536</v>
      </c>
      <c r="G174" t="s">
        <v>74</v>
      </c>
      <c r="H174" t="s">
        <v>74</v>
      </c>
      <c r="I174" t="s">
        <v>3537</v>
      </c>
      <c r="J174" t="s">
        <v>3538</v>
      </c>
      <c r="K174" t="s">
        <v>74</v>
      </c>
      <c r="L174" t="s">
        <v>74</v>
      </c>
      <c r="M174" t="s">
        <v>78</v>
      </c>
      <c r="N174" t="s">
        <v>338</v>
      </c>
      <c r="O174" t="s">
        <v>74</v>
      </c>
      <c r="P174" t="s">
        <v>74</v>
      </c>
      <c r="Q174" t="s">
        <v>74</v>
      </c>
      <c r="R174" t="s">
        <v>74</v>
      </c>
      <c r="S174" t="s">
        <v>74</v>
      </c>
      <c r="T174" t="s">
        <v>3539</v>
      </c>
      <c r="U174" t="s">
        <v>3540</v>
      </c>
      <c r="V174" t="s">
        <v>3541</v>
      </c>
      <c r="W174" t="s">
        <v>3542</v>
      </c>
      <c r="X174" t="s">
        <v>3543</v>
      </c>
      <c r="Y174" t="s">
        <v>3544</v>
      </c>
      <c r="Z174" t="s">
        <v>3545</v>
      </c>
      <c r="AA174" t="s">
        <v>3546</v>
      </c>
      <c r="AB174" t="s">
        <v>3547</v>
      </c>
      <c r="AC174" t="s">
        <v>3548</v>
      </c>
      <c r="AD174" t="s">
        <v>3548</v>
      </c>
      <c r="AE174" t="s">
        <v>3549</v>
      </c>
      <c r="AF174" t="s">
        <v>74</v>
      </c>
      <c r="AG174">
        <v>33</v>
      </c>
      <c r="AH174">
        <v>0</v>
      </c>
      <c r="AI174">
        <v>0</v>
      </c>
      <c r="AJ174">
        <v>0</v>
      </c>
      <c r="AK174">
        <v>0</v>
      </c>
      <c r="AL174" t="s">
        <v>87</v>
      </c>
      <c r="AM174" t="s">
        <v>88</v>
      </c>
      <c r="AN174" t="s">
        <v>89</v>
      </c>
      <c r="AO174" t="s">
        <v>3550</v>
      </c>
      <c r="AP174" t="s">
        <v>3551</v>
      </c>
      <c r="AQ174" t="s">
        <v>74</v>
      </c>
      <c r="AR174" t="s">
        <v>3538</v>
      </c>
      <c r="AS174" t="s">
        <v>3552</v>
      </c>
      <c r="AT174" t="s">
        <v>3361</v>
      </c>
      <c r="AU174">
        <v>2023</v>
      </c>
      <c r="AV174" t="s">
        <v>74</v>
      </c>
      <c r="AW174" t="s">
        <v>74</v>
      </c>
      <c r="AX174" t="s">
        <v>74</v>
      </c>
      <c r="AY174" t="s">
        <v>74</v>
      </c>
      <c r="AZ174" t="s">
        <v>74</v>
      </c>
      <c r="BA174" t="s">
        <v>74</v>
      </c>
      <c r="BB174" t="s">
        <v>74</v>
      </c>
      <c r="BC174" t="s">
        <v>74</v>
      </c>
      <c r="BD174" t="s">
        <v>74</v>
      </c>
      <c r="BE174" t="s">
        <v>3553</v>
      </c>
      <c r="BF174" t="str">
        <f>HYPERLINK("http://dx.doi.org/10.1111/trf.17544","http://dx.doi.org/10.1111/trf.17544")</f>
        <v>http://dx.doi.org/10.1111/trf.17544</v>
      </c>
      <c r="BG174" t="s">
        <v>74</v>
      </c>
      <c r="BH174" t="s">
        <v>407</v>
      </c>
      <c r="BI174">
        <v>8</v>
      </c>
      <c r="BJ174" t="s">
        <v>1625</v>
      </c>
      <c r="BK174" t="s">
        <v>119</v>
      </c>
      <c r="BL174" t="s">
        <v>1625</v>
      </c>
      <c r="BM174" t="s">
        <v>3554</v>
      </c>
      <c r="BN174">
        <v>37702479</v>
      </c>
      <c r="BO174" t="s">
        <v>74</v>
      </c>
      <c r="BP174" t="s">
        <v>74</v>
      </c>
      <c r="BQ174" t="s">
        <v>74</v>
      </c>
      <c r="BR174" t="s">
        <v>99</v>
      </c>
      <c r="BS174" t="s">
        <v>3555</v>
      </c>
      <c r="BT174" t="str">
        <f>HYPERLINK("https%3A%2F%2Fwww.webofscience.com%2Fwos%2Fwoscc%2Ffull-record%2FWOS:001067075800001","View Full Record in Web of Science")</f>
        <v>View Full Record in Web of Science</v>
      </c>
    </row>
    <row r="175" spans="1:72" x14ac:dyDescent="0.15">
      <c r="A175" t="s">
        <v>72</v>
      </c>
      <c r="B175" t="s">
        <v>3556</v>
      </c>
      <c r="C175" t="s">
        <v>74</v>
      </c>
      <c r="D175" t="s">
        <v>74</v>
      </c>
      <c r="E175" t="s">
        <v>74</v>
      </c>
      <c r="F175" t="s">
        <v>3557</v>
      </c>
      <c r="G175" t="s">
        <v>74</v>
      </c>
      <c r="H175" t="s">
        <v>74</v>
      </c>
      <c r="I175" t="s">
        <v>3558</v>
      </c>
      <c r="J175" t="s">
        <v>3559</v>
      </c>
      <c r="K175" t="s">
        <v>74</v>
      </c>
      <c r="L175" t="s">
        <v>74</v>
      </c>
      <c r="M175" t="s">
        <v>78</v>
      </c>
      <c r="N175" t="s">
        <v>338</v>
      </c>
      <c r="O175" t="s">
        <v>74</v>
      </c>
      <c r="P175" t="s">
        <v>74</v>
      </c>
      <c r="Q175" t="s">
        <v>74</v>
      </c>
      <c r="R175" t="s">
        <v>74</v>
      </c>
      <c r="S175" t="s">
        <v>74</v>
      </c>
      <c r="T175" t="s">
        <v>3560</v>
      </c>
      <c r="U175" t="s">
        <v>3561</v>
      </c>
      <c r="V175" t="s">
        <v>3562</v>
      </c>
      <c r="W175" t="s">
        <v>3563</v>
      </c>
      <c r="X175" t="s">
        <v>3564</v>
      </c>
      <c r="Y175" t="s">
        <v>3565</v>
      </c>
      <c r="Z175" t="s">
        <v>3566</v>
      </c>
      <c r="AA175" t="s">
        <v>74</v>
      </c>
      <c r="AB175" t="s">
        <v>74</v>
      </c>
      <c r="AC175" t="s">
        <v>3567</v>
      </c>
      <c r="AD175" t="s">
        <v>3567</v>
      </c>
      <c r="AE175" t="s">
        <v>3568</v>
      </c>
      <c r="AF175" t="s">
        <v>74</v>
      </c>
      <c r="AG175">
        <v>43</v>
      </c>
      <c r="AH175">
        <v>0</v>
      </c>
      <c r="AI175">
        <v>0</v>
      </c>
      <c r="AJ175">
        <v>0</v>
      </c>
      <c r="AK175">
        <v>0</v>
      </c>
      <c r="AL175" t="s">
        <v>87</v>
      </c>
      <c r="AM175" t="s">
        <v>88</v>
      </c>
      <c r="AN175" t="s">
        <v>89</v>
      </c>
      <c r="AO175" t="s">
        <v>3569</v>
      </c>
      <c r="AP175" t="s">
        <v>3570</v>
      </c>
      <c r="AQ175" t="s">
        <v>74</v>
      </c>
      <c r="AR175" t="s">
        <v>3571</v>
      </c>
      <c r="AS175" t="s">
        <v>3572</v>
      </c>
      <c r="AT175" t="s">
        <v>3361</v>
      </c>
      <c r="AU175">
        <v>2023</v>
      </c>
      <c r="AV175" t="s">
        <v>74</v>
      </c>
      <c r="AW175" t="s">
        <v>74</v>
      </c>
      <c r="AX175" t="s">
        <v>74</v>
      </c>
      <c r="AY175" t="s">
        <v>74</v>
      </c>
      <c r="AZ175" t="s">
        <v>74</v>
      </c>
      <c r="BA175" t="s">
        <v>74</v>
      </c>
      <c r="BB175" t="s">
        <v>74</v>
      </c>
      <c r="BC175" t="s">
        <v>74</v>
      </c>
      <c r="BD175" t="s">
        <v>74</v>
      </c>
      <c r="BE175" t="s">
        <v>3573</v>
      </c>
      <c r="BF175" t="str">
        <f>HYPERLINK("http://dx.doi.org/10.1002/jae.3006","http://dx.doi.org/10.1002/jae.3006")</f>
        <v>http://dx.doi.org/10.1002/jae.3006</v>
      </c>
      <c r="BG175" t="s">
        <v>74</v>
      </c>
      <c r="BH175" t="s">
        <v>407</v>
      </c>
      <c r="BI175">
        <v>20</v>
      </c>
      <c r="BJ175" t="s">
        <v>3574</v>
      </c>
      <c r="BK175" t="s">
        <v>546</v>
      </c>
      <c r="BL175" t="s">
        <v>3575</v>
      </c>
      <c r="BM175" t="s">
        <v>3576</v>
      </c>
      <c r="BN175" t="s">
        <v>74</v>
      </c>
      <c r="BO175" t="s">
        <v>74</v>
      </c>
      <c r="BP175" t="s">
        <v>74</v>
      </c>
      <c r="BQ175" t="s">
        <v>74</v>
      </c>
      <c r="BR175" t="s">
        <v>99</v>
      </c>
      <c r="BS175" t="s">
        <v>3577</v>
      </c>
      <c r="BT175" t="str">
        <f>HYPERLINK("https%3A%2F%2Fwww.webofscience.com%2Fwos%2Fwoscc%2Ffull-record%2FWOS:001065443400001","View Full Record in Web of Science")</f>
        <v>View Full Record in Web of Science</v>
      </c>
    </row>
    <row r="176" spans="1:72" x14ac:dyDescent="0.15">
      <c r="A176" t="s">
        <v>72</v>
      </c>
      <c r="B176" t="s">
        <v>3578</v>
      </c>
      <c r="C176" t="s">
        <v>74</v>
      </c>
      <c r="D176" t="s">
        <v>74</v>
      </c>
      <c r="E176" t="s">
        <v>74</v>
      </c>
      <c r="F176" t="s">
        <v>3579</v>
      </c>
      <c r="G176" t="s">
        <v>74</v>
      </c>
      <c r="H176" t="s">
        <v>74</v>
      </c>
      <c r="I176" t="s">
        <v>3580</v>
      </c>
      <c r="J176" t="s">
        <v>2028</v>
      </c>
      <c r="K176" t="s">
        <v>74</v>
      </c>
      <c r="L176" t="s">
        <v>74</v>
      </c>
      <c r="M176" t="s">
        <v>78</v>
      </c>
      <c r="N176" t="s">
        <v>79</v>
      </c>
      <c r="O176" t="s">
        <v>74</v>
      </c>
      <c r="P176" t="s">
        <v>74</v>
      </c>
      <c r="Q176" t="s">
        <v>74</v>
      </c>
      <c r="R176" t="s">
        <v>74</v>
      </c>
      <c r="S176" t="s">
        <v>74</v>
      </c>
      <c r="T176" t="s">
        <v>3581</v>
      </c>
      <c r="U176" t="s">
        <v>3582</v>
      </c>
      <c r="V176" t="s">
        <v>3583</v>
      </c>
      <c r="W176" t="s">
        <v>3584</v>
      </c>
      <c r="X176" t="s">
        <v>3585</v>
      </c>
      <c r="Y176" t="s">
        <v>3586</v>
      </c>
      <c r="Z176" t="s">
        <v>3587</v>
      </c>
      <c r="AA176" t="s">
        <v>74</v>
      </c>
      <c r="AB176" t="s">
        <v>74</v>
      </c>
      <c r="AC176" t="s">
        <v>3588</v>
      </c>
      <c r="AD176" t="s">
        <v>3589</v>
      </c>
      <c r="AE176" t="s">
        <v>3590</v>
      </c>
      <c r="AF176" t="s">
        <v>74</v>
      </c>
      <c r="AG176">
        <v>63</v>
      </c>
      <c r="AH176">
        <v>0</v>
      </c>
      <c r="AI176">
        <v>0</v>
      </c>
      <c r="AJ176">
        <v>1</v>
      </c>
      <c r="AK176">
        <v>1</v>
      </c>
      <c r="AL176" t="s">
        <v>426</v>
      </c>
      <c r="AM176" t="s">
        <v>427</v>
      </c>
      <c r="AN176" t="s">
        <v>428</v>
      </c>
      <c r="AO176" t="s">
        <v>2037</v>
      </c>
      <c r="AP176" t="s">
        <v>74</v>
      </c>
      <c r="AQ176" t="s">
        <v>74</v>
      </c>
      <c r="AR176" t="s">
        <v>2028</v>
      </c>
      <c r="AS176" t="s">
        <v>2038</v>
      </c>
      <c r="AT176" t="s">
        <v>3403</v>
      </c>
      <c r="AU176">
        <v>2023</v>
      </c>
      <c r="AV176">
        <v>8</v>
      </c>
      <c r="AW176">
        <v>34</v>
      </c>
      <c r="AX176" t="s">
        <v>74</v>
      </c>
      <c r="AY176" t="s">
        <v>74</v>
      </c>
      <c r="AZ176" t="s">
        <v>74</v>
      </c>
      <c r="BA176" t="s">
        <v>74</v>
      </c>
      <c r="BB176" t="s">
        <v>74</v>
      </c>
      <c r="BC176" t="s">
        <v>74</v>
      </c>
      <c r="BD176" t="s">
        <v>3591</v>
      </c>
      <c r="BE176" t="s">
        <v>3592</v>
      </c>
      <c r="BF176" t="str">
        <f>HYPERLINK("http://dx.doi.org/10.1002/slct.202301428","http://dx.doi.org/10.1002/slct.202301428")</f>
        <v>http://dx.doi.org/10.1002/slct.202301428</v>
      </c>
      <c r="BG176" t="s">
        <v>74</v>
      </c>
      <c r="BH176" t="s">
        <v>74</v>
      </c>
      <c r="BI176">
        <v>9</v>
      </c>
      <c r="BJ176" t="s">
        <v>523</v>
      </c>
      <c r="BK176" t="s">
        <v>119</v>
      </c>
      <c r="BL176" t="s">
        <v>524</v>
      </c>
      <c r="BM176" t="s">
        <v>3593</v>
      </c>
      <c r="BN176" t="s">
        <v>74</v>
      </c>
      <c r="BO176" t="s">
        <v>74</v>
      </c>
      <c r="BP176" t="s">
        <v>74</v>
      </c>
      <c r="BQ176" t="s">
        <v>74</v>
      </c>
      <c r="BR176" t="s">
        <v>99</v>
      </c>
      <c r="BS176" t="s">
        <v>3594</v>
      </c>
      <c r="BT176" t="str">
        <f>HYPERLINK("https%3A%2F%2Fwww.webofscience.com%2Fwos%2Fwoscc%2Ffull-record%2FWOS:001060073900001","View Full Record in Web of Science")</f>
        <v>View Full Record in Web of Science</v>
      </c>
    </row>
    <row r="177" spans="1:72" x14ac:dyDescent="0.15">
      <c r="A177" t="s">
        <v>72</v>
      </c>
      <c r="B177" t="s">
        <v>3595</v>
      </c>
      <c r="C177" t="s">
        <v>74</v>
      </c>
      <c r="D177" t="s">
        <v>74</v>
      </c>
      <c r="E177" t="s">
        <v>74</v>
      </c>
      <c r="F177" t="s">
        <v>3596</v>
      </c>
      <c r="G177" t="s">
        <v>74</v>
      </c>
      <c r="H177" t="s">
        <v>74</v>
      </c>
      <c r="I177" t="s">
        <v>3597</v>
      </c>
      <c r="J177" t="s">
        <v>3598</v>
      </c>
      <c r="K177" t="s">
        <v>74</v>
      </c>
      <c r="L177" t="s">
        <v>74</v>
      </c>
      <c r="M177" t="s">
        <v>78</v>
      </c>
      <c r="N177" t="s">
        <v>338</v>
      </c>
      <c r="O177" t="s">
        <v>74</v>
      </c>
      <c r="P177" t="s">
        <v>74</v>
      </c>
      <c r="Q177" t="s">
        <v>74</v>
      </c>
      <c r="R177" t="s">
        <v>74</v>
      </c>
      <c r="S177" t="s">
        <v>74</v>
      </c>
      <c r="T177" t="s">
        <v>74</v>
      </c>
      <c r="U177" t="s">
        <v>3599</v>
      </c>
      <c r="V177" t="s">
        <v>3600</v>
      </c>
      <c r="W177" t="s">
        <v>3601</v>
      </c>
      <c r="X177" t="s">
        <v>3602</v>
      </c>
      <c r="Y177" t="s">
        <v>3603</v>
      </c>
      <c r="Z177" t="s">
        <v>3604</v>
      </c>
      <c r="AA177" t="s">
        <v>3605</v>
      </c>
      <c r="AB177" t="s">
        <v>3606</v>
      </c>
      <c r="AC177" t="s">
        <v>3607</v>
      </c>
      <c r="AD177" t="s">
        <v>3607</v>
      </c>
      <c r="AE177" t="s">
        <v>3608</v>
      </c>
      <c r="AF177" t="s">
        <v>74</v>
      </c>
      <c r="AG177">
        <v>31</v>
      </c>
      <c r="AH177">
        <v>0</v>
      </c>
      <c r="AI177">
        <v>0</v>
      </c>
      <c r="AJ177">
        <v>0</v>
      </c>
      <c r="AK177">
        <v>0</v>
      </c>
      <c r="AL177" t="s">
        <v>87</v>
      </c>
      <c r="AM177" t="s">
        <v>88</v>
      </c>
      <c r="AN177" t="s">
        <v>89</v>
      </c>
      <c r="AO177" t="s">
        <v>3609</v>
      </c>
      <c r="AP177" t="s">
        <v>3610</v>
      </c>
      <c r="AQ177" t="s">
        <v>74</v>
      </c>
      <c r="AR177" t="s">
        <v>3611</v>
      </c>
      <c r="AS177" t="s">
        <v>3612</v>
      </c>
      <c r="AT177" t="s">
        <v>3361</v>
      </c>
      <c r="AU177">
        <v>2023</v>
      </c>
      <c r="AV177" t="s">
        <v>74</v>
      </c>
      <c r="AW177" t="s">
        <v>74</v>
      </c>
      <c r="AX177" t="s">
        <v>74</v>
      </c>
      <c r="AY177" t="s">
        <v>74</v>
      </c>
      <c r="AZ177" t="s">
        <v>74</v>
      </c>
      <c r="BA177" t="s">
        <v>74</v>
      </c>
      <c r="BB177" t="s">
        <v>74</v>
      </c>
      <c r="BC177" t="s">
        <v>74</v>
      </c>
      <c r="BD177" t="s">
        <v>74</v>
      </c>
      <c r="BE177" t="s">
        <v>3613</v>
      </c>
      <c r="BF177" t="str">
        <f>HYPERLINK("http://dx.doi.org/10.1111/obes.12575","http://dx.doi.org/10.1111/obes.12575")</f>
        <v>http://dx.doi.org/10.1111/obes.12575</v>
      </c>
      <c r="BG177" t="s">
        <v>74</v>
      </c>
      <c r="BH177" t="s">
        <v>407</v>
      </c>
      <c r="BI177">
        <v>18</v>
      </c>
      <c r="BJ177" t="s">
        <v>3614</v>
      </c>
      <c r="BK177" t="s">
        <v>409</v>
      </c>
      <c r="BL177" t="s">
        <v>3615</v>
      </c>
      <c r="BM177" t="s">
        <v>3616</v>
      </c>
      <c r="BN177" t="s">
        <v>74</v>
      </c>
      <c r="BO177" t="s">
        <v>122</v>
      </c>
      <c r="BP177" t="s">
        <v>74</v>
      </c>
      <c r="BQ177" t="s">
        <v>74</v>
      </c>
      <c r="BR177" t="s">
        <v>99</v>
      </c>
      <c r="BS177" t="s">
        <v>3617</v>
      </c>
      <c r="BT177" t="str">
        <f>HYPERLINK("https%3A%2F%2Fwww.webofscience.com%2Fwos%2Fwoscc%2Ffull-record%2FWOS:001064786400001","View Full Record in Web of Science")</f>
        <v>View Full Record in Web of Science</v>
      </c>
    </row>
    <row r="178" spans="1:72" x14ac:dyDescent="0.15">
      <c r="A178" t="s">
        <v>72</v>
      </c>
      <c r="B178" t="s">
        <v>3618</v>
      </c>
      <c r="C178" t="s">
        <v>74</v>
      </c>
      <c r="D178" t="s">
        <v>74</v>
      </c>
      <c r="E178" t="s">
        <v>74</v>
      </c>
      <c r="F178" t="s">
        <v>3619</v>
      </c>
      <c r="G178" t="s">
        <v>74</v>
      </c>
      <c r="H178" t="s">
        <v>74</v>
      </c>
      <c r="I178" t="s">
        <v>3620</v>
      </c>
      <c r="J178" t="s">
        <v>3621</v>
      </c>
      <c r="K178" t="s">
        <v>74</v>
      </c>
      <c r="L178" t="s">
        <v>74</v>
      </c>
      <c r="M178" t="s">
        <v>78</v>
      </c>
      <c r="N178" t="s">
        <v>338</v>
      </c>
      <c r="O178" t="s">
        <v>74</v>
      </c>
      <c r="P178" t="s">
        <v>74</v>
      </c>
      <c r="Q178" t="s">
        <v>74</v>
      </c>
      <c r="R178" t="s">
        <v>74</v>
      </c>
      <c r="S178" t="s">
        <v>74</v>
      </c>
      <c r="T178" t="s">
        <v>3622</v>
      </c>
      <c r="U178" t="s">
        <v>74</v>
      </c>
      <c r="V178" t="s">
        <v>3623</v>
      </c>
      <c r="W178" t="s">
        <v>3624</v>
      </c>
      <c r="X178" t="s">
        <v>3625</v>
      </c>
      <c r="Y178" t="s">
        <v>3626</v>
      </c>
      <c r="Z178" t="s">
        <v>3627</v>
      </c>
      <c r="AA178" t="s">
        <v>74</v>
      </c>
      <c r="AB178" t="s">
        <v>74</v>
      </c>
      <c r="AC178" t="s">
        <v>3628</v>
      </c>
      <c r="AD178" t="s">
        <v>3628</v>
      </c>
      <c r="AE178" t="s">
        <v>3629</v>
      </c>
      <c r="AF178" t="s">
        <v>74</v>
      </c>
      <c r="AG178">
        <v>44</v>
      </c>
      <c r="AH178">
        <v>0</v>
      </c>
      <c r="AI178">
        <v>0</v>
      </c>
      <c r="AJ178">
        <v>0</v>
      </c>
      <c r="AK178">
        <v>0</v>
      </c>
      <c r="AL178" t="s">
        <v>87</v>
      </c>
      <c r="AM178" t="s">
        <v>88</v>
      </c>
      <c r="AN178" t="s">
        <v>89</v>
      </c>
      <c r="AO178" t="s">
        <v>3630</v>
      </c>
      <c r="AP178" t="s">
        <v>74</v>
      </c>
      <c r="AQ178" t="s">
        <v>74</v>
      </c>
      <c r="AR178" t="s">
        <v>3631</v>
      </c>
      <c r="AS178" t="s">
        <v>3632</v>
      </c>
      <c r="AT178" t="s">
        <v>3361</v>
      </c>
      <c r="AU178">
        <v>2023</v>
      </c>
      <c r="AV178" t="s">
        <v>74</v>
      </c>
      <c r="AW178" t="s">
        <v>74</v>
      </c>
      <c r="AX178" t="s">
        <v>74</v>
      </c>
      <c r="AY178" t="s">
        <v>74</v>
      </c>
      <c r="AZ178" t="s">
        <v>74</v>
      </c>
      <c r="BA178" t="s">
        <v>74</v>
      </c>
      <c r="BB178" t="s">
        <v>74</v>
      </c>
      <c r="BC178" t="s">
        <v>74</v>
      </c>
      <c r="BD178" t="s">
        <v>3633</v>
      </c>
      <c r="BE178" t="s">
        <v>3634</v>
      </c>
      <c r="BF178" t="str">
        <f>HYPERLINK("http://dx.doi.org/10.1002/spy2.340","http://dx.doi.org/10.1002/spy2.340")</f>
        <v>http://dx.doi.org/10.1002/spy2.340</v>
      </c>
      <c r="BG178" t="s">
        <v>74</v>
      </c>
      <c r="BH178" t="s">
        <v>407</v>
      </c>
      <c r="BI178">
        <v>24</v>
      </c>
      <c r="BJ178" t="s">
        <v>3635</v>
      </c>
      <c r="BK178" t="s">
        <v>96</v>
      </c>
      <c r="BL178" t="s">
        <v>3636</v>
      </c>
      <c r="BM178" t="s">
        <v>3637</v>
      </c>
      <c r="BN178" t="s">
        <v>74</v>
      </c>
      <c r="BO178" t="s">
        <v>74</v>
      </c>
      <c r="BP178" t="s">
        <v>74</v>
      </c>
      <c r="BQ178" t="s">
        <v>74</v>
      </c>
      <c r="BR178" t="s">
        <v>99</v>
      </c>
      <c r="BS178" t="s">
        <v>3638</v>
      </c>
      <c r="BT178" t="str">
        <f>HYPERLINK("https%3A%2F%2Fwww.webofscience.com%2Fwos%2Fwoscc%2Ffull-record%2FWOS:001066354500001","View Full Record in Web of Science")</f>
        <v>View Full Record in Web of Science</v>
      </c>
    </row>
    <row r="179" spans="1:72" x14ac:dyDescent="0.15">
      <c r="A179" t="s">
        <v>72</v>
      </c>
      <c r="B179" t="s">
        <v>3639</v>
      </c>
      <c r="C179" t="s">
        <v>74</v>
      </c>
      <c r="D179" t="s">
        <v>74</v>
      </c>
      <c r="E179" t="s">
        <v>74</v>
      </c>
      <c r="F179" t="s">
        <v>3640</v>
      </c>
      <c r="G179" t="s">
        <v>74</v>
      </c>
      <c r="H179" t="s">
        <v>74</v>
      </c>
      <c r="I179" t="s">
        <v>3641</v>
      </c>
      <c r="J179" t="s">
        <v>3642</v>
      </c>
      <c r="K179" t="s">
        <v>74</v>
      </c>
      <c r="L179" t="s">
        <v>74</v>
      </c>
      <c r="M179" t="s">
        <v>78</v>
      </c>
      <c r="N179" t="s">
        <v>338</v>
      </c>
      <c r="O179" t="s">
        <v>74</v>
      </c>
      <c r="P179" t="s">
        <v>74</v>
      </c>
      <c r="Q179" t="s">
        <v>74</v>
      </c>
      <c r="R179" t="s">
        <v>74</v>
      </c>
      <c r="S179" t="s">
        <v>74</v>
      </c>
      <c r="T179" t="s">
        <v>74</v>
      </c>
      <c r="U179" t="s">
        <v>3643</v>
      </c>
      <c r="V179" t="s">
        <v>3644</v>
      </c>
      <c r="W179" t="s">
        <v>3645</v>
      </c>
      <c r="X179" t="s">
        <v>3646</v>
      </c>
      <c r="Y179" t="s">
        <v>3647</v>
      </c>
      <c r="Z179" t="s">
        <v>3648</v>
      </c>
      <c r="AA179" t="s">
        <v>74</v>
      </c>
      <c r="AB179" t="s">
        <v>74</v>
      </c>
      <c r="AC179" t="s">
        <v>74</v>
      </c>
      <c r="AD179" t="s">
        <v>74</v>
      </c>
      <c r="AE179" t="s">
        <v>74</v>
      </c>
      <c r="AF179" t="s">
        <v>74</v>
      </c>
      <c r="AG179">
        <v>19</v>
      </c>
      <c r="AH179">
        <v>0</v>
      </c>
      <c r="AI179">
        <v>0</v>
      </c>
      <c r="AJ179">
        <v>0</v>
      </c>
      <c r="AK179">
        <v>0</v>
      </c>
      <c r="AL179" t="s">
        <v>87</v>
      </c>
      <c r="AM179" t="s">
        <v>88</v>
      </c>
      <c r="AN179" t="s">
        <v>89</v>
      </c>
      <c r="AO179" t="s">
        <v>3649</v>
      </c>
      <c r="AP179" t="s">
        <v>3650</v>
      </c>
      <c r="AQ179" t="s">
        <v>74</v>
      </c>
      <c r="AR179" t="s">
        <v>3651</v>
      </c>
      <c r="AS179" t="s">
        <v>3652</v>
      </c>
      <c r="AT179" t="s">
        <v>3361</v>
      </c>
      <c r="AU179">
        <v>2023</v>
      </c>
      <c r="AV179" t="s">
        <v>74</v>
      </c>
      <c r="AW179" t="s">
        <v>74</v>
      </c>
      <c r="AX179" t="s">
        <v>74</v>
      </c>
      <c r="AY179" t="s">
        <v>74</v>
      </c>
      <c r="AZ179" t="s">
        <v>74</v>
      </c>
      <c r="BA179" t="s">
        <v>74</v>
      </c>
      <c r="BB179" t="s">
        <v>74</v>
      </c>
      <c r="BC179" t="s">
        <v>74</v>
      </c>
      <c r="BD179" t="s">
        <v>74</v>
      </c>
      <c r="BE179" t="s">
        <v>3653</v>
      </c>
      <c r="BF179" t="str">
        <f>HYPERLINK("http://dx.doi.org/10.1111/moth.12891","http://dx.doi.org/10.1111/moth.12891")</f>
        <v>http://dx.doi.org/10.1111/moth.12891</v>
      </c>
      <c r="BG179" t="s">
        <v>74</v>
      </c>
      <c r="BH179" t="s">
        <v>407</v>
      </c>
      <c r="BI179">
        <v>15</v>
      </c>
      <c r="BJ179" t="s">
        <v>3654</v>
      </c>
      <c r="BK179" t="s">
        <v>498</v>
      </c>
      <c r="BL179" t="s">
        <v>3654</v>
      </c>
      <c r="BM179" t="s">
        <v>3655</v>
      </c>
      <c r="BN179" t="s">
        <v>74</v>
      </c>
      <c r="BO179" t="s">
        <v>122</v>
      </c>
      <c r="BP179" t="s">
        <v>74</v>
      </c>
      <c r="BQ179" t="s">
        <v>74</v>
      </c>
      <c r="BR179" t="s">
        <v>99</v>
      </c>
      <c r="BS179" t="s">
        <v>3656</v>
      </c>
      <c r="BT179" t="str">
        <f>HYPERLINK("https%3A%2F%2Fwww.webofscience.com%2Fwos%2Fwoscc%2Ffull-record%2FWOS:001067068100001","View Full Record in Web of Science")</f>
        <v>View Full Record in Web of Science</v>
      </c>
    </row>
    <row r="180" spans="1:72" x14ac:dyDescent="0.15">
      <c r="A180" t="s">
        <v>72</v>
      </c>
      <c r="B180" t="s">
        <v>3657</v>
      </c>
      <c r="C180" t="s">
        <v>74</v>
      </c>
      <c r="D180" t="s">
        <v>74</v>
      </c>
      <c r="E180" t="s">
        <v>74</v>
      </c>
      <c r="F180" t="s">
        <v>3658</v>
      </c>
      <c r="G180" t="s">
        <v>74</v>
      </c>
      <c r="H180" t="s">
        <v>74</v>
      </c>
      <c r="I180" t="s">
        <v>3659</v>
      </c>
      <c r="J180" t="s">
        <v>3660</v>
      </c>
      <c r="K180" t="s">
        <v>74</v>
      </c>
      <c r="L180" t="s">
        <v>74</v>
      </c>
      <c r="M180" t="s">
        <v>78</v>
      </c>
      <c r="N180" t="s">
        <v>338</v>
      </c>
      <c r="O180" t="s">
        <v>74</v>
      </c>
      <c r="P180" t="s">
        <v>74</v>
      </c>
      <c r="Q180" t="s">
        <v>74</v>
      </c>
      <c r="R180" t="s">
        <v>74</v>
      </c>
      <c r="S180" t="s">
        <v>74</v>
      </c>
      <c r="T180" t="s">
        <v>3661</v>
      </c>
      <c r="U180" t="s">
        <v>3662</v>
      </c>
      <c r="V180" t="s">
        <v>3663</v>
      </c>
      <c r="W180" t="s">
        <v>3664</v>
      </c>
      <c r="X180" t="s">
        <v>3665</v>
      </c>
      <c r="Y180" t="s">
        <v>3666</v>
      </c>
      <c r="Z180" t="s">
        <v>3667</v>
      </c>
      <c r="AA180" t="s">
        <v>74</v>
      </c>
      <c r="AB180" t="s">
        <v>74</v>
      </c>
      <c r="AC180" t="s">
        <v>3668</v>
      </c>
      <c r="AD180" t="s">
        <v>3669</v>
      </c>
      <c r="AE180" t="s">
        <v>3670</v>
      </c>
      <c r="AF180" t="s">
        <v>74</v>
      </c>
      <c r="AG180">
        <v>48</v>
      </c>
      <c r="AH180">
        <v>0</v>
      </c>
      <c r="AI180">
        <v>0</v>
      </c>
      <c r="AJ180">
        <v>0</v>
      </c>
      <c r="AK180">
        <v>0</v>
      </c>
      <c r="AL180" t="s">
        <v>87</v>
      </c>
      <c r="AM180" t="s">
        <v>88</v>
      </c>
      <c r="AN180" t="s">
        <v>1412</v>
      </c>
      <c r="AO180" t="s">
        <v>3671</v>
      </c>
      <c r="AP180" t="s">
        <v>74</v>
      </c>
      <c r="AQ180" t="s">
        <v>74</v>
      </c>
      <c r="AR180" t="s">
        <v>3672</v>
      </c>
      <c r="AS180" t="s">
        <v>3673</v>
      </c>
      <c r="AT180" t="s">
        <v>3361</v>
      </c>
      <c r="AU180">
        <v>2023</v>
      </c>
      <c r="AV180" t="s">
        <v>74</v>
      </c>
      <c r="AW180" t="s">
        <v>74</v>
      </c>
      <c r="AX180" t="s">
        <v>74</v>
      </c>
      <c r="AY180" t="s">
        <v>74</v>
      </c>
      <c r="AZ180" t="s">
        <v>74</v>
      </c>
      <c r="BA180" t="s">
        <v>74</v>
      </c>
      <c r="BB180" t="s">
        <v>74</v>
      </c>
      <c r="BC180" t="s">
        <v>74</v>
      </c>
      <c r="BD180" t="s">
        <v>74</v>
      </c>
      <c r="BE180" t="s">
        <v>3674</v>
      </c>
      <c r="BF180" t="str">
        <f>HYPERLINK("http://dx.doi.org/10.1002/admt.202301147","http://dx.doi.org/10.1002/admt.202301147")</f>
        <v>http://dx.doi.org/10.1002/admt.202301147</v>
      </c>
      <c r="BG180" t="s">
        <v>74</v>
      </c>
      <c r="BH180" t="s">
        <v>407</v>
      </c>
      <c r="BI180">
        <v>8</v>
      </c>
      <c r="BJ180" t="s">
        <v>1998</v>
      </c>
      <c r="BK180" t="s">
        <v>119</v>
      </c>
      <c r="BL180" t="s">
        <v>1999</v>
      </c>
      <c r="BM180" t="s">
        <v>3675</v>
      </c>
      <c r="BN180" t="s">
        <v>74</v>
      </c>
      <c r="BO180" t="s">
        <v>301</v>
      </c>
      <c r="BP180" t="s">
        <v>74</v>
      </c>
      <c r="BQ180" t="s">
        <v>74</v>
      </c>
      <c r="BR180" t="s">
        <v>99</v>
      </c>
      <c r="BS180" t="s">
        <v>3676</v>
      </c>
      <c r="BT180" t="str">
        <f>HYPERLINK("https%3A%2F%2Fwww.webofscience.com%2Fwos%2Fwoscc%2Ffull-record%2FWOS:001064555000001","View Full Record in Web of Science")</f>
        <v>View Full Record in Web of Science</v>
      </c>
    </row>
    <row r="181" spans="1:72" x14ac:dyDescent="0.15">
      <c r="A181" t="s">
        <v>72</v>
      </c>
      <c r="B181" t="s">
        <v>3677</v>
      </c>
      <c r="C181" t="s">
        <v>74</v>
      </c>
      <c r="D181" t="s">
        <v>74</v>
      </c>
      <c r="E181" t="s">
        <v>74</v>
      </c>
      <c r="F181" t="s">
        <v>3678</v>
      </c>
      <c r="G181" t="s">
        <v>74</v>
      </c>
      <c r="H181" t="s">
        <v>74</v>
      </c>
      <c r="I181" t="s">
        <v>3679</v>
      </c>
      <c r="J181" t="s">
        <v>2028</v>
      </c>
      <c r="K181" t="s">
        <v>74</v>
      </c>
      <c r="L181" t="s">
        <v>74</v>
      </c>
      <c r="M181" t="s">
        <v>78</v>
      </c>
      <c r="N181" t="s">
        <v>79</v>
      </c>
      <c r="O181" t="s">
        <v>74</v>
      </c>
      <c r="P181" t="s">
        <v>74</v>
      </c>
      <c r="Q181" t="s">
        <v>74</v>
      </c>
      <c r="R181" t="s">
        <v>74</v>
      </c>
      <c r="S181" t="s">
        <v>74</v>
      </c>
      <c r="T181" t="s">
        <v>3680</v>
      </c>
      <c r="U181" t="s">
        <v>3681</v>
      </c>
      <c r="V181" t="s">
        <v>3682</v>
      </c>
      <c r="W181" t="s">
        <v>3683</v>
      </c>
      <c r="X181" t="s">
        <v>3684</v>
      </c>
      <c r="Y181" t="s">
        <v>3685</v>
      </c>
      <c r="Z181" t="s">
        <v>3686</v>
      </c>
      <c r="AA181" t="s">
        <v>74</v>
      </c>
      <c r="AB181" t="s">
        <v>74</v>
      </c>
      <c r="AC181" t="s">
        <v>3687</v>
      </c>
      <c r="AD181" t="s">
        <v>3688</v>
      </c>
      <c r="AE181" t="s">
        <v>3689</v>
      </c>
      <c r="AF181" t="s">
        <v>74</v>
      </c>
      <c r="AG181">
        <v>75</v>
      </c>
      <c r="AH181">
        <v>0</v>
      </c>
      <c r="AI181">
        <v>0</v>
      </c>
      <c r="AJ181">
        <v>1</v>
      </c>
      <c r="AK181">
        <v>1</v>
      </c>
      <c r="AL181" t="s">
        <v>426</v>
      </c>
      <c r="AM181" t="s">
        <v>427</v>
      </c>
      <c r="AN181" t="s">
        <v>428</v>
      </c>
      <c r="AO181" t="s">
        <v>2037</v>
      </c>
      <c r="AP181" t="s">
        <v>74</v>
      </c>
      <c r="AQ181" t="s">
        <v>74</v>
      </c>
      <c r="AR181" t="s">
        <v>2028</v>
      </c>
      <c r="AS181" t="s">
        <v>2038</v>
      </c>
      <c r="AT181" t="s">
        <v>3403</v>
      </c>
      <c r="AU181">
        <v>2023</v>
      </c>
      <c r="AV181">
        <v>8</v>
      </c>
      <c r="AW181">
        <v>34</v>
      </c>
      <c r="AX181" t="s">
        <v>74</v>
      </c>
      <c r="AY181" t="s">
        <v>74</v>
      </c>
      <c r="AZ181" t="s">
        <v>74</v>
      </c>
      <c r="BA181" t="s">
        <v>74</v>
      </c>
      <c r="BB181" t="s">
        <v>74</v>
      </c>
      <c r="BC181" t="s">
        <v>74</v>
      </c>
      <c r="BD181" t="s">
        <v>3690</v>
      </c>
      <c r="BE181" t="s">
        <v>3691</v>
      </c>
      <c r="BF181" t="str">
        <f>HYPERLINK("http://dx.doi.org/10.1002/slct.202301115","http://dx.doi.org/10.1002/slct.202301115")</f>
        <v>http://dx.doi.org/10.1002/slct.202301115</v>
      </c>
      <c r="BG181" t="s">
        <v>74</v>
      </c>
      <c r="BH181" t="s">
        <v>74</v>
      </c>
      <c r="BI181">
        <v>13</v>
      </c>
      <c r="BJ181" t="s">
        <v>523</v>
      </c>
      <c r="BK181" t="s">
        <v>119</v>
      </c>
      <c r="BL181" t="s">
        <v>524</v>
      </c>
      <c r="BM181" t="s">
        <v>3692</v>
      </c>
      <c r="BN181" t="s">
        <v>74</v>
      </c>
      <c r="BO181" t="s">
        <v>74</v>
      </c>
      <c r="BP181" t="s">
        <v>74</v>
      </c>
      <c r="BQ181" t="s">
        <v>74</v>
      </c>
      <c r="BR181" t="s">
        <v>99</v>
      </c>
      <c r="BS181" t="s">
        <v>3693</v>
      </c>
      <c r="BT181" t="str">
        <f>HYPERLINK("https%3A%2F%2Fwww.webofscience.com%2Fwos%2Fwoscc%2Ffull-record%2FWOS:001060070000001","View Full Record in Web of Science")</f>
        <v>View Full Record in Web of Science</v>
      </c>
    </row>
    <row r="182" spans="1:72" x14ac:dyDescent="0.15">
      <c r="A182" t="s">
        <v>72</v>
      </c>
      <c r="B182" t="s">
        <v>3694</v>
      </c>
      <c r="C182" t="s">
        <v>74</v>
      </c>
      <c r="D182" t="s">
        <v>74</v>
      </c>
      <c r="E182" t="s">
        <v>74</v>
      </c>
      <c r="F182" t="s">
        <v>3695</v>
      </c>
      <c r="G182" t="s">
        <v>74</v>
      </c>
      <c r="H182" t="s">
        <v>74</v>
      </c>
      <c r="I182" t="s">
        <v>3696</v>
      </c>
      <c r="J182" t="s">
        <v>3697</v>
      </c>
      <c r="K182" t="s">
        <v>74</v>
      </c>
      <c r="L182" t="s">
        <v>74</v>
      </c>
      <c r="M182" t="s">
        <v>78</v>
      </c>
      <c r="N182" t="s">
        <v>1297</v>
      </c>
      <c r="O182" t="s">
        <v>74</v>
      </c>
      <c r="P182" t="s">
        <v>74</v>
      </c>
      <c r="Q182" t="s">
        <v>74</v>
      </c>
      <c r="R182" t="s">
        <v>74</v>
      </c>
      <c r="S182" t="s">
        <v>74</v>
      </c>
      <c r="T182" t="s">
        <v>3698</v>
      </c>
      <c r="U182" t="s">
        <v>74</v>
      </c>
      <c r="V182" t="s">
        <v>3699</v>
      </c>
      <c r="W182" t="s">
        <v>3700</v>
      </c>
      <c r="X182" t="s">
        <v>3701</v>
      </c>
      <c r="Y182" t="s">
        <v>3702</v>
      </c>
      <c r="Z182" t="s">
        <v>3703</v>
      </c>
      <c r="AA182" t="s">
        <v>74</v>
      </c>
      <c r="AB182" t="s">
        <v>3704</v>
      </c>
      <c r="AC182" t="s">
        <v>74</v>
      </c>
      <c r="AD182" t="s">
        <v>74</v>
      </c>
      <c r="AE182" t="s">
        <v>74</v>
      </c>
      <c r="AF182" t="s">
        <v>74</v>
      </c>
      <c r="AG182">
        <v>4</v>
      </c>
      <c r="AH182">
        <v>0</v>
      </c>
      <c r="AI182">
        <v>0</v>
      </c>
      <c r="AJ182">
        <v>0</v>
      </c>
      <c r="AK182">
        <v>0</v>
      </c>
      <c r="AL182" t="s">
        <v>87</v>
      </c>
      <c r="AM182" t="s">
        <v>88</v>
      </c>
      <c r="AN182" t="s">
        <v>89</v>
      </c>
      <c r="AO182" t="s">
        <v>3705</v>
      </c>
      <c r="AP182" t="s">
        <v>3706</v>
      </c>
      <c r="AQ182" t="s">
        <v>74</v>
      </c>
      <c r="AR182" t="s">
        <v>3707</v>
      </c>
      <c r="AS182" t="s">
        <v>3708</v>
      </c>
      <c r="AT182" t="s">
        <v>3361</v>
      </c>
      <c r="AU182">
        <v>2023</v>
      </c>
      <c r="AV182" t="s">
        <v>74</v>
      </c>
      <c r="AW182" t="s">
        <v>74</v>
      </c>
      <c r="AX182" t="s">
        <v>74</v>
      </c>
      <c r="AY182" t="s">
        <v>74</v>
      </c>
      <c r="AZ182" t="s">
        <v>74</v>
      </c>
      <c r="BA182" t="s">
        <v>74</v>
      </c>
      <c r="BB182" t="s">
        <v>74</v>
      </c>
      <c r="BC182" t="s">
        <v>74</v>
      </c>
      <c r="BD182" t="s">
        <v>74</v>
      </c>
      <c r="BE182" t="s">
        <v>3709</v>
      </c>
      <c r="BF182" t="str">
        <f>HYPERLINK("http://dx.doi.org/10.1002/ohn.524","http://dx.doi.org/10.1002/ohn.524")</f>
        <v>http://dx.doi.org/10.1002/ohn.524</v>
      </c>
      <c r="BG182" t="s">
        <v>74</v>
      </c>
      <c r="BH182" t="s">
        <v>407</v>
      </c>
      <c r="BI182">
        <v>3</v>
      </c>
      <c r="BJ182" t="s">
        <v>3710</v>
      </c>
      <c r="BK182" t="s">
        <v>119</v>
      </c>
      <c r="BL182" t="s">
        <v>3710</v>
      </c>
      <c r="BM182" t="s">
        <v>3711</v>
      </c>
      <c r="BN182">
        <v>37702189</v>
      </c>
      <c r="BO182" t="s">
        <v>122</v>
      </c>
      <c r="BP182" t="s">
        <v>74</v>
      </c>
      <c r="BQ182" t="s">
        <v>74</v>
      </c>
      <c r="BR182" t="s">
        <v>99</v>
      </c>
      <c r="BS182" t="s">
        <v>3712</v>
      </c>
      <c r="BT182" t="str">
        <f>HYPERLINK("https%3A%2F%2Fwww.webofscience.com%2Fwos%2Fwoscc%2Ffull-record%2FWOS:001067054800001","View Full Record in Web of Science")</f>
        <v>View Full Record in Web of Science</v>
      </c>
    </row>
    <row r="183" spans="1:72" x14ac:dyDescent="0.15">
      <c r="A183" t="s">
        <v>72</v>
      </c>
      <c r="B183" t="s">
        <v>3713</v>
      </c>
      <c r="C183" t="s">
        <v>74</v>
      </c>
      <c r="D183" t="s">
        <v>74</v>
      </c>
      <c r="E183" t="s">
        <v>74</v>
      </c>
      <c r="F183" t="s">
        <v>3714</v>
      </c>
      <c r="G183" t="s">
        <v>74</v>
      </c>
      <c r="H183" t="s">
        <v>74</v>
      </c>
      <c r="I183" t="s">
        <v>3715</v>
      </c>
      <c r="J183" t="s">
        <v>639</v>
      </c>
      <c r="K183" t="s">
        <v>74</v>
      </c>
      <c r="L183" t="s">
        <v>74</v>
      </c>
      <c r="M183" t="s">
        <v>78</v>
      </c>
      <c r="N183" t="s">
        <v>338</v>
      </c>
      <c r="O183" t="s">
        <v>74</v>
      </c>
      <c r="P183" t="s">
        <v>74</v>
      </c>
      <c r="Q183" t="s">
        <v>74</v>
      </c>
      <c r="R183" t="s">
        <v>74</v>
      </c>
      <c r="S183" t="s">
        <v>74</v>
      </c>
      <c r="T183" t="s">
        <v>3716</v>
      </c>
      <c r="U183" t="s">
        <v>3717</v>
      </c>
      <c r="V183" t="s">
        <v>3718</v>
      </c>
      <c r="W183" t="s">
        <v>3719</v>
      </c>
      <c r="X183" t="s">
        <v>3720</v>
      </c>
      <c r="Y183" t="s">
        <v>3721</v>
      </c>
      <c r="Z183" t="s">
        <v>3722</v>
      </c>
      <c r="AA183" t="s">
        <v>74</v>
      </c>
      <c r="AB183" t="s">
        <v>3723</v>
      </c>
      <c r="AC183" t="s">
        <v>3724</v>
      </c>
      <c r="AD183" t="s">
        <v>3725</v>
      </c>
      <c r="AE183" t="s">
        <v>3726</v>
      </c>
      <c r="AF183" t="s">
        <v>74</v>
      </c>
      <c r="AG183">
        <v>70</v>
      </c>
      <c r="AH183">
        <v>0</v>
      </c>
      <c r="AI183">
        <v>0</v>
      </c>
      <c r="AJ183">
        <v>2</v>
      </c>
      <c r="AK183">
        <v>2</v>
      </c>
      <c r="AL183" t="s">
        <v>87</v>
      </c>
      <c r="AM183" t="s">
        <v>88</v>
      </c>
      <c r="AN183" t="s">
        <v>89</v>
      </c>
      <c r="AO183" t="s">
        <v>650</v>
      </c>
      <c r="AP183" t="s">
        <v>651</v>
      </c>
      <c r="AQ183" t="s">
        <v>74</v>
      </c>
      <c r="AR183" t="s">
        <v>652</v>
      </c>
      <c r="AS183" t="s">
        <v>653</v>
      </c>
      <c r="AT183" t="s">
        <v>3361</v>
      </c>
      <c r="AU183">
        <v>2023</v>
      </c>
      <c r="AV183" t="s">
        <v>74</v>
      </c>
      <c r="AW183" t="s">
        <v>74</v>
      </c>
      <c r="AX183" t="s">
        <v>74</v>
      </c>
      <c r="AY183" t="s">
        <v>74</v>
      </c>
      <c r="AZ183" t="s">
        <v>74</v>
      </c>
      <c r="BA183" t="s">
        <v>74</v>
      </c>
      <c r="BB183" t="s">
        <v>74</v>
      </c>
      <c r="BC183" t="s">
        <v>74</v>
      </c>
      <c r="BD183" t="s">
        <v>74</v>
      </c>
      <c r="BE183" t="s">
        <v>3727</v>
      </c>
      <c r="BF183" t="str">
        <f>HYPERLINK("http://dx.doi.org/10.1111/jipb.13549","http://dx.doi.org/10.1111/jipb.13549")</f>
        <v>http://dx.doi.org/10.1111/jipb.13549</v>
      </c>
      <c r="BG183" t="s">
        <v>74</v>
      </c>
      <c r="BH183" t="s">
        <v>407</v>
      </c>
      <c r="BI183">
        <v>13</v>
      </c>
      <c r="BJ183" t="s">
        <v>656</v>
      </c>
      <c r="BK183" t="s">
        <v>119</v>
      </c>
      <c r="BL183" t="s">
        <v>656</v>
      </c>
      <c r="BM183" t="s">
        <v>3728</v>
      </c>
      <c r="BN183">
        <v>37526388</v>
      </c>
      <c r="BO183" t="s">
        <v>74</v>
      </c>
      <c r="BP183" t="s">
        <v>74</v>
      </c>
      <c r="BQ183" t="s">
        <v>74</v>
      </c>
      <c r="BR183" t="s">
        <v>99</v>
      </c>
      <c r="BS183" t="s">
        <v>3729</v>
      </c>
      <c r="BT183" t="str">
        <f>HYPERLINK("https%3A%2F%2Fwww.webofscience.com%2Fwos%2Fwoscc%2Ffull-record%2FWOS:001066223800001","View Full Record in Web of Science")</f>
        <v>View Full Record in Web of Science</v>
      </c>
    </row>
    <row r="184" spans="1:72" x14ac:dyDescent="0.15">
      <c r="A184" t="s">
        <v>72</v>
      </c>
      <c r="B184" t="s">
        <v>3730</v>
      </c>
      <c r="C184" t="s">
        <v>74</v>
      </c>
      <c r="D184" t="s">
        <v>74</v>
      </c>
      <c r="E184" t="s">
        <v>74</v>
      </c>
      <c r="F184" t="s">
        <v>3731</v>
      </c>
      <c r="G184" t="s">
        <v>74</v>
      </c>
      <c r="H184" t="s">
        <v>74</v>
      </c>
      <c r="I184" t="s">
        <v>3732</v>
      </c>
      <c r="J184" t="s">
        <v>3733</v>
      </c>
      <c r="K184" t="s">
        <v>74</v>
      </c>
      <c r="L184" t="s">
        <v>74</v>
      </c>
      <c r="M184" t="s">
        <v>78</v>
      </c>
      <c r="N184" t="s">
        <v>338</v>
      </c>
      <c r="O184" t="s">
        <v>74</v>
      </c>
      <c r="P184" t="s">
        <v>74</v>
      </c>
      <c r="Q184" t="s">
        <v>74</v>
      </c>
      <c r="R184" t="s">
        <v>74</v>
      </c>
      <c r="S184" t="s">
        <v>74</v>
      </c>
      <c r="T184" t="s">
        <v>3734</v>
      </c>
      <c r="U184" t="s">
        <v>3735</v>
      </c>
      <c r="V184" t="s">
        <v>3736</v>
      </c>
      <c r="W184" t="s">
        <v>3737</v>
      </c>
      <c r="X184" t="s">
        <v>3738</v>
      </c>
      <c r="Y184" t="s">
        <v>3739</v>
      </c>
      <c r="Z184" t="s">
        <v>3740</v>
      </c>
      <c r="AA184" t="s">
        <v>74</v>
      </c>
      <c r="AB184" t="s">
        <v>74</v>
      </c>
      <c r="AC184" t="s">
        <v>3741</v>
      </c>
      <c r="AD184" t="s">
        <v>3742</v>
      </c>
      <c r="AE184" t="s">
        <v>3741</v>
      </c>
      <c r="AF184" t="s">
        <v>74</v>
      </c>
      <c r="AG184">
        <v>65</v>
      </c>
      <c r="AH184">
        <v>0</v>
      </c>
      <c r="AI184">
        <v>0</v>
      </c>
      <c r="AJ184">
        <v>0</v>
      </c>
      <c r="AK184">
        <v>0</v>
      </c>
      <c r="AL184" t="s">
        <v>87</v>
      </c>
      <c r="AM184" t="s">
        <v>88</v>
      </c>
      <c r="AN184" t="s">
        <v>89</v>
      </c>
      <c r="AO184" t="s">
        <v>3743</v>
      </c>
      <c r="AP184" t="s">
        <v>3744</v>
      </c>
      <c r="AQ184" t="s">
        <v>74</v>
      </c>
      <c r="AR184" t="s">
        <v>3745</v>
      </c>
      <c r="AS184" t="s">
        <v>3746</v>
      </c>
      <c r="AT184" t="s">
        <v>3361</v>
      </c>
      <c r="AU184">
        <v>2023</v>
      </c>
      <c r="AV184" t="s">
        <v>74</v>
      </c>
      <c r="AW184" t="s">
        <v>74</v>
      </c>
      <c r="AX184" t="s">
        <v>74</v>
      </c>
      <c r="AY184" t="s">
        <v>74</v>
      </c>
      <c r="AZ184" t="s">
        <v>74</v>
      </c>
      <c r="BA184" t="s">
        <v>74</v>
      </c>
      <c r="BB184" t="s">
        <v>74</v>
      </c>
      <c r="BC184" t="s">
        <v>74</v>
      </c>
      <c r="BD184" t="s">
        <v>74</v>
      </c>
      <c r="BE184" t="s">
        <v>3747</v>
      </c>
      <c r="BF184" t="str">
        <f>HYPERLINK("http://dx.doi.org/10.1002/ldr.4910","http://dx.doi.org/10.1002/ldr.4910")</f>
        <v>http://dx.doi.org/10.1002/ldr.4910</v>
      </c>
      <c r="BG184" t="s">
        <v>74</v>
      </c>
      <c r="BH184" t="s">
        <v>407</v>
      </c>
      <c r="BI184">
        <v>11</v>
      </c>
      <c r="BJ184" t="s">
        <v>3748</v>
      </c>
      <c r="BK184" t="s">
        <v>119</v>
      </c>
      <c r="BL184" t="s">
        <v>3749</v>
      </c>
      <c r="BM184" t="s">
        <v>3750</v>
      </c>
      <c r="BN184" t="s">
        <v>74</v>
      </c>
      <c r="BO184" t="s">
        <v>74</v>
      </c>
      <c r="BP184" t="s">
        <v>74</v>
      </c>
      <c r="BQ184" t="s">
        <v>74</v>
      </c>
      <c r="BR184" t="s">
        <v>99</v>
      </c>
      <c r="BS184" t="s">
        <v>3751</v>
      </c>
      <c r="BT184" t="str">
        <f>HYPERLINK("https%3A%2F%2Fwww.webofscience.com%2Fwos%2Fwoscc%2Ffull-record%2FWOS:001064825900001","View Full Record in Web of Science")</f>
        <v>View Full Record in Web of Science</v>
      </c>
    </row>
    <row r="185" spans="1:72" x14ac:dyDescent="0.15">
      <c r="A185" t="s">
        <v>72</v>
      </c>
      <c r="B185" t="s">
        <v>3752</v>
      </c>
      <c r="C185" t="s">
        <v>74</v>
      </c>
      <c r="D185" t="s">
        <v>74</v>
      </c>
      <c r="E185" t="s">
        <v>74</v>
      </c>
      <c r="F185" t="s">
        <v>3753</v>
      </c>
      <c r="G185" t="s">
        <v>74</v>
      </c>
      <c r="H185" t="s">
        <v>74</v>
      </c>
      <c r="I185" t="s">
        <v>3754</v>
      </c>
      <c r="J185" t="s">
        <v>875</v>
      </c>
      <c r="K185" t="s">
        <v>74</v>
      </c>
      <c r="L185" t="s">
        <v>74</v>
      </c>
      <c r="M185" t="s">
        <v>78</v>
      </c>
      <c r="N185" t="s">
        <v>338</v>
      </c>
      <c r="O185" t="s">
        <v>74</v>
      </c>
      <c r="P185" t="s">
        <v>74</v>
      </c>
      <c r="Q185" t="s">
        <v>74</v>
      </c>
      <c r="R185" t="s">
        <v>74</v>
      </c>
      <c r="S185" t="s">
        <v>74</v>
      </c>
      <c r="T185" t="s">
        <v>3755</v>
      </c>
      <c r="U185" t="s">
        <v>3756</v>
      </c>
      <c r="V185" t="s">
        <v>3757</v>
      </c>
      <c r="W185" t="s">
        <v>3758</v>
      </c>
      <c r="X185" t="s">
        <v>3759</v>
      </c>
      <c r="Y185" t="s">
        <v>3760</v>
      </c>
      <c r="Z185" t="s">
        <v>3761</v>
      </c>
      <c r="AA185" t="s">
        <v>74</v>
      </c>
      <c r="AB185" t="s">
        <v>74</v>
      </c>
      <c r="AC185" t="s">
        <v>3762</v>
      </c>
      <c r="AD185" t="s">
        <v>3763</v>
      </c>
      <c r="AE185" t="s">
        <v>3764</v>
      </c>
      <c r="AF185" t="s">
        <v>74</v>
      </c>
      <c r="AG185">
        <v>40</v>
      </c>
      <c r="AH185">
        <v>0</v>
      </c>
      <c r="AI185">
        <v>0</v>
      </c>
      <c r="AJ185">
        <v>2</v>
      </c>
      <c r="AK185">
        <v>2</v>
      </c>
      <c r="AL185" t="s">
        <v>426</v>
      </c>
      <c r="AM185" t="s">
        <v>427</v>
      </c>
      <c r="AN185" t="s">
        <v>428</v>
      </c>
      <c r="AO185" t="s">
        <v>886</v>
      </c>
      <c r="AP185" t="s">
        <v>887</v>
      </c>
      <c r="AQ185" t="s">
        <v>74</v>
      </c>
      <c r="AR185" t="s">
        <v>888</v>
      </c>
      <c r="AS185" t="s">
        <v>889</v>
      </c>
      <c r="AT185" t="s">
        <v>3361</v>
      </c>
      <c r="AU185">
        <v>2023</v>
      </c>
      <c r="AV185" t="s">
        <v>74</v>
      </c>
      <c r="AW185" t="s">
        <v>74</v>
      </c>
      <c r="AX185" t="s">
        <v>74</v>
      </c>
      <c r="AY185" t="s">
        <v>74</v>
      </c>
      <c r="AZ185" t="s">
        <v>74</v>
      </c>
      <c r="BA185" t="s">
        <v>74</v>
      </c>
      <c r="BB185" t="s">
        <v>74</v>
      </c>
      <c r="BC185" t="s">
        <v>74</v>
      </c>
      <c r="BD185" t="s">
        <v>74</v>
      </c>
      <c r="BE185" t="s">
        <v>3765</v>
      </c>
      <c r="BF185" t="str">
        <f>HYPERLINK("http://dx.doi.org/10.1002/adfm.202306742","http://dx.doi.org/10.1002/adfm.202306742")</f>
        <v>http://dx.doi.org/10.1002/adfm.202306742</v>
      </c>
      <c r="BG185" t="s">
        <v>74</v>
      </c>
      <c r="BH185" t="s">
        <v>407</v>
      </c>
      <c r="BI185">
        <v>7</v>
      </c>
      <c r="BJ185" t="s">
        <v>609</v>
      </c>
      <c r="BK185" t="s">
        <v>119</v>
      </c>
      <c r="BL185" t="s">
        <v>610</v>
      </c>
      <c r="BM185" t="s">
        <v>3766</v>
      </c>
      <c r="BN185" t="s">
        <v>74</v>
      </c>
      <c r="BO185" t="s">
        <v>74</v>
      </c>
      <c r="BP185" t="s">
        <v>74</v>
      </c>
      <c r="BQ185" t="s">
        <v>74</v>
      </c>
      <c r="BR185" t="s">
        <v>99</v>
      </c>
      <c r="BS185" t="s">
        <v>3767</v>
      </c>
      <c r="BT185" t="str">
        <f>HYPERLINK("https%3A%2F%2Fwww.webofscience.com%2Fwos%2Fwoscc%2Ffull-record%2FWOS:001064561200001","View Full Record in Web of Science")</f>
        <v>View Full Record in Web of Science</v>
      </c>
    </row>
    <row r="186" spans="1:72" x14ac:dyDescent="0.15">
      <c r="A186" t="s">
        <v>72</v>
      </c>
      <c r="B186" t="s">
        <v>3768</v>
      </c>
      <c r="C186" t="s">
        <v>74</v>
      </c>
      <c r="D186" t="s">
        <v>74</v>
      </c>
      <c r="E186" t="s">
        <v>74</v>
      </c>
      <c r="F186" t="s">
        <v>3769</v>
      </c>
      <c r="G186" t="s">
        <v>74</v>
      </c>
      <c r="H186" t="s">
        <v>74</v>
      </c>
      <c r="I186" t="s">
        <v>3770</v>
      </c>
      <c r="J186" t="s">
        <v>3771</v>
      </c>
      <c r="K186" t="s">
        <v>74</v>
      </c>
      <c r="L186" t="s">
        <v>74</v>
      </c>
      <c r="M186" t="s">
        <v>78</v>
      </c>
      <c r="N186" t="s">
        <v>338</v>
      </c>
      <c r="O186" t="s">
        <v>74</v>
      </c>
      <c r="P186" t="s">
        <v>74</v>
      </c>
      <c r="Q186" t="s">
        <v>74</v>
      </c>
      <c r="R186" t="s">
        <v>74</v>
      </c>
      <c r="S186" t="s">
        <v>74</v>
      </c>
      <c r="T186" t="s">
        <v>3772</v>
      </c>
      <c r="U186" t="s">
        <v>3773</v>
      </c>
      <c r="V186" t="s">
        <v>3774</v>
      </c>
      <c r="W186" t="s">
        <v>3775</v>
      </c>
      <c r="X186" t="s">
        <v>3776</v>
      </c>
      <c r="Y186" t="s">
        <v>3777</v>
      </c>
      <c r="Z186" t="s">
        <v>3778</v>
      </c>
      <c r="AA186" t="s">
        <v>74</v>
      </c>
      <c r="AB186" t="s">
        <v>74</v>
      </c>
      <c r="AC186" t="s">
        <v>3779</v>
      </c>
      <c r="AD186" t="s">
        <v>3742</v>
      </c>
      <c r="AE186" t="s">
        <v>3780</v>
      </c>
      <c r="AF186" t="s">
        <v>74</v>
      </c>
      <c r="AG186">
        <v>45</v>
      </c>
      <c r="AH186">
        <v>0</v>
      </c>
      <c r="AI186">
        <v>0</v>
      </c>
      <c r="AJ186">
        <v>0</v>
      </c>
      <c r="AK186">
        <v>0</v>
      </c>
      <c r="AL186" t="s">
        <v>426</v>
      </c>
      <c r="AM186" t="s">
        <v>427</v>
      </c>
      <c r="AN186" t="s">
        <v>428</v>
      </c>
      <c r="AO186" t="s">
        <v>3781</v>
      </c>
      <c r="AP186" t="s">
        <v>3782</v>
      </c>
      <c r="AQ186" t="s">
        <v>74</v>
      </c>
      <c r="AR186" t="s">
        <v>3783</v>
      </c>
      <c r="AS186" t="s">
        <v>3784</v>
      </c>
      <c r="AT186" t="s">
        <v>3785</v>
      </c>
      <c r="AU186">
        <v>2023</v>
      </c>
      <c r="AV186" t="s">
        <v>74</v>
      </c>
      <c r="AW186" t="s">
        <v>74</v>
      </c>
      <c r="AX186" t="s">
        <v>74</v>
      </c>
      <c r="AY186" t="s">
        <v>74</v>
      </c>
      <c r="AZ186" t="s">
        <v>74</v>
      </c>
      <c r="BA186" t="s">
        <v>74</v>
      </c>
      <c r="BB186" t="s">
        <v>74</v>
      </c>
      <c r="BC186" t="s">
        <v>74</v>
      </c>
      <c r="BD186" t="s">
        <v>74</v>
      </c>
      <c r="BE186" t="s">
        <v>3786</v>
      </c>
      <c r="BF186" t="str">
        <f>HYPERLINK("http://dx.doi.org/10.1002/prop.202200205","http://dx.doi.org/10.1002/prop.202200205")</f>
        <v>http://dx.doi.org/10.1002/prop.202200205</v>
      </c>
      <c r="BG186" t="s">
        <v>74</v>
      </c>
      <c r="BH186" t="s">
        <v>407</v>
      </c>
      <c r="BI186">
        <v>10</v>
      </c>
      <c r="BJ186" t="s">
        <v>3787</v>
      </c>
      <c r="BK186" t="s">
        <v>119</v>
      </c>
      <c r="BL186" t="s">
        <v>3788</v>
      </c>
      <c r="BM186" t="s">
        <v>3789</v>
      </c>
      <c r="BN186" t="s">
        <v>74</v>
      </c>
      <c r="BO186" t="s">
        <v>74</v>
      </c>
      <c r="BP186" t="s">
        <v>74</v>
      </c>
      <c r="BQ186" t="s">
        <v>74</v>
      </c>
      <c r="BR186" t="s">
        <v>99</v>
      </c>
      <c r="BS186" t="s">
        <v>3790</v>
      </c>
      <c r="BT186" t="str">
        <f>HYPERLINK("https%3A%2F%2Fwww.webofscience.com%2Fwos%2Fwoscc%2Ffull-record%2FWOS:001064217000001","View Full Record in Web of Science")</f>
        <v>View Full Record in Web of Science</v>
      </c>
    </row>
    <row r="187" spans="1:72" x14ac:dyDescent="0.15">
      <c r="A187" t="s">
        <v>72</v>
      </c>
      <c r="B187" t="s">
        <v>3791</v>
      </c>
      <c r="C187" t="s">
        <v>74</v>
      </c>
      <c r="D187" t="s">
        <v>74</v>
      </c>
      <c r="E187" t="s">
        <v>74</v>
      </c>
      <c r="F187" t="s">
        <v>3792</v>
      </c>
      <c r="G187" t="s">
        <v>74</v>
      </c>
      <c r="H187" t="s">
        <v>74</v>
      </c>
      <c r="I187" t="s">
        <v>3793</v>
      </c>
      <c r="J187" t="s">
        <v>3794</v>
      </c>
      <c r="K187" t="s">
        <v>74</v>
      </c>
      <c r="L187" t="s">
        <v>74</v>
      </c>
      <c r="M187" t="s">
        <v>78</v>
      </c>
      <c r="N187" t="s">
        <v>338</v>
      </c>
      <c r="O187" t="s">
        <v>74</v>
      </c>
      <c r="P187" t="s">
        <v>74</v>
      </c>
      <c r="Q187" t="s">
        <v>74</v>
      </c>
      <c r="R187" t="s">
        <v>74</v>
      </c>
      <c r="S187" t="s">
        <v>74</v>
      </c>
      <c r="T187" t="s">
        <v>3795</v>
      </c>
      <c r="U187" t="s">
        <v>3796</v>
      </c>
      <c r="V187" t="s">
        <v>3797</v>
      </c>
      <c r="W187" t="s">
        <v>3798</v>
      </c>
      <c r="X187" t="s">
        <v>74</v>
      </c>
      <c r="Y187" t="s">
        <v>3799</v>
      </c>
      <c r="Z187" t="s">
        <v>3800</v>
      </c>
      <c r="AA187" t="s">
        <v>74</v>
      </c>
      <c r="AB187" t="s">
        <v>74</v>
      </c>
      <c r="AC187" t="s">
        <v>3801</v>
      </c>
      <c r="AD187" t="s">
        <v>3801</v>
      </c>
      <c r="AE187" t="s">
        <v>3801</v>
      </c>
      <c r="AF187" t="s">
        <v>74</v>
      </c>
      <c r="AG187">
        <v>44</v>
      </c>
      <c r="AH187">
        <v>0</v>
      </c>
      <c r="AI187">
        <v>0</v>
      </c>
      <c r="AJ187">
        <v>0</v>
      </c>
      <c r="AK187">
        <v>0</v>
      </c>
      <c r="AL187" t="s">
        <v>87</v>
      </c>
      <c r="AM187" t="s">
        <v>88</v>
      </c>
      <c r="AN187" t="s">
        <v>89</v>
      </c>
      <c r="AO187" t="s">
        <v>3802</v>
      </c>
      <c r="AP187" t="s">
        <v>3803</v>
      </c>
      <c r="AQ187" t="s">
        <v>74</v>
      </c>
      <c r="AR187" t="s">
        <v>3794</v>
      </c>
      <c r="AS187" t="s">
        <v>3804</v>
      </c>
      <c r="AT187" t="s">
        <v>3785</v>
      </c>
      <c r="AU187">
        <v>2023</v>
      </c>
      <c r="AV187" t="s">
        <v>74</v>
      </c>
      <c r="AW187" t="s">
        <v>74</v>
      </c>
      <c r="AX187" t="s">
        <v>74</v>
      </c>
      <c r="AY187" t="s">
        <v>74</v>
      </c>
      <c r="AZ187" t="s">
        <v>74</v>
      </c>
      <c r="BA187" t="s">
        <v>74</v>
      </c>
      <c r="BB187" t="s">
        <v>74</v>
      </c>
      <c r="BC187" t="s">
        <v>74</v>
      </c>
      <c r="BD187" t="s">
        <v>74</v>
      </c>
      <c r="BE187" t="s">
        <v>3805</v>
      </c>
      <c r="BF187" t="str">
        <f>HYPERLINK("http://dx.doi.org/10.1111/btp.13259","http://dx.doi.org/10.1111/btp.13259")</f>
        <v>http://dx.doi.org/10.1111/btp.13259</v>
      </c>
      <c r="BG187" t="s">
        <v>74</v>
      </c>
      <c r="BH187" t="s">
        <v>407</v>
      </c>
      <c r="BI187">
        <v>6</v>
      </c>
      <c r="BJ187" t="s">
        <v>3316</v>
      </c>
      <c r="BK187" t="s">
        <v>119</v>
      </c>
      <c r="BL187" t="s">
        <v>3317</v>
      </c>
      <c r="BM187" t="s">
        <v>3806</v>
      </c>
      <c r="BN187" t="s">
        <v>74</v>
      </c>
      <c r="BO187" t="s">
        <v>301</v>
      </c>
      <c r="BP187" t="s">
        <v>74</v>
      </c>
      <c r="BQ187" t="s">
        <v>74</v>
      </c>
      <c r="BR187" t="s">
        <v>99</v>
      </c>
      <c r="BS187" t="s">
        <v>3807</v>
      </c>
      <c r="BT187" t="str">
        <f>HYPERLINK("https%3A%2F%2Fwww.webofscience.com%2Fwos%2Fwoscc%2Ffull-record%2FWOS:001067796600001","View Full Record in Web of Science")</f>
        <v>View Full Record in Web of Science</v>
      </c>
    </row>
    <row r="188" spans="1:72" x14ac:dyDescent="0.15">
      <c r="A188" t="s">
        <v>72</v>
      </c>
      <c r="B188" t="s">
        <v>3808</v>
      </c>
      <c r="C188" t="s">
        <v>74</v>
      </c>
      <c r="D188" t="s">
        <v>74</v>
      </c>
      <c r="E188" t="s">
        <v>74</v>
      </c>
      <c r="F188" t="s">
        <v>3809</v>
      </c>
      <c r="G188" t="s">
        <v>74</v>
      </c>
      <c r="H188" t="s">
        <v>74</v>
      </c>
      <c r="I188" t="s">
        <v>3810</v>
      </c>
      <c r="J188" t="s">
        <v>3811</v>
      </c>
      <c r="K188" t="s">
        <v>74</v>
      </c>
      <c r="L188" t="s">
        <v>74</v>
      </c>
      <c r="M188" t="s">
        <v>78</v>
      </c>
      <c r="N188" t="s">
        <v>338</v>
      </c>
      <c r="O188" t="s">
        <v>74</v>
      </c>
      <c r="P188" t="s">
        <v>74</v>
      </c>
      <c r="Q188" t="s">
        <v>74</v>
      </c>
      <c r="R188" t="s">
        <v>74</v>
      </c>
      <c r="S188" t="s">
        <v>74</v>
      </c>
      <c r="T188" t="s">
        <v>3812</v>
      </c>
      <c r="U188" t="s">
        <v>3813</v>
      </c>
      <c r="V188" t="s">
        <v>3814</v>
      </c>
      <c r="W188" t="s">
        <v>3815</v>
      </c>
      <c r="X188" t="s">
        <v>3816</v>
      </c>
      <c r="Y188" t="s">
        <v>3817</v>
      </c>
      <c r="Z188" t="s">
        <v>3818</v>
      </c>
      <c r="AA188" t="s">
        <v>74</v>
      </c>
      <c r="AB188" t="s">
        <v>74</v>
      </c>
      <c r="AC188" t="s">
        <v>3819</v>
      </c>
      <c r="AD188" t="s">
        <v>3819</v>
      </c>
      <c r="AE188" t="s">
        <v>3820</v>
      </c>
      <c r="AF188" t="s">
        <v>74</v>
      </c>
      <c r="AG188">
        <v>42</v>
      </c>
      <c r="AH188">
        <v>0</v>
      </c>
      <c r="AI188">
        <v>0</v>
      </c>
      <c r="AJ188">
        <v>4</v>
      </c>
      <c r="AK188">
        <v>4</v>
      </c>
      <c r="AL188" t="s">
        <v>87</v>
      </c>
      <c r="AM188" t="s">
        <v>88</v>
      </c>
      <c r="AN188" t="s">
        <v>89</v>
      </c>
      <c r="AO188" t="s">
        <v>3821</v>
      </c>
      <c r="AP188" t="s">
        <v>3822</v>
      </c>
      <c r="AQ188" t="s">
        <v>74</v>
      </c>
      <c r="AR188" t="s">
        <v>3823</v>
      </c>
      <c r="AS188" t="s">
        <v>3824</v>
      </c>
      <c r="AT188" t="s">
        <v>3785</v>
      </c>
      <c r="AU188">
        <v>2023</v>
      </c>
      <c r="AV188" t="s">
        <v>74</v>
      </c>
      <c r="AW188" t="s">
        <v>74</v>
      </c>
      <c r="AX188" t="s">
        <v>74</v>
      </c>
      <c r="AY188" t="s">
        <v>74</v>
      </c>
      <c r="AZ188" t="s">
        <v>74</v>
      </c>
      <c r="BA188" t="s">
        <v>74</v>
      </c>
      <c r="BB188" t="s">
        <v>74</v>
      </c>
      <c r="BC188" t="s">
        <v>74</v>
      </c>
      <c r="BD188" t="s">
        <v>74</v>
      </c>
      <c r="BE188" t="s">
        <v>3825</v>
      </c>
      <c r="BF188" t="str">
        <f>HYPERLINK("http://dx.doi.org/10.1111/jace.19406","http://dx.doi.org/10.1111/jace.19406")</f>
        <v>http://dx.doi.org/10.1111/jace.19406</v>
      </c>
      <c r="BG188" t="s">
        <v>74</v>
      </c>
      <c r="BH188" t="s">
        <v>407</v>
      </c>
      <c r="BI188">
        <v>12</v>
      </c>
      <c r="BJ188" t="s">
        <v>3826</v>
      </c>
      <c r="BK188" t="s">
        <v>119</v>
      </c>
      <c r="BL188" t="s">
        <v>1999</v>
      </c>
      <c r="BM188" t="s">
        <v>3827</v>
      </c>
      <c r="BN188" t="s">
        <v>74</v>
      </c>
      <c r="BO188" t="s">
        <v>122</v>
      </c>
      <c r="BP188" t="s">
        <v>74</v>
      </c>
      <c r="BQ188" t="s">
        <v>74</v>
      </c>
      <c r="BR188" t="s">
        <v>99</v>
      </c>
      <c r="BS188" t="s">
        <v>3828</v>
      </c>
      <c r="BT188" t="str">
        <f>HYPERLINK("https%3A%2F%2Fwww.webofscience.com%2Fwos%2Fwoscc%2Ffull-record%2FWOS:001063244200001","View Full Record in Web of Science")</f>
        <v>View Full Record in Web of Science</v>
      </c>
    </row>
    <row r="189" spans="1:72" x14ac:dyDescent="0.15">
      <c r="A189" t="s">
        <v>72</v>
      </c>
      <c r="B189" t="s">
        <v>3829</v>
      </c>
      <c r="C189" t="s">
        <v>74</v>
      </c>
      <c r="D189" t="s">
        <v>74</v>
      </c>
      <c r="E189" t="s">
        <v>74</v>
      </c>
      <c r="F189" t="s">
        <v>3830</v>
      </c>
      <c r="G189" t="s">
        <v>74</v>
      </c>
      <c r="H189" t="s">
        <v>74</v>
      </c>
      <c r="I189" t="s">
        <v>3831</v>
      </c>
      <c r="J189" t="s">
        <v>3832</v>
      </c>
      <c r="K189" t="s">
        <v>74</v>
      </c>
      <c r="L189" t="s">
        <v>74</v>
      </c>
      <c r="M189" t="s">
        <v>78</v>
      </c>
      <c r="N189" t="s">
        <v>338</v>
      </c>
      <c r="O189" t="s">
        <v>74</v>
      </c>
      <c r="P189" t="s">
        <v>74</v>
      </c>
      <c r="Q189" t="s">
        <v>74</v>
      </c>
      <c r="R189" t="s">
        <v>74</v>
      </c>
      <c r="S189" t="s">
        <v>74</v>
      </c>
      <c r="T189" t="s">
        <v>3833</v>
      </c>
      <c r="U189" t="s">
        <v>3834</v>
      </c>
      <c r="V189" t="s">
        <v>3835</v>
      </c>
      <c r="W189" t="s">
        <v>3836</v>
      </c>
      <c r="X189" t="s">
        <v>3837</v>
      </c>
      <c r="Y189" t="s">
        <v>3838</v>
      </c>
      <c r="Z189" t="s">
        <v>3839</v>
      </c>
      <c r="AA189" t="s">
        <v>3840</v>
      </c>
      <c r="AB189" t="s">
        <v>3841</v>
      </c>
      <c r="AC189" t="s">
        <v>3842</v>
      </c>
      <c r="AD189" t="s">
        <v>3843</v>
      </c>
      <c r="AE189" t="s">
        <v>3844</v>
      </c>
      <c r="AF189" t="s">
        <v>74</v>
      </c>
      <c r="AG189">
        <v>29</v>
      </c>
      <c r="AH189">
        <v>0</v>
      </c>
      <c r="AI189">
        <v>0</v>
      </c>
      <c r="AJ189">
        <v>0</v>
      </c>
      <c r="AK189">
        <v>0</v>
      </c>
      <c r="AL189" t="s">
        <v>87</v>
      </c>
      <c r="AM189" t="s">
        <v>88</v>
      </c>
      <c r="AN189" t="s">
        <v>89</v>
      </c>
      <c r="AO189" t="s">
        <v>3845</v>
      </c>
      <c r="AP189" t="s">
        <v>74</v>
      </c>
      <c r="AQ189" t="s">
        <v>74</v>
      </c>
      <c r="AR189" t="s">
        <v>3846</v>
      </c>
      <c r="AS189" t="s">
        <v>3847</v>
      </c>
      <c r="AT189" t="s">
        <v>3785</v>
      </c>
      <c r="AU189">
        <v>2023</v>
      </c>
      <c r="AV189" t="s">
        <v>74</v>
      </c>
      <c r="AW189" t="s">
        <v>74</v>
      </c>
      <c r="AX189" t="s">
        <v>74</v>
      </c>
      <c r="AY189" t="s">
        <v>74</v>
      </c>
      <c r="AZ189" t="s">
        <v>74</v>
      </c>
      <c r="BA189" t="s">
        <v>74</v>
      </c>
      <c r="BB189" t="s">
        <v>74</v>
      </c>
      <c r="BC189" t="s">
        <v>74</v>
      </c>
      <c r="BD189" t="s">
        <v>74</v>
      </c>
      <c r="BE189" t="s">
        <v>3848</v>
      </c>
      <c r="BF189" t="str">
        <f>HYPERLINK("http://dx.doi.org/10.1002/lrh2.10391","http://dx.doi.org/10.1002/lrh2.10391")</f>
        <v>http://dx.doi.org/10.1002/lrh2.10391</v>
      </c>
      <c r="BG189" t="s">
        <v>74</v>
      </c>
      <c r="BH189" t="s">
        <v>407</v>
      </c>
      <c r="BI189">
        <v>14</v>
      </c>
      <c r="BJ189" t="s">
        <v>3849</v>
      </c>
      <c r="BK189" t="s">
        <v>96</v>
      </c>
      <c r="BL189" t="s">
        <v>3850</v>
      </c>
      <c r="BM189" t="s">
        <v>3851</v>
      </c>
      <c r="BN189" t="s">
        <v>74</v>
      </c>
      <c r="BO189" t="s">
        <v>234</v>
      </c>
      <c r="BP189" t="s">
        <v>74</v>
      </c>
      <c r="BQ189" t="s">
        <v>74</v>
      </c>
      <c r="BR189" t="s">
        <v>99</v>
      </c>
      <c r="BS189" t="s">
        <v>3852</v>
      </c>
      <c r="BT189" t="str">
        <f>HYPERLINK("https%3A%2F%2Fwww.webofscience.com%2Fwos%2Fwoscc%2Ffull-record%2FWOS:001066373300001","View Full Record in Web of Science")</f>
        <v>View Full Record in Web of Science</v>
      </c>
    </row>
    <row r="190" spans="1:72" x14ac:dyDescent="0.15">
      <c r="A190" t="s">
        <v>72</v>
      </c>
      <c r="B190" t="s">
        <v>3853</v>
      </c>
      <c r="C190" t="s">
        <v>74</v>
      </c>
      <c r="D190" t="s">
        <v>74</v>
      </c>
      <c r="E190" t="s">
        <v>74</v>
      </c>
      <c r="F190" t="s">
        <v>3854</v>
      </c>
      <c r="G190" t="s">
        <v>74</v>
      </c>
      <c r="H190" t="s">
        <v>74</v>
      </c>
      <c r="I190" t="s">
        <v>3855</v>
      </c>
      <c r="J190" t="s">
        <v>3856</v>
      </c>
      <c r="K190" t="s">
        <v>74</v>
      </c>
      <c r="L190" t="s">
        <v>74</v>
      </c>
      <c r="M190" t="s">
        <v>78</v>
      </c>
      <c r="N190" t="s">
        <v>338</v>
      </c>
      <c r="O190" t="s">
        <v>74</v>
      </c>
      <c r="P190" t="s">
        <v>74</v>
      </c>
      <c r="Q190" t="s">
        <v>74</v>
      </c>
      <c r="R190" t="s">
        <v>74</v>
      </c>
      <c r="S190" t="s">
        <v>74</v>
      </c>
      <c r="T190" t="s">
        <v>74</v>
      </c>
      <c r="U190" t="s">
        <v>74</v>
      </c>
      <c r="V190" t="s">
        <v>74</v>
      </c>
      <c r="W190" t="s">
        <v>3857</v>
      </c>
      <c r="X190" t="s">
        <v>3858</v>
      </c>
      <c r="Y190" t="s">
        <v>3859</v>
      </c>
      <c r="Z190" t="s">
        <v>3860</v>
      </c>
      <c r="AA190" t="s">
        <v>74</v>
      </c>
      <c r="AB190" t="s">
        <v>74</v>
      </c>
      <c r="AC190" t="s">
        <v>3861</v>
      </c>
      <c r="AD190" t="s">
        <v>3861</v>
      </c>
      <c r="AE190" t="s">
        <v>3862</v>
      </c>
      <c r="AF190" t="s">
        <v>74</v>
      </c>
      <c r="AG190">
        <v>27</v>
      </c>
      <c r="AH190">
        <v>1</v>
      </c>
      <c r="AI190">
        <v>1</v>
      </c>
      <c r="AJ190">
        <v>0</v>
      </c>
      <c r="AK190">
        <v>0</v>
      </c>
      <c r="AL190" t="s">
        <v>87</v>
      </c>
      <c r="AM190" t="s">
        <v>88</v>
      </c>
      <c r="AN190" t="s">
        <v>89</v>
      </c>
      <c r="AO190" t="s">
        <v>3863</v>
      </c>
      <c r="AP190" t="s">
        <v>3864</v>
      </c>
      <c r="AQ190" t="s">
        <v>74</v>
      </c>
      <c r="AR190" t="s">
        <v>3865</v>
      </c>
      <c r="AS190" t="s">
        <v>3866</v>
      </c>
      <c r="AT190" t="s">
        <v>3785</v>
      </c>
      <c r="AU190">
        <v>2023</v>
      </c>
      <c r="AV190" t="s">
        <v>74</v>
      </c>
      <c r="AW190" t="s">
        <v>74</v>
      </c>
      <c r="AX190" t="s">
        <v>74</v>
      </c>
      <c r="AY190" t="s">
        <v>74</v>
      </c>
      <c r="AZ190" t="s">
        <v>74</v>
      </c>
      <c r="BA190" t="s">
        <v>74</v>
      </c>
      <c r="BB190" t="s">
        <v>74</v>
      </c>
      <c r="BC190" t="s">
        <v>74</v>
      </c>
      <c r="BD190" t="s">
        <v>74</v>
      </c>
      <c r="BE190" t="s">
        <v>3867</v>
      </c>
      <c r="BF190" t="str">
        <f>HYPERLINK("http://dx.doi.org/10.1111/aman.13920","http://dx.doi.org/10.1111/aman.13920")</f>
        <v>http://dx.doi.org/10.1111/aman.13920</v>
      </c>
      <c r="BG190" t="s">
        <v>74</v>
      </c>
      <c r="BH190" t="s">
        <v>407</v>
      </c>
      <c r="BI190">
        <v>4</v>
      </c>
      <c r="BJ190" t="s">
        <v>3107</v>
      </c>
      <c r="BK190" t="s">
        <v>546</v>
      </c>
      <c r="BL190" t="s">
        <v>3107</v>
      </c>
      <c r="BM190" t="s">
        <v>3868</v>
      </c>
      <c r="BN190" t="s">
        <v>74</v>
      </c>
      <c r="BO190" t="s">
        <v>122</v>
      </c>
      <c r="BP190" t="s">
        <v>74</v>
      </c>
      <c r="BQ190" t="s">
        <v>74</v>
      </c>
      <c r="BR190" t="s">
        <v>99</v>
      </c>
      <c r="BS190" t="s">
        <v>3869</v>
      </c>
      <c r="BT190" t="str">
        <f>HYPERLINK("https%3A%2F%2Fwww.webofscience.com%2Fwos%2Fwoscc%2Ffull-record%2FWOS:001065952600001","View Full Record in Web of Science")</f>
        <v>View Full Record in Web of Science</v>
      </c>
    </row>
    <row r="191" spans="1:72" x14ac:dyDescent="0.15">
      <c r="A191" t="s">
        <v>72</v>
      </c>
      <c r="B191" t="s">
        <v>3870</v>
      </c>
      <c r="C191" t="s">
        <v>74</v>
      </c>
      <c r="D191" t="s">
        <v>74</v>
      </c>
      <c r="E191" t="s">
        <v>74</v>
      </c>
      <c r="F191" t="s">
        <v>3871</v>
      </c>
      <c r="G191" t="s">
        <v>74</v>
      </c>
      <c r="H191" t="s">
        <v>74</v>
      </c>
      <c r="I191" t="s">
        <v>3872</v>
      </c>
      <c r="J191" t="s">
        <v>3873</v>
      </c>
      <c r="K191" t="s">
        <v>74</v>
      </c>
      <c r="L191" t="s">
        <v>74</v>
      </c>
      <c r="M191" t="s">
        <v>78</v>
      </c>
      <c r="N191" t="s">
        <v>338</v>
      </c>
      <c r="O191" t="s">
        <v>74</v>
      </c>
      <c r="P191" t="s">
        <v>74</v>
      </c>
      <c r="Q191" t="s">
        <v>74</v>
      </c>
      <c r="R191" t="s">
        <v>74</v>
      </c>
      <c r="S191" t="s">
        <v>74</v>
      </c>
      <c r="T191" t="s">
        <v>3874</v>
      </c>
      <c r="U191" t="s">
        <v>3875</v>
      </c>
      <c r="V191" t="s">
        <v>3876</v>
      </c>
      <c r="W191" t="s">
        <v>3877</v>
      </c>
      <c r="X191" t="s">
        <v>3878</v>
      </c>
      <c r="Y191" t="s">
        <v>3879</v>
      </c>
      <c r="Z191" t="s">
        <v>3880</v>
      </c>
      <c r="AA191" t="s">
        <v>74</v>
      </c>
      <c r="AB191" t="s">
        <v>74</v>
      </c>
      <c r="AC191" t="s">
        <v>3881</v>
      </c>
      <c r="AD191" t="s">
        <v>3882</v>
      </c>
      <c r="AE191" t="s">
        <v>3883</v>
      </c>
      <c r="AF191" t="s">
        <v>74</v>
      </c>
      <c r="AG191">
        <v>34</v>
      </c>
      <c r="AH191">
        <v>0</v>
      </c>
      <c r="AI191">
        <v>0</v>
      </c>
      <c r="AJ191">
        <v>1</v>
      </c>
      <c r="AK191">
        <v>1</v>
      </c>
      <c r="AL191" t="s">
        <v>87</v>
      </c>
      <c r="AM191" t="s">
        <v>88</v>
      </c>
      <c r="AN191" t="s">
        <v>89</v>
      </c>
      <c r="AO191" t="s">
        <v>3884</v>
      </c>
      <c r="AP191" t="s">
        <v>3885</v>
      </c>
      <c r="AQ191" t="s">
        <v>74</v>
      </c>
      <c r="AR191" t="s">
        <v>3886</v>
      </c>
      <c r="AS191" t="s">
        <v>3887</v>
      </c>
      <c r="AT191" t="s">
        <v>3785</v>
      </c>
      <c r="AU191">
        <v>2023</v>
      </c>
      <c r="AV191" t="s">
        <v>74</v>
      </c>
      <c r="AW191" t="s">
        <v>74</v>
      </c>
      <c r="AX191" t="s">
        <v>74</v>
      </c>
      <c r="AY191" t="s">
        <v>74</v>
      </c>
      <c r="AZ191" t="s">
        <v>74</v>
      </c>
      <c r="BA191" t="s">
        <v>74</v>
      </c>
      <c r="BB191" t="s">
        <v>74</v>
      </c>
      <c r="BC191" t="s">
        <v>74</v>
      </c>
      <c r="BD191" t="s">
        <v>74</v>
      </c>
      <c r="BE191" t="s">
        <v>3888</v>
      </c>
      <c r="BF191" t="str">
        <f>HYPERLINK("http://dx.doi.org/10.1049/mia2.12416","http://dx.doi.org/10.1049/mia2.12416")</f>
        <v>http://dx.doi.org/10.1049/mia2.12416</v>
      </c>
      <c r="BG191" t="s">
        <v>74</v>
      </c>
      <c r="BH191" t="s">
        <v>407</v>
      </c>
      <c r="BI191">
        <v>8</v>
      </c>
      <c r="BJ191" t="s">
        <v>3889</v>
      </c>
      <c r="BK191" t="s">
        <v>119</v>
      </c>
      <c r="BL191" t="s">
        <v>3890</v>
      </c>
      <c r="BM191" t="s">
        <v>3891</v>
      </c>
      <c r="BN191" t="s">
        <v>74</v>
      </c>
      <c r="BO191" t="s">
        <v>74</v>
      </c>
      <c r="BP191" t="s">
        <v>74</v>
      </c>
      <c r="BQ191" t="s">
        <v>74</v>
      </c>
      <c r="BR191" t="s">
        <v>99</v>
      </c>
      <c r="BS191" t="s">
        <v>3892</v>
      </c>
      <c r="BT191" t="str">
        <f>HYPERLINK("https%3A%2F%2Fwww.webofscience.com%2Fwos%2Fwoscc%2Ffull-record%2FWOS:001063240500001","View Full Record in Web of Science")</f>
        <v>View Full Record in Web of Science</v>
      </c>
    </row>
    <row r="192" spans="1:72" x14ac:dyDescent="0.15">
      <c r="A192" t="s">
        <v>72</v>
      </c>
      <c r="B192" t="s">
        <v>3893</v>
      </c>
      <c r="C192" t="s">
        <v>74</v>
      </c>
      <c r="D192" t="s">
        <v>74</v>
      </c>
      <c r="E192" t="s">
        <v>74</v>
      </c>
      <c r="F192" t="s">
        <v>3894</v>
      </c>
      <c r="G192" t="s">
        <v>74</v>
      </c>
      <c r="H192" t="s">
        <v>74</v>
      </c>
      <c r="I192" t="s">
        <v>3895</v>
      </c>
      <c r="J192" t="s">
        <v>3896</v>
      </c>
      <c r="K192" t="s">
        <v>74</v>
      </c>
      <c r="L192" t="s">
        <v>74</v>
      </c>
      <c r="M192" t="s">
        <v>78</v>
      </c>
      <c r="N192" t="s">
        <v>338</v>
      </c>
      <c r="O192" t="s">
        <v>74</v>
      </c>
      <c r="P192" t="s">
        <v>74</v>
      </c>
      <c r="Q192" t="s">
        <v>74</v>
      </c>
      <c r="R192" t="s">
        <v>74</v>
      </c>
      <c r="S192" t="s">
        <v>74</v>
      </c>
      <c r="T192" t="s">
        <v>74</v>
      </c>
      <c r="U192" t="s">
        <v>3897</v>
      </c>
      <c r="V192" t="s">
        <v>3898</v>
      </c>
      <c r="W192" t="s">
        <v>3899</v>
      </c>
      <c r="X192" t="s">
        <v>3900</v>
      </c>
      <c r="Y192" t="s">
        <v>3901</v>
      </c>
      <c r="Z192" t="s">
        <v>3902</v>
      </c>
      <c r="AA192" t="s">
        <v>3903</v>
      </c>
      <c r="AB192" t="s">
        <v>3904</v>
      </c>
      <c r="AC192" t="s">
        <v>74</v>
      </c>
      <c r="AD192" t="s">
        <v>74</v>
      </c>
      <c r="AE192" t="s">
        <v>74</v>
      </c>
      <c r="AF192" t="s">
        <v>74</v>
      </c>
      <c r="AG192">
        <v>52</v>
      </c>
      <c r="AH192">
        <v>0</v>
      </c>
      <c r="AI192">
        <v>0</v>
      </c>
      <c r="AJ192">
        <v>0</v>
      </c>
      <c r="AK192">
        <v>0</v>
      </c>
      <c r="AL192" t="s">
        <v>87</v>
      </c>
      <c r="AM192" t="s">
        <v>88</v>
      </c>
      <c r="AN192" t="s">
        <v>89</v>
      </c>
      <c r="AO192" t="s">
        <v>3905</v>
      </c>
      <c r="AP192" t="s">
        <v>3906</v>
      </c>
      <c r="AQ192" t="s">
        <v>74</v>
      </c>
      <c r="AR192" t="s">
        <v>3907</v>
      </c>
      <c r="AS192" t="s">
        <v>3908</v>
      </c>
      <c r="AT192" t="s">
        <v>3785</v>
      </c>
      <c r="AU192">
        <v>2023</v>
      </c>
      <c r="AV192" t="s">
        <v>74</v>
      </c>
      <c r="AW192" t="s">
        <v>74</v>
      </c>
      <c r="AX192" t="s">
        <v>74</v>
      </c>
      <c r="AY192" t="s">
        <v>74</v>
      </c>
      <c r="AZ192" t="s">
        <v>74</v>
      </c>
      <c r="BA192" t="s">
        <v>74</v>
      </c>
      <c r="BB192" t="s">
        <v>74</v>
      </c>
      <c r="BC192" t="s">
        <v>74</v>
      </c>
      <c r="BD192" t="s">
        <v>74</v>
      </c>
      <c r="BE192" t="s">
        <v>3909</v>
      </c>
      <c r="BF192" t="str">
        <f>HYPERLINK("http://dx.doi.org/10.1002/acr.25171","http://dx.doi.org/10.1002/acr.25171")</f>
        <v>http://dx.doi.org/10.1002/acr.25171</v>
      </c>
      <c r="BG192" t="s">
        <v>74</v>
      </c>
      <c r="BH192" t="s">
        <v>407</v>
      </c>
      <c r="BI192">
        <v>10</v>
      </c>
      <c r="BJ192" t="s">
        <v>1604</v>
      </c>
      <c r="BK192" t="s">
        <v>119</v>
      </c>
      <c r="BL192" t="s">
        <v>1604</v>
      </c>
      <c r="BM192" t="s">
        <v>3910</v>
      </c>
      <c r="BN192">
        <v>37332054</v>
      </c>
      <c r="BO192" t="s">
        <v>74</v>
      </c>
      <c r="BP192" t="s">
        <v>74</v>
      </c>
      <c r="BQ192" t="s">
        <v>74</v>
      </c>
      <c r="BR192" t="s">
        <v>99</v>
      </c>
      <c r="BS192" t="s">
        <v>3911</v>
      </c>
      <c r="BT192" t="str">
        <f>HYPERLINK("https%3A%2F%2Fwww.webofscience.com%2Fwos%2Fwoscc%2Ffull-record%2FWOS:001068309800001","View Full Record in Web of Science")</f>
        <v>View Full Record in Web of Science</v>
      </c>
    </row>
    <row r="193" spans="1:72" x14ac:dyDescent="0.15">
      <c r="A193" t="s">
        <v>72</v>
      </c>
      <c r="B193" t="s">
        <v>3912</v>
      </c>
      <c r="C193" t="s">
        <v>74</v>
      </c>
      <c r="D193" t="s">
        <v>74</v>
      </c>
      <c r="E193" t="s">
        <v>74</v>
      </c>
      <c r="F193" t="s">
        <v>3913</v>
      </c>
      <c r="G193" t="s">
        <v>74</v>
      </c>
      <c r="H193" t="s">
        <v>74</v>
      </c>
      <c r="I193" t="s">
        <v>3914</v>
      </c>
      <c r="J193" t="s">
        <v>3915</v>
      </c>
      <c r="K193" t="s">
        <v>74</v>
      </c>
      <c r="L193" t="s">
        <v>74</v>
      </c>
      <c r="M193" t="s">
        <v>78</v>
      </c>
      <c r="N193" t="s">
        <v>338</v>
      </c>
      <c r="O193" t="s">
        <v>74</v>
      </c>
      <c r="P193" t="s">
        <v>74</v>
      </c>
      <c r="Q193" t="s">
        <v>74</v>
      </c>
      <c r="R193" t="s">
        <v>74</v>
      </c>
      <c r="S193" t="s">
        <v>74</v>
      </c>
      <c r="T193" t="s">
        <v>3916</v>
      </c>
      <c r="U193" t="s">
        <v>3917</v>
      </c>
      <c r="V193" t="s">
        <v>3918</v>
      </c>
      <c r="W193" t="s">
        <v>3919</v>
      </c>
      <c r="X193" t="s">
        <v>3920</v>
      </c>
      <c r="Y193" t="s">
        <v>3921</v>
      </c>
      <c r="Z193" t="s">
        <v>3922</v>
      </c>
      <c r="AA193" t="s">
        <v>3923</v>
      </c>
      <c r="AB193" t="s">
        <v>3924</v>
      </c>
      <c r="AC193" t="s">
        <v>3925</v>
      </c>
      <c r="AD193" t="s">
        <v>3925</v>
      </c>
      <c r="AE193" t="s">
        <v>3925</v>
      </c>
      <c r="AF193" t="s">
        <v>74</v>
      </c>
      <c r="AG193">
        <v>32</v>
      </c>
      <c r="AH193">
        <v>0</v>
      </c>
      <c r="AI193">
        <v>0</v>
      </c>
      <c r="AJ193">
        <v>0</v>
      </c>
      <c r="AK193">
        <v>0</v>
      </c>
      <c r="AL193" t="s">
        <v>87</v>
      </c>
      <c r="AM193" t="s">
        <v>88</v>
      </c>
      <c r="AN193" t="s">
        <v>89</v>
      </c>
      <c r="AO193" t="s">
        <v>3926</v>
      </c>
      <c r="AP193" t="s">
        <v>3927</v>
      </c>
      <c r="AQ193" t="s">
        <v>74</v>
      </c>
      <c r="AR193" t="s">
        <v>3928</v>
      </c>
      <c r="AS193" t="s">
        <v>3929</v>
      </c>
      <c r="AT193" t="s">
        <v>3785</v>
      </c>
      <c r="AU193">
        <v>2023</v>
      </c>
      <c r="AV193" t="s">
        <v>74</v>
      </c>
      <c r="AW193" t="s">
        <v>74</v>
      </c>
      <c r="AX193" t="s">
        <v>74</v>
      </c>
      <c r="AY193" t="s">
        <v>74</v>
      </c>
      <c r="AZ193" t="s">
        <v>74</v>
      </c>
      <c r="BA193" t="s">
        <v>74</v>
      </c>
      <c r="BB193" t="s">
        <v>74</v>
      </c>
      <c r="BC193" t="s">
        <v>74</v>
      </c>
      <c r="BD193" t="s">
        <v>74</v>
      </c>
      <c r="BE193" t="s">
        <v>3930</v>
      </c>
      <c r="BF193" t="str">
        <f>HYPERLINK("http://dx.doi.org/10.1111/dom.15244","http://dx.doi.org/10.1111/dom.15244")</f>
        <v>http://dx.doi.org/10.1111/dom.15244</v>
      </c>
      <c r="BG193" t="s">
        <v>74</v>
      </c>
      <c r="BH193" t="s">
        <v>407</v>
      </c>
      <c r="BI193">
        <v>13</v>
      </c>
      <c r="BJ193" t="s">
        <v>2313</v>
      </c>
      <c r="BK193" t="s">
        <v>119</v>
      </c>
      <c r="BL193" t="s">
        <v>2313</v>
      </c>
      <c r="BM193" t="s">
        <v>3931</v>
      </c>
      <c r="BN193">
        <v>37700627</v>
      </c>
      <c r="BO193" t="s">
        <v>74</v>
      </c>
      <c r="BP193" t="s">
        <v>74</v>
      </c>
      <c r="BQ193" t="s">
        <v>74</v>
      </c>
      <c r="BR193" t="s">
        <v>99</v>
      </c>
      <c r="BS193" t="s">
        <v>3932</v>
      </c>
      <c r="BT193" t="str">
        <f>HYPERLINK("https%3A%2F%2Fwww.webofscience.com%2Fwos%2Fwoscc%2Ffull-record%2FWOS:001066814100001","View Full Record in Web of Science")</f>
        <v>View Full Record in Web of Science</v>
      </c>
    </row>
    <row r="194" spans="1:72" x14ac:dyDescent="0.15">
      <c r="A194" t="s">
        <v>72</v>
      </c>
      <c r="B194" t="s">
        <v>3933</v>
      </c>
      <c r="C194" t="s">
        <v>74</v>
      </c>
      <c r="D194" t="s">
        <v>74</v>
      </c>
      <c r="E194" t="s">
        <v>74</v>
      </c>
      <c r="F194" t="s">
        <v>3934</v>
      </c>
      <c r="G194" t="s">
        <v>74</v>
      </c>
      <c r="H194" t="s">
        <v>74</v>
      </c>
      <c r="I194" t="s">
        <v>3935</v>
      </c>
      <c r="J194" t="s">
        <v>3936</v>
      </c>
      <c r="K194" t="s">
        <v>74</v>
      </c>
      <c r="L194" t="s">
        <v>74</v>
      </c>
      <c r="M194" t="s">
        <v>78</v>
      </c>
      <c r="N194" t="s">
        <v>338</v>
      </c>
      <c r="O194" t="s">
        <v>74</v>
      </c>
      <c r="P194" t="s">
        <v>74</v>
      </c>
      <c r="Q194" t="s">
        <v>74</v>
      </c>
      <c r="R194" t="s">
        <v>74</v>
      </c>
      <c r="S194" t="s">
        <v>74</v>
      </c>
      <c r="T194" t="s">
        <v>3937</v>
      </c>
      <c r="U194" t="s">
        <v>3938</v>
      </c>
      <c r="V194" t="s">
        <v>3939</v>
      </c>
      <c r="W194" t="s">
        <v>3940</v>
      </c>
      <c r="X194" t="s">
        <v>3941</v>
      </c>
      <c r="Y194" t="s">
        <v>3942</v>
      </c>
      <c r="Z194" t="s">
        <v>3943</v>
      </c>
      <c r="AA194" t="s">
        <v>74</v>
      </c>
      <c r="AB194" t="s">
        <v>3944</v>
      </c>
      <c r="AC194" t="s">
        <v>3945</v>
      </c>
      <c r="AD194" t="s">
        <v>3945</v>
      </c>
      <c r="AE194" t="s">
        <v>3946</v>
      </c>
      <c r="AF194" t="s">
        <v>74</v>
      </c>
      <c r="AG194">
        <v>65</v>
      </c>
      <c r="AH194">
        <v>0</v>
      </c>
      <c r="AI194">
        <v>0</v>
      </c>
      <c r="AJ194">
        <v>0</v>
      </c>
      <c r="AK194">
        <v>0</v>
      </c>
      <c r="AL194" t="s">
        <v>87</v>
      </c>
      <c r="AM194" t="s">
        <v>88</v>
      </c>
      <c r="AN194" t="s">
        <v>89</v>
      </c>
      <c r="AO194" t="s">
        <v>3947</v>
      </c>
      <c r="AP194" t="s">
        <v>3948</v>
      </c>
      <c r="AQ194" t="s">
        <v>74</v>
      </c>
      <c r="AR194" t="s">
        <v>3949</v>
      </c>
      <c r="AS194" t="s">
        <v>3950</v>
      </c>
      <c r="AT194" t="s">
        <v>3785</v>
      </c>
      <c r="AU194">
        <v>2023</v>
      </c>
      <c r="AV194" t="s">
        <v>74</v>
      </c>
      <c r="AW194" t="s">
        <v>74</v>
      </c>
      <c r="AX194" t="s">
        <v>74</v>
      </c>
      <c r="AY194" t="s">
        <v>74</v>
      </c>
      <c r="AZ194" t="s">
        <v>74</v>
      </c>
      <c r="BA194" t="s">
        <v>74</v>
      </c>
      <c r="BB194" t="s">
        <v>74</v>
      </c>
      <c r="BC194" t="s">
        <v>74</v>
      </c>
      <c r="BD194" t="s">
        <v>74</v>
      </c>
      <c r="BE194" t="s">
        <v>3951</v>
      </c>
      <c r="BF194" t="str">
        <f>HYPERLINK("http://dx.doi.org/10.1002/pc.27719","http://dx.doi.org/10.1002/pc.27719")</f>
        <v>http://dx.doi.org/10.1002/pc.27719</v>
      </c>
      <c r="BG194" t="s">
        <v>74</v>
      </c>
      <c r="BH194" t="s">
        <v>407</v>
      </c>
      <c r="BI194">
        <v>19</v>
      </c>
      <c r="BJ194" t="s">
        <v>3952</v>
      </c>
      <c r="BK194" t="s">
        <v>119</v>
      </c>
      <c r="BL194" t="s">
        <v>3953</v>
      </c>
      <c r="BM194" t="s">
        <v>3954</v>
      </c>
      <c r="BN194" t="s">
        <v>74</v>
      </c>
      <c r="BO194" t="s">
        <v>74</v>
      </c>
      <c r="BP194" t="s">
        <v>74</v>
      </c>
      <c r="BQ194" t="s">
        <v>74</v>
      </c>
      <c r="BR194" t="s">
        <v>99</v>
      </c>
      <c r="BS194" t="s">
        <v>3955</v>
      </c>
      <c r="BT194" t="str">
        <f>HYPERLINK("https%3A%2F%2Fwww.webofscience.com%2Fwos%2Fwoscc%2Ffull-record%2FWOS:001065824800001","View Full Record in Web of Science")</f>
        <v>View Full Record in Web of Science</v>
      </c>
    </row>
    <row r="195" spans="1:72" x14ac:dyDescent="0.15">
      <c r="A195" t="s">
        <v>72</v>
      </c>
      <c r="B195" t="s">
        <v>3956</v>
      </c>
      <c r="C195" t="s">
        <v>74</v>
      </c>
      <c r="D195" t="s">
        <v>74</v>
      </c>
      <c r="E195" t="s">
        <v>74</v>
      </c>
      <c r="F195" t="s">
        <v>3957</v>
      </c>
      <c r="G195" t="s">
        <v>74</v>
      </c>
      <c r="H195" t="s">
        <v>74</v>
      </c>
      <c r="I195" t="s">
        <v>3958</v>
      </c>
      <c r="J195" t="s">
        <v>3959</v>
      </c>
      <c r="K195" t="s">
        <v>74</v>
      </c>
      <c r="L195" t="s">
        <v>74</v>
      </c>
      <c r="M195" t="s">
        <v>78</v>
      </c>
      <c r="N195" t="s">
        <v>338</v>
      </c>
      <c r="O195" t="s">
        <v>74</v>
      </c>
      <c r="P195" t="s">
        <v>74</v>
      </c>
      <c r="Q195" t="s">
        <v>74</v>
      </c>
      <c r="R195" t="s">
        <v>74</v>
      </c>
      <c r="S195" t="s">
        <v>74</v>
      </c>
      <c r="T195" t="s">
        <v>3960</v>
      </c>
      <c r="U195" t="s">
        <v>3961</v>
      </c>
      <c r="V195" t="s">
        <v>3962</v>
      </c>
      <c r="W195" t="s">
        <v>3963</v>
      </c>
      <c r="X195" t="s">
        <v>3964</v>
      </c>
      <c r="Y195" t="s">
        <v>3965</v>
      </c>
      <c r="Z195" t="s">
        <v>3966</v>
      </c>
      <c r="AA195" t="s">
        <v>3967</v>
      </c>
      <c r="AB195" t="s">
        <v>3968</v>
      </c>
      <c r="AC195" t="s">
        <v>3969</v>
      </c>
      <c r="AD195" t="s">
        <v>3970</v>
      </c>
      <c r="AE195" t="s">
        <v>3971</v>
      </c>
      <c r="AF195" t="s">
        <v>74</v>
      </c>
      <c r="AG195">
        <v>66</v>
      </c>
      <c r="AH195">
        <v>0</v>
      </c>
      <c r="AI195">
        <v>0</v>
      </c>
      <c r="AJ195">
        <v>1</v>
      </c>
      <c r="AK195">
        <v>1</v>
      </c>
      <c r="AL195" t="s">
        <v>87</v>
      </c>
      <c r="AM195" t="s">
        <v>88</v>
      </c>
      <c r="AN195" t="s">
        <v>89</v>
      </c>
      <c r="AO195" t="s">
        <v>3972</v>
      </c>
      <c r="AP195" t="s">
        <v>3973</v>
      </c>
      <c r="AQ195" t="s">
        <v>74</v>
      </c>
      <c r="AR195" t="s">
        <v>3974</v>
      </c>
      <c r="AS195" t="s">
        <v>3975</v>
      </c>
      <c r="AT195" t="s">
        <v>3785</v>
      </c>
      <c r="AU195">
        <v>2023</v>
      </c>
      <c r="AV195" t="s">
        <v>74</v>
      </c>
      <c r="AW195" t="s">
        <v>74</v>
      </c>
      <c r="AX195" t="s">
        <v>74</v>
      </c>
      <c r="AY195" t="s">
        <v>74</v>
      </c>
      <c r="AZ195" t="s">
        <v>74</v>
      </c>
      <c r="BA195" t="s">
        <v>74</v>
      </c>
      <c r="BB195" t="s">
        <v>74</v>
      </c>
      <c r="BC195" t="s">
        <v>74</v>
      </c>
      <c r="BD195" t="s">
        <v>74</v>
      </c>
      <c r="BE195" t="s">
        <v>3976</v>
      </c>
      <c r="BF195" t="str">
        <f>HYPERLINK("http://dx.doi.org/10.1111/bph.16141","http://dx.doi.org/10.1111/bph.16141")</f>
        <v>http://dx.doi.org/10.1111/bph.16141</v>
      </c>
      <c r="BG195" t="s">
        <v>74</v>
      </c>
      <c r="BH195" t="s">
        <v>407</v>
      </c>
      <c r="BI195">
        <v>18</v>
      </c>
      <c r="BJ195" t="s">
        <v>299</v>
      </c>
      <c r="BK195" t="s">
        <v>119</v>
      </c>
      <c r="BL195" t="s">
        <v>299</v>
      </c>
      <c r="BM195" t="s">
        <v>3977</v>
      </c>
      <c r="BN195">
        <v>37183661</v>
      </c>
      <c r="BO195" t="s">
        <v>122</v>
      </c>
      <c r="BP195" t="s">
        <v>74</v>
      </c>
      <c r="BQ195" t="s">
        <v>74</v>
      </c>
      <c r="BR195" t="s">
        <v>99</v>
      </c>
      <c r="BS195" t="s">
        <v>3978</v>
      </c>
      <c r="BT195" t="str">
        <f>HYPERLINK("https%3A%2F%2Fwww.webofscience.com%2Fwos%2Fwoscc%2Ffull-record%2FWOS:001063394800001","View Full Record in Web of Science")</f>
        <v>View Full Record in Web of Science</v>
      </c>
    </row>
    <row r="196" spans="1:72" x14ac:dyDescent="0.15">
      <c r="A196" t="s">
        <v>72</v>
      </c>
      <c r="B196" t="s">
        <v>3979</v>
      </c>
      <c r="C196" t="s">
        <v>74</v>
      </c>
      <c r="D196" t="s">
        <v>74</v>
      </c>
      <c r="E196" t="s">
        <v>74</v>
      </c>
      <c r="F196" t="s">
        <v>3980</v>
      </c>
      <c r="G196" t="s">
        <v>74</v>
      </c>
      <c r="H196" t="s">
        <v>74</v>
      </c>
      <c r="I196" t="s">
        <v>3981</v>
      </c>
      <c r="J196" t="s">
        <v>3982</v>
      </c>
      <c r="K196" t="s">
        <v>74</v>
      </c>
      <c r="L196" t="s">
        <v>74</v>
      </c>
      <c r="M196" t="s">
        <v>78</v>
      </c>
      <c r="N196" t="s">
        <v>338</v>
      </c>
      <c r="O196" t="s">
        <v>74</v>
      </c>
      <c r="P196" t="s">
        <v>74</v>
      </c>
      <c r="Q196" t="s">
        <v>74</v>
      </c>
      <c r="R196" t="s">
        <v>74</v>
      </c>
      <c r="S196" t="s">
        <v>74</v>
      </c>
      <c r="T196" t="s">
        <v>74</v>
      </c>
      <c r="U196" t="s">
        <v>74</v>
      </c>
      <c r="V196" t="s">
        <v>74</v>
      </c>
      <c r="W196" t="s">
        <v>3983</v>
      </c>
      <c r="X196" t="s">
        <v>3984</v>
      </c>
      <c r="Y196" t="s">
        <v>3985</v>
      </c>
      <c r="Z196" t="s">
        <v>3986</v>
      </c>
      <c r="AA196" t="s">
        <v>74</v>
      </c>
      <c r="AB196" t="s">
        <v>74</v>
      </c>
      <c r="AC196" t="s">
        <v>74</v>
      </c>
      <c r="AD196" t="s">
        <v>74</v>
      </c>
      <c r="AE196" t="s">
        <v>74</v>
      </c>
      <c r="AF196" t="s">
        <v>74</v>
      </c>
      <c r="AG196">
        <v>0</v>
      </c>
      <c r="AH196">
        <v>0</v>
      </c>
      <c r="AI196">
        <v>0</v>
      </c>
      <c r="AJ196">
        <v>0</v>
      </c>
      <c r="AK196">
        <v>0</v>
      </c>
      <c r="AL196" t="s">
        <v>87</v>
      </c>
      <c r="AM196" t="s">
        <v>88</v>
      </c>
      <c r="AN196" t="s">
        <v>89</v>
      </c>
      <c r="AO196" t="s">
        <v>3987</v>
      </c>
      <c r="AP196" t="s">
        <v>3988</v>
      </c>
      <c r="AQ196" t="s">
        <v>74</v>
      </c>
      <c r="AR196" t="s">
        <v>3989</v>
      </c>
      <c r="AS196" t="s">
        <v>3990</v>
      </c>
      <c r="AT196" t="s">
        <v>3785</v>
      </c>
      <c r="AU196">
        <v>2023</v>
      </c>
      <c r="AV196" t="s">
        <v>74</v>
      </c>
      <c r="AW196" t="s">
        <v>74</v>
      </c>
      <c r="AX196" t="s">
        <v>74</v>
      </c>
      <c r="AY196" t="s">
        <v>74</v>
      </c>
      <c r="AZ196" t="s">
        <v>74</v>
      </c>
      <c r="BA196" t="s">
        <v>74</v>
      </c>
      <c r="BB196" t="s">
        <v>74</v>
      </c>
      <c r="BC196" t="s">
        <v>74</v>
      </c>
      <c r="BD196" t="s">
        <v>74</v>
      </c>
      <c r="BE196" t="s">
        <v>3991</v>
      </c>
      <c r="BF196" t="str">
        <f>HYPERLINK("http://dx.doi.org/10.1002/iir.1508","http://dx.doi.org/10.1002/iir.1508")</f>
        <v>http://dx.doi.org/10.1002/iir.1508</v>
      </c>
      <c r="BG196" t="s">
        <v>74</v>
      </c>
      <c r="BH196" t="s">
        <v>407</v>
      </c>
      <c r="BI196">
        <v>13</v>
      </c>
      <c r="BJ196" t="s">
        <v>3992</v>
      </c>
      <c r="BK196" t="s">
        <v>546</v>
      </c>
      <c r="BL196" t="s">
        <v>3993</v>
      </c>
      <c r="BM196" t="s">
        <v>3994</v>
      </c>
      <c r="BN196" t="s">
        <v>74</v>
      </c>
      <c r="BO196" t="s">
        <v>74</v>
      </c>
      <c r="BP196" t="s">
        <v>74</v>
      </c>
      <c r="BQ196" t="s">
        <v>74</v>
      </c>
      <c r="BR196" t="s">
        <v>99</v>
      </c>
      <c r="BS196" t="s">
        <v>3995</v>
      </c>
      <c r="BT196" t="str">
        <f>HYPERLINK("https%3A%2F%2Fwww.webofscience.com%2Fwos%2Fwoscc%2Ffull-record%2FWOS:001066903700001","View Full Record in Web of Science")</f>
        <v>View Full Record in Web of Science</v>
      </c>
    </row>
    <row r="197" spans="1:72" x14ac:dyDescent="0.15">
      <c r="A197" t="s">
        <v>72</v>
      </c>
      <c r="B197" t="s">
        <v>3996</v>
      </c>
      <c r="C197" t="s">
        <v>74</v>
      </c>
      <c r="D197" t="s">
        <v>74</v>
      </c>
      <c r="E197" t="s">
        <v>74</v>
      </c>
      <c r="F197" t="s">
        <v>3997</v>
      </c>
      <c r="G197" t="s">
        <v>74</v>
      </c>
      <c r="H197" t="s">
        <v>74</v>
      </c>
      <c r="I197" t="s">
        <v>3998</v>
      </c>
      <c r="J197" t="s">
        <v>3999</v>
      </c>
      <c r="K197" t="s">
        <v>74</v>
      </c>
      <c r="L197" t="s">
        <v>74</v>
      </c>
      <c r="M197" t="s">
        <v>78</v>
      </c>
      <c r="N197" t="s">
        <v>338</v>
      </c>
      <c r="O197" t="s">
        <v>74</v>
      </c>
      <c r="P197" t="s">
        <v>74</v>
      </c>
      <c r="Q197" t="s">
        <v>74</v>
      </c>
      <c r="R197" t="s">
        <v>74</v>
      </c>
      <c r="S197" t="s">
        <v>74</v>
      </c>
      <c r="T197" t="s">
        <v>4000</v>
      </c>
      <c r="U197" t="s">
        <v>4001</v>
      </c>
      <c r="V197" t="s">
        <v>4002</v>
      </c>
      <c r="W197" t="s">
        <v>4003</v>
      </c>
      <c r="X197" t="s">
        <v>4004</v>
      </c>
      <c r="Y197" t="s">
        <v>4005</v>
      </c>
      <c r="Z197" t="s">
        <v>4006</v>
      </c>
      <c r="AA197" t="s">
        <v>4007</v>
      </c>
      <c r="AB197" t="s">
        <v>4008</v>
      </c>
      <c r="AC197" t="s">
        <v>4009</v>
      </c>
      <c r="AD197" t="s">
        <v>4010</v>
      </c>
      <c r="AE197" t="s">
        <v>4011</v>
      </c>
      <c r="AF197" t="s">
        <v>74</v>
      </c>
      <c r="AG197">
        <v>58</v>
      </c>
      <c r="AH197">
        <v>0</v>
      </c>
      <c r="AI197">
        <v>0</v>
      </c>
      <c r="AJ197">
        <v>0</v>
      </c>
      <c r="AK197">
        <v>0</v>
      </c>
      <c r="AL197" t="s">
        <v>87</v>
      </c>
      <c r="AM197" t="s">
        <v>88</v>
      </c>
      <c r="AN197" t="s">
        <v>89</v>
      </c>
      <c r="AO197" t="s">
        <v>4012</v>
      </c>
      <c r="AP197" t="s">
        <v>4013</v>
      </c>
      <c r="AQ197" t="s">
        <v>74</v>
      </c>
      <c r="AR197" t="s">
        <v>4014</v>
      </c>
      <c r="AS197" t="s">
        <v>4015</v>
      </c>
      <c r="AT197" t="s">
        <v>3785</v>
      </c>
      <c r="AU197">
        <v>2023</v>
      </c>
      <c r="AV197" t="s">
        <v>74</v>
      </c>
      <c r="AW197" t="s">
        <v>74</v>
      </c>
      <c r="AX197" t="s">
        <v>74</v>
      </c>
      <c r="AY197" t="s">
        <v>74</v>
      </c>
      <c r="AZ197" t="s">
        <v>74</v>
      </c>
      <c r="BA197" t="s">
        <v>74</v>
      </c>
      <c r="BB197" t="s">
        <v>74</v>
      </c>
      <c r="BC197" t="s">
        <v>74</v>
      </c>
      <c r="BD197" t="s">
        <v>74</v>
      </c>
      <c r="BE197" t="s">
        <v>4016</v>
      </c>
      <c r="BF197" t="str">
        <f>HYPERLINK("http://dx.doi.org/10.1002/aur.3023","http://dx.doi.org/10.1002/aur.3023")</f>
        <v>http://dx.doi.org/10.1002/aur.3023</v>
      </c>
      <c r="BG197" t="s">
        <v>74</v>
      </c>
      <c r="BH197" t="s">
        <v>407</v>
      </c>
      <c r="BI197">
        <v>14</v>
      </c>
      <c r="BJ197" t="s">
        <v>4017</v>
      </c>
      <c r="BK197" t="s">
        <v>409</v>
      </c>
      <c r="BL197" t="s">
        <v>4018</v>
      </c>
      <c r="BM197" t="s">
        <v>4019</v>
      </c>
      <c r="BN197">
        <v>37698295</v>
      </c>
      <c r="BO197" t="s">
        <v>74</v>
      </c>
      <c r="BP197" t="s">
        <v>74</v>
      </c>
      <c r="BQ197" t="s">
        <v>74</v>
      </c>
      <c r="BR197" t="s">
        <v>99</v>
      </c>
      <c r="BS197" t="s">
        <v>4020</v>
      </c>
      <c r="BT197" t="str">
        <f>HYPERLINK("https%3A%2F%2Fwww.webofscience.com%2Fwos%2Fwoscc%2Ffull-record%2FWOS:001066499100001","View Full Record in Web of Science")</f>
        <v>View Full Record in Web of Science</v>
      </c>
    </row>
    <row r="198" spans="1:72" x14ac:dyDescent="0.15">
      <c r="A198" t="s">
        <v>72</v>
      </c>
      <c r="B198" t="s">
        <v>4021</v>
      </c>
      <c r="C198" t="s">
        <v>74</v>
      </c>
      <c r="D198" t="s">
        <v>74</v>
      </c>
      <c r="E198" t="s">
        <v>74</v>
      </c>
      <c r="F198" t="s">
        <v>4022</v>
      </c>
      <c r="G198" t="s">
        <v>74</v>
      </c>
      <c r="H198" t="s">
        <v>74</v>
      </c>
      <c r="I198" t="s">
        <v>4023</v>
      </c>
      <c r="J198" t="s">
        <v>1001</v>
      </c>
      <c r="K198" t="s">
        <v>74</v>
      </c>
      <c r="L198" t="s">
        <v>74</v>
      </c>
      <c r="M198" t="s">
        <v>78</v>
      </c>
      <c r="N198" t="s">
        <v>338</v>
      </c>
      <c r="O198" t="s">
        <v>74</v>
      </c>
      <c r="P198" t="s">
        <v>74</v>
      </c>
      <c r="Q198" t="s">
        <v>74</v>
      </c>
      <c r="R198" t="s">
        <v>74</v>
      </c>
      <c r="S198" t="s">
        <v>74</v>
      </c>
      <c r="T198" t="s">
        <v>4024</v>
      </c>
      <c r="U198" t="s">
        <v>4025</v>
      </c>
      <c r="V198" t="s">
        <v>4026</v>
      </c>
      <c r="W198" t="s">
        <v>4027</v>
      </c>
      <c r="X198" t="s">
        <v>4028</v>
      </c>
      <c r="Y198" t="s">
        <v>4029</v>
      </c>
      <c r="Z198" t="s">
        <v>4030</v>
      </c>
      <c r="AA198" t="s">
        <v>4031</v>
      </c>
      <c r="AB198" t="s">
        <v>4032</v>
      </c>
      <c r="AC198" t="s">
        <v>4033</v>
      </c>
      <c r="AD198" t="s">
        <v>4034</v>
      </c>
      <c r="AE198" t="s">
        <v>4035</v>
      </c>
      <c r="AF198" t="s">
        <v>74</v>
      </c>
      <c r="AG198">
        <v>54</v>
      </c>
      <c r="AH198">
        <v>0</v>
      </c>
      <c r="AI198">
        <v>0</v>
      </c>
      <c r="AJ198">
        <v>14</v>
      </c>
      <c r="AK198">
        <v>14</v>
      </c>
      <c r="AL198" t="s">
        <v>426</v>
      </c>
      <c r="AM198" t="s">
        <v>427</v>
      </c>
      <c r="AN198" t="s">
        <v>428</v>
      </c>
      <c r="AO198" t="s">
        <v>1014</v>
      </c>
      <c r="AP198" t="s">
        <v>1015</v>
      </c>
      <c r="AQ198" t="s">
        <v>74</v>
      </c>
      <c r="AR198" t="s">
        <v>1016</v>
      </c>
      <c r="AS198" t="s">
        <v>1017</v>
      </c>
      <c r="AT198" t="s">
        <v>3785</v>
      </c>
      <c r="AU198">
        <v>2023</v>
      </c>
      <c r="AV198" t="s">
        <v>74</v>
      </c>
      <c r="AW198" t="s">
        <v>74</v>
      </c>
      <c r="AX198" t="s">
        <v>74</v>
      </c>
      <c r="AY198" t="s">
        <v>74</v>
      </c>
      <c r="AZ198" t="s">
        <v>74</v>
      </c>
      <c r="BA198" t="s">
        <v>74</v>
      </c>
      <c r="BB198" t="s">
        <v>74</v>
      </c>
      <c r="BC198" t="s">
        <v>74</v>
      </c>
      <c r="BD198" t="s">
        <v>74</v>
      </c>
      <c r="BE198" t="s">
        <v>4036</v>
      </c>
      <c r="BF198" t="str">
        <f>HYPERLINK("http://dx.doi.org/10.1002/anie.202310168","http://dx.doi.org/10.1002/anie.202310168")</f>
        <v>http://dx.doi.org/10.1002/anie.202310168</v>
      </c>
      <c r="BG198" t="s">
        <v>74</v>
      </c>
      <c r="BH198" t="s">
        <v>407</v>
      </c>
      <c r="BI198">
        <v>10</v>
      </c>
      <c r="BJ198" t="s">
        <v>523</v>
      </c>
      <c r="BK198" t="s">
        <v>119</v>
      </c>
      <c r="BL198" t="s">
        <v>524</v>
      </c>
      <c r="BM198" t="s">
        <v>4037</v>
      </c>
      <c r="BN198">
        <v>37656770</v>
      </c>
      <c r="BO198" t="s">
        <v>74</v>
      </c>
      <c r="BP198" t="s">
        <v>74</v>
      </c>
      <c r="BQ198" t="s">
        <v>74</v>
      </c>
      <c r="BR198" t="s">
        <v>99</v>
      </c>
      <c r="BS198" t="s">
        <v>4038</v>
      </c>
      <c r="BT198" t="str">
        <f>HYPERLINK("https%3A%2F%2Fwww.webofscience.com%2Fwos%2Fwoscc%2Ffull-record%2FWOS:001063169400001","View Full Record in Web of Science")</f>
        <v>View Full Record in Web of Science</v>
      </c>
    </row>
    <row r="199" spans="1:72" x14ac:dyDescent="0.15">
      <c r="A199" t="s">
        <v>72</v>
      </c>
      <c r="B199" t="s">
        <v>4039</v>
      </c>
      <c r="C199" t="s">
        <v>74</v>
      </c>
      <c r="D199" t="s">
        <v>74</v>
      </c>
      <c r="E199" t="s">
        <v>74</v>
      </c>
      <c r="F199" t="s">
        <v>4040</v>
      </c>
      <c r="G199" t="s">
        <v>74</v>
      </c>
      <c r="H199" t="s">
        <v>74</v>
      </c>
      <c r="I199" t="s">
        <v>4041</v>
      </c>
      <c r="J199" t="s">
        <v>1965</v>
      </c>
      <c r="K199" t="s">
        <v>74</v>
      </c>
      <c r="L199" t="s">
        <v>74</v>
      </c>
      <c r="M199" t="s">
        <v>78</v>
      </c>
      <c r="N199" t="s">
        <v>338</v>
      </c>
      <c r="O199" t="s">
        <v>74</v>
      </c>
      <c r="P199" t="s">
        <v>74</v>
      </c>
      <c r="Q199" t="s">
        <v>74</v>
      </c>
      <c r="R199" t="s">
        <v>74</v>
      </c>
      <c r="S199" t="s">
        <v>74</v>
      </c>
      <c r="T199" t="s">
        <v>4042</v>
      </c>
      <c r="U199" t="s">
        <v>74</v>
      </c>
      <c r="V199" t="s">
        <v>4043</v>
      </c>
      <c r="W199" t="s">
        <v>4044</v>
      </c>
      <c r="X199" t="s">
        <v>4045</v>
      </c>
      <c r="Y199" t="s">
        <v>4046</v>
      </c>
      <c r="Z199" t="s">
        <v>4047</v>
      </c>
      <c r="AA199" t="s">
        <v>74</v>
      </c>
      <c r="AB199" t="s">
        <v>4048</v>
      </c>
      <c r="AC199" t="s">
        <v>4049</v>
      </c>
      <c r="AD199" t="s">
        <v>4049</v>
      </c>
      <c r="AE199" t="s">
        <v>4049</v>
      </c>
      <c r="AF199" t="s">
        <v>74</v>
      </c>
      <c r="AG199">
        <v>17</v>
      </c>
      <c r="AH199">
        <v>0</v>
      </c>
      <c r="AI199">
        <v>0</v>
      </c>
      <c r="AJ199">
        <v>0</v>
      </c>
      <c r="AK199">
        <v>0</v>
      </c>
      <c r="AL199" t="s">
        <v>87</v>
      </c>
      <c r="AM199" t="s">
        <v>88</v>
      </c>
      <c r="AN199" t="s">
        <v>89</v>
      </c>
      <c r="AO199" t="s">
        <v>1973</v>
      </c>
      <c r="AP199" t="s">
        <v>74</v>
      </c>
      <c r="AQ199" t="s">
        <v>74</v>
      </c>
      <c r="AR199" t="s">
        <v>1974</v>
      </c>
      <c r="AS199" t="s">
        <v>1975</v>
      </c>
      <c r="AT199" t="s">
        <v>3785</v>
      </c>
      <c r="AU199">
        <v>2023</v>
      </c>
      <c r="AV199" t="s">
        <v>74</v>
      </c>
      <c r="AW199" t="s">
        <v>74</v>
      </c>
      <c r="AX199" t="s">
        <v>74</v>
      </c>
      <c r="AY199" t="s">
        <v>74</v>
      </c>
      <c r="AZ199" t="s">
        <v>74</v>
      </c>
      <c r="BA199" t="s">
        <v>74</v>
      </c>
      <c r="BB199" t="s">
        <v>74</v>
      </c>
      <c r="BC199" t="s">
        <v>74</v>
      </c>
      <c r="BD199" t="s">
        <v>74</v>
      </c>
      <c r="BE199" t="s">
        <v>4050</v>
      </c>
      <c r="BF199" t="str">
        <f>HYPERLINK("http://dx.doi.org/10.1002/mdc3.13874","http://dx.doi.org/10.1002/mdc3.13874")</f>
        <v>http://dx.doi.org/10.1002/mdc3.13874</v>
      </c>
      <c r="BG199" t="s">
        <v>74</v>
      </c>
      <c r="BH199" t="s">
        <v>407</v>
      </c>
      <c r="BI199">
        <v>5</v>
      </c>
      <c r="BJ199" t="s">
        <v>1561</v>
      </c>
      <c r="BK199" t="s">
        <v>119</v>
      </c>
      <c r="BL199" t="s">
        <v>1562</v>
      </c>
      <c r="BM199" t="s">
        <v>4051</v>
      </c>
      <c r="BN199" t="s">
        <v>74</v>
      </c>
      <c r="BO199" t="s">
        <v>74</v>
      </c>
      <c r="BP199" t="s">
        <v>74</v>
      </c>
      <c r="BQ199" t="s">
        <v>74</v>
      </c>
      <c r="BR199" t="s">
        <v>99</v>
      </c>
      <c r="BS199" t="s">
        <v>4052</v>
      </c>
      <c r="BT199" t="str">
        <f>HYPERLINK("https%3A%2F%2Fwww.webofscience.com%2Fwos%2Fwoscc%2Ffull-record%2FWOS:001063199200001","View Full Record in Web of Science")</f>
        <v>View Full Record in Web of Science</v>
      </c>
    </row>
    <row r="200" spans="1:72" x14ac:dyDescent="0.15">
      <c r="A200" t="s">
        <v>72</v>
      </c>
      <c r="B200" t="s">
        <v>4053</v>
      </c>
      <c r="C200" t="s">
        <v>74</v>
      </c>
      <c r="D200" t="s">
        <v>74</v>
      </c>
      <c r="E200" t="s">
        <v>74</v>
      </c>
      <c r="F200" t="s">
        <v>4054</v>
      </c>
      <c r="G200" t="s">
        <v>74</v>
      </c>
      <c r="H200" t="s">
        <v>74</v>
      </c>
      <c r="I200" t="s">
        <v>4055</v>
      </c>
      <c r="J200" t="s">
        <v>1001</v>
      </c>
      <c r="K200" t="s">
        <v>74</v>
      </c>
      <c r="L200" t="s">
        <v>74</v>
      </c>
      <c r="M200" t="s">
        <v>78</v>
      </c>
      <c r="N200" t="s">
        <v>338</v>
      </c>
      <c r="O200" t="s">
        <v>74</v>
      </c>
      <c r="P200" t="s">
        <v>74</v>
      </c>
      <c r="Q200" t="s">
        <v>74</v>
      </c>
      <c r="R200" t="s">
        <v>74</v>
      </c>
      <c r="S200" t="s">
        <v>74</v>
      </c>
      <c r="T200" t="s">
        <v>4056</v>
      </c>
      <c r="U200" t="s">
        <v>4057</v>
      </c>
      <c r="V200" t="s">
        <v>4058</v>
      </c>
      <c r="W200" t="s">
        <v>4059</v>
      </c>
      <c r="X200" t="s">
        <v>4060</v>
      </c>
      <c r="Y200" t="s">
        <v>4061</v>
      </c>
      <c r="Z200" t="s">
        <v>4062</v>
      </c>
      <c r="AA200" t="s">
        <v>4063</v>
      </c>
      <c r="AB200" t="s">
        <v>4064</v>
      </c>
      <c r="AC200" t="s">
        <v>4065</v>
      </c>
      <c r="AD200" t="s">
        <v>4066</v>
      </c>
      <c r="AE200" t="s">
        <v>4067</v>
      </c>
      <c r="AF200" t="s">
        <v>74</v>
      </c>
      <c r="AG200">
        <v>68</v>
      </c>
      <c r="AH200">
        <v>0</v>
      </c>
      <c r="AI200">
        <v>0</v>
      </c>
      <c r="AJ200">
        <v>0</v>
      </c>
      <c r="AK200">
        <v>0</v>
      </c>
      <c r="AL200" t="s">
        <v>426</v>
      </c>
      <c r="AM200" t="s">
        <v>427</v>
      </c>
      <c r="AN200" t="s">
        <v>428</v>
      </c>
      <c r="AO200" t="s">
        <v>1014</v>
      </c>
      <c r="AP200" t="s">
        <v>1015</v>
      </c>
      <c r="AQ200" t="s">
        <v>74</v>
      </c>
      <c r="AR200" t="s">
        <v>1016</v>
      </c>
      <c r="AS200" t="s">
        <v>1017</v>
      </c>
      <c r="AT200" t="s">
        <v>3785</v>
      </c>
      <c r="AU200">
        <v>2023</v>
      </c>
      <c r="AV200" t="s">
        <v>74</v>
      </c>
      <c r="AW200" t="s">
        <v>74</v>
      </c>
      <c r="AX200" t="s">
        <v>74</v>
      </c>
      <c r="AY200" t="s">
        <v>74</v>
      </c>
      <c r="AZ200" t="s">
        <v>74</v>
      </c>
      <c r="BA200" t="s">
        <v>74</v>
      </c>
      <c r="BB200" t="s">
        <v>74</v>
      </c>
      <c r="BC200" t="s">
        <v>74</v>
      </c>
      <c r="BD200" t="s">
        <v>74</v>
      </c>
      <c r="BE200" t="s">
        <v>4068</v>
      </c>
      <c r="BF200" t="str">
        <f>HYPERLINK("http://dx.doi.org/10.1002/anie.202309055","http://dx.doi.org/10.1002/anie.202309055")</f>
        <v>http://dx.doi.org/10.1002/anie.202309055</v>
      </c>
      <c r="BG200" t="s">
        <v>74</v>
      </c>
      <c r="BH200" t="s">
        <v>407</v>
      </c>
      <c r="BI200">
        <v>9</v>
      </c>
      <c r="BJ200" t="s">
        <v>523</v>
      </c>
      <c r="BK200" t="s">
        <v>119</v>
      </c>
      <c r="BL200" t="s">
        <v>524</v>
      </c>
      <c r="BM200" t="s">
        <v>4069</v>
      </c>
      <c r="BN200">
        <v>37635091</v>
      </c>
      <c r="BO200" t="s">
        <v>74</v>
      </c>
      <c r="BP200" t="s">
        <v>74</v>
      </c>
      <c r="BQ200" t="s">
        <v>74</v>
      </c>
      <c r="BR200" t="s">
        <v>99</v>
      </c>
      <c r="BS200" t="s">
        <v>4070</v>
      </c>
      <c r="BT200" t="str">
        <f>HYPERLINK("https%3A%2F%2Fwww.webofscience.com%2Fwos%2Fwoscc%2Ffull-record%2FWOS:001065042500001","View Full Record in Web of Science")</f>
        <v>View Full Record in Web of Science</v>
      </c>
    </row>
    <row r="201" spans="1:72" x14ac:dyDescent="0.15">
      <c r="A201" t="s">
        <v>72</v>
      </c>
      <c r="B201" t="s">
        <v>4071</v>
      </c>
      <c r="C201" t="s">
        <v>74</v>
      </c>
      <c r="D201" t="s">
        <v>74</v>
      </c>
      <c r="E201" t="s">
        <v>74</v>
      </c>
      <c r="F201" t="s">
        <v>4072</v>
      </c>
      <c r="G201" t="s">
        <v>74</v>
      </c>
      <c r="H201" t="s">
        <v>74</v>
      </c>
      <c r="I201" t="s">
        <v>4073</v>
      </c>
      <c r="J201" t="s">
        <v>4074</v>
      </c>
      <c r="K201" t="s">
        <v>74</v>
      </c>
      <c r="L201" t="s">
        <v>74</v>
      </c>
      <c r="M201" t="s">
        <v>78</v>
      </c>
      <c r="N201" t="s">
        <v>338</v>
      </c>
      <c r="O201" t="s">
        <v>74</v>
      </c>
      <c r="P201" t="s">
        <v>74</v>
      </c>
      <c r="Q201" t="s">
        <v>74</v>
      </c>
      <c r="R201" t="s">
        <v>74</v>
      </c>
      <c r="S201" t="s">
        <v>74</v>
      </c>
      <c r="T201" t="s">
        <v>4075</v>
      </c>
      <c r="U201" t="s">
        <v>74</v>
      </c>
      <c r="V201" t="s">
        <v>4076</v>
      </c>
      <c r="W201" t="s">
        <v>4077</v>
      </c>
      <c r="X201" t="s">
        <v>4078</v>
      </c>
      <c r="Y201" t="s">
        <v>4079</v>
      </c>
      <c r="Z201" t="s">
        <v>4080</v>
      </c>
      <c r="AA201" t="s">
        <v>74</v>
      </c>
      <c r="AB201" t="s">
        <v>74</v>
      </c>
      <c r="AC201" t="s">
        <v>4081</v>
      </c>
      <c r="AD201" t="s">
        <v>4081</v>
      </c>
      <c r="AE201" t="s">
        <v>4082</v>
      </c>
      <c r="AF201" t="s">
        <v>74</v>
      </c>
      <c r="AG201">
        <v>12</v>
      </c>
      <c r="AH201">
        <v>0</v>
      </c>
      <c r="AI201">
        <v>0</v>
      </c>
      <c r="AJ201">
        <v>0</v>
      </c>
      <c r="AK201">
        <v>0</v>
      </c>
      <c r="AL201" t="s">
        <v>87</v>
      </c>
      <c r="AM201" t="s">
        <v>88</v>
      </c>
      <c r="AN201" t="s">
        <v>89</v>
      </c>
      <c r="AO201" t="s">
        <v>4083</v>
      </c>
      <c r="AP201" t="s">
        <v>4084</v>
      </c>
      <c r="AQ201" t="s">
        <v>74</v>
      </c>
      <c r="AR201" t="s">
        <v>4074</v>
      </c>
      <c r="AS201" t="s">
        <v>4074</v>
      </c>
      <c r="AT201" t="s">
        <v>3785</v>
      </c>
      <c r="AU201">
        <v>2023</v>
      </c>
      <c r="AV201" t="s">
        <v>74</v>
      </c>
      <c r="AW201" t="s">
        <v>74</v>
      </c>
      <c r="AX201" t="s">
        <v>74</v>
      </c>
      <c r="AY201" t="s">
        <v>74</v>
      </c>
      <c r="AZ201" t="s">
        <v>74</v>
      </c>
      <c r="BA201" t="s">
        <v>74</v>
      </c>
      <c r="BB201" t="s">
        <v>74</v>
      </c>
      <c r="BC201" t="s">
        <v>74</v>
      </c>
      <c r="BD201" t="s">
        <v>74</v>
      </c>
      <c r="BE201" t="s">
        <v>4085</v>
      </c>
      <c r="BF201" t="str">
        <f>HYPERLINK("http://dx.doi.org/10.1111/tan.15215","http://dx.doi.org/10.1111/tan.15215")</f>
        <v>http://dx.doi.org/10.1111/tan.15215</v>
      </c>
      <c r="BG201" t="s">
        <v>74</v>
      </c>
      <c r="BH201" t="s">
        <v>407</v>
      </c>
      <c r="BI201">
        <v>7</v>
      </c>
      <c r="BJ201" t="s">
        <v>4086</v>
      </c>
      <c r="BK201" t="s">
        <v>119</v>
      </c>
      <c r="BL201" t="s">
        <v>4086</v>
      </c>
      <c r="BM201" t="s">
        <v>4087</v>
      </c>
      <c r="BN201">
        <v>37697931</v>
      </c>
      <c r="BO201" t="s">
        <v>74</v>
      </c>
      <c r="BP201" t="s">
        <v>74</v>
      </c>
      <c r="BQ201" t="s">
        <v>74</v>
      </c>
      <c r="BR201" t="s">
        <v>99</v>
      </c>
      <c r="BS201" t="s">
        <v>4088</v>
      </c>
      <c r="BT201" t="str">
        <f>HYPERLINK("https%3A%2F%2Fwww.webofscience.com%2Fwos%2Fwoscc%2Ffull-record%2FWOS:001065799900001","View Full Record in Web of Science")</f>
        <v>View Full Record in Web of Science</v>
      </c>
    </row>
    <row r="202" spans="1:72" x14ac:dyDescent="0.15">
      <c r="A202" t="s">
        <v>72</v>
      </c>
      <c r="B202" t="s">
        <v>4089</v>
      </c>
      <c r="C202" t="s">
        <v>74</v>
      </c>
      <c r="D202" t="s">
        <v>74</v>
      </c>
      <c r="E202" t="s">
        <v>74</v>
      </c>
      <c r="F202" t="s">
        <v>4090</v>
      </c>
      <c r="G202" t="s">
        <v>74</v>
      </c>
      <c r="H202" t="s">
        <v>74</v>
      </c>
      <c r="I202" t="s">
        <v>4091</v>
      </c>
      <c r="J202" t="s">
        <v>4092</v>
      </c>
      <c r="K202" t="s">
        <v>74</v>
      </c>
      <c r="L202" t="s">
        <v>74</v>
      </c>
      <c r="M202" t="s">
        <v>78</v>
      </c>
      <c r="N202" t="s">
        <v>338</v>
      </c>
      <c r="O202" t="s">
        <v>74</v>
      </c>
      <c r="P202" t="s">
        <v>74</v>
      </c>
      <c r="Q202" t="s">
        <v>74</v>
      </c>
      <c r="R202" t="s">
        <v>74</v>
      </c>
      <c r="S202" t="s">
        <v>74</v>
      </c>
      <c r="T202" t="s">
        <v>4093</v>
      </c>
      <c r="U202" t="s">
        <v>4094</v>
      </c>
      <c r="V202" t="s">
        <v>4095</v>
      </c>
      <c r="W202" t="s">
        <v>4096</v>
      </c>
      <c r="X202" t="s">
        <v>4097</v>
      </c>
      <c r="Y202" t="s">
        <v>4098</v>
      </c>
      <c r="Z202" t="s">
        <v>4099</v>
      </c>
      <c r="AA202" t="s">
        <v>4100</v>
      </c>
      <c r="AB202" t="s">
        <v>4101</v>
      </c>
      <c r="AC202" t="s">
        <v>4102</v>
      </c>
      <c r="AD202" t="s">
        <v>4103</v>
      </c>
      <c r="AE202" t="s">
        <v>4104</v>
      </c>
      <c r="AF202" t="s">
        <v>74</v>
      </c>
      <c r="AG202">
        <v>64</v>
      </c>
      <c r="AH202">
        <v>0</v>
      </c>
      <c r="AI202">
        <v>0</v>
      </c>
      <c r="AJ202">
        <v>0</v>
      </c>
      <c r="AK202">
        <v>0</v>
      </c>
      <c r="AL202" t="s">
        <v>1866</v>
      </c>
      <c r="AM202" t="s">
        <v>1867</v>
      </c>
      <c r="AN202" t="s">
        <v>1868</v>
      </c>
      <c r="AO202" t="s">
        <v>4105</v>
      </c>
      <c r="AP202" t="s">
        <v>4106</v>
      </c>
      <c r="AQ202" t="s">
        <v>74</v>
      </c>
      <c r="AR202" t="s">
        <v>4107</v>
      </c>
      <c r="AS202" t="s">
        <v>4108</v>
      </c>
      <c r="AT202" t="s">
        <v>3785</v>
      </c>
      <c r="AU202">
        <v>2023</v>
      </c>
      <c r="AV202" t="s">
        <v>74</v>
      </c>
      <c r="AW202" t="s">
        <v>74</v>
      </c>
      <c r="AX202" t="s">
        <v>74</v>
      </c>
      <c r="AY202" t="s">
        <v>74</v>
      </c>
      <c r="AZ202" t="s">
        <v>74</v>
      </c>
      <c r="BA202" t="s">
        <v>74</v>
      </c>
      <c r="BB202" t="s">
        <v>74</v>
      </c>
      <c r="BC202" t="s">
        <v>74</v>
      </c>
      <c r="BD202" t="s">
        <v>74</v>
      </c>
      <c r="BE202" t="s">
        <v>4109</v>
      </c>
      <c r="BF202" t="str">
        <f>HYPERLINK("http://dx.doi.org/10.1111/ecpo.12263","http://dx.doi.org/10.1111/ecpo.12263")</f>
        <v>http://dx.doi.org/10.1111/ecpo.12263</v>
      </c>
      <c r="BG202" t="s">
        <v>74</v>
      </c>
      <c r="BH202" t="s">
        <v>407</v>
      </c>
      <c r="BI202">
        <v>31</v>
      </c>
      <c r="BJ202" t="s">
        <v>4110</v>
      </c>
      <c r="BK202" t="s">
        <v>546</v>
      </c>
      <c r="BL202" t="s">
        <v>3993</v>
      </c>
      <c r="BM202" t="s">
        <v>4111</v>
      </c>
      <c r="BN202" t="s">
        <v>74</v>
      </c>
      <c r="BO202" t="s">
        <v>74</v>
      </c>
      <c r="BP202" t="s">
        <v>74</v>
      </c>
      <c r="BQ202" t="s">
        <v>74</v>
      </c>
      <c r="BR202" t="s">
        <v>99</v>
      </c>
      <c r="BS202" t="s">
        <v>4112</v>
      </c>
      <c r="BT202" t="str">
        <f>HYPERLINK("https%3A%2F%2Fwww.webofscience.com%2Fwos%2Fwoscc%2Ffull-record%2FWOS:001063406800001","View Full Record in Web of Science")</f>
        <v>View Full Record in Web of Science</v>
      </c>
    </row>
    <row r="203" spans="1:72" x14ac:dyDescent="0.15">
      <c r="A203" t="s">
        <v>72</v>
      </c>
      <c r="B203" t="s">
        <v>4113</v>
      </c>
      <c r="C203" t="s">
        <v>74</v>
      </c>
      <c r="D203" t="s">
        <v>74</v>
      </c>
      <c r="E203" t="s">
        <v>74</v>
      </c>
      <c r="F203" t="s">
        <v>4114</v>
      </c>
      <c r="G203" t="s">
        <v>74</v>
      </c>
      <c r="H203" t="s">
        <v>74</v>
      </c>
      <c r="I203" t="s">
        <v>4115</v>
      </c>
      <c r="J203" t="s">
        <v>4116</v>
      </c>
      <c r="K203" t="s">
        <v>74</v>
      </c>
      <c r="L203" t="s">
        <v>74</v>
      </c>
      <c r="M203" t="s">
        <v>78</v>
      </c>
      <c r="N203" t="s">
        <v>338</v>
      </c>
      <c r="O203" t="s">
        <v>74</v>
      </c>
      <c r="P203" t="s">
        <v>74</v>
      </c>
      <c r="Q203" t="s">
        <v>74</v>
      </c>
      <c r="R203" t="s">
        <v>74</v>
      </c>
      <c r="S203" t="s">
        <v>74</v>
      </c>
      <c r="T203" t="s">
        <v>4117</v>
      </c>
      <c r="U203" t="s">
        <v>4118</v>
      </c>
      <c r="V203" t="s">
        <v>4119</v>
      </c>
      <c r="W203" t="s">
        <v>4120</v>
      </c>
      <c r="X203" t="s">
        <v>4121</v>
      </c>
      <c r="Y203" t="s">
        <v>4122</v>
      </c>
      <c r="Z203" t="s">
        <v>4123</v>
      </c>
      <c r="AA203" t="s">
        <v>74</v>
      </c>
      <c r="AB203" t="s">
        <v>74</v>
      </c>
      <c r="AC203" t="s">
        <v>4124</v>
      </c>
      <c r="AD203" t="s">
        <v>4125</v>
      </c>
      <c r="AE203" t="s">
        <v>4126</v>
      </c>
      <c r="AF203" t="s">
        <v>74</v>
      </c>
      <c r="AG203">
        <v>76</v>
      </c>
      <c r="AH203">
        <v>0</v>
      </c>
      <c r="AI203">
        <v>0</v>
      </c>
      <c r="AJ203">
        <v>0</v>
      </c>
      <c r="AK203">
        <v>0</v>
      </c>
      <c r="AL203" t="s">
        <v>87</v>
      </c>
      <c r="AM203" t="s">
        <v>88</v>
      </c>
      <c r="AN203" t="s">
        <v>89</v>
      </c>
      <c r="AO203" t="s">
        <v>4127</v>
      </c>
      <c r="AP203" t="s">
        <v>4128</v>
      </c>
      <c r="AQ203" t="s">
        <v>74</v>
      </c>
      <c r="AR203" t="s">
        <v>4129</v>
      </c>
      <c r="AS203" t="s">
        <v>4130</v>
      </c>
      <c r="AT203" t="s">
        <v>3785</v>
      </c>
      <c r="AU203">
        <v>2023</v>
      </c>
      <c r="AV203" t="s">
        <v>74</v>
      </c>
      <c r="AW203" t="s">
        <v>74</v>
      </c>
      <c r="AX203" t="s">
        <v>74</v>
      </c>
      <c r="AY203" t="s">
        <v>74</v>
      </c>
      <c r="AZ203" t="s">
        <v>74</v>
      </c>
      <c r="BA203" t="s">
        <v>74</v>
      </c>
      <c r="BB203" t="s">
        <v>74</v>
      </c>
      <c r="BC203" t="s">
        <v>74</v>
      </c>
      <c r="BD203" t="s">
        <v>74</v>
      </c>
      <c r="BE203" t="s">
        <v>4131</v>
      </c>
      <c r="BF203" t="str">
        <f>HYPERLINK("http://dx.doi.org/10.1111/boer.12420","http://dx.doi.org/10.1111/boer.12420")</f>
        <v>http://dx.doi.org/10.1111/boer.12420</v>
      </c>
      <c r="BG203" t="s">
        <v>74</v>
      </c>
      <c r="BH203" t="s">
        <v>407</v>
      </c>
      <c r="BI203">
        <v>28</v>
      </c>
      <c r="BJ203" t="s">
        <v>4132</v>
      </c>
      <c r="BK203" t="s">
        <v>546</v>
      </c>
      <c r="BL203" t="s">
        <v>547</v>
      </c>
      <c r="BM203" t="s">
        <v>4133</v>
      </c>
      <c r="BN203" t="s">
        <v>74</v>
      </c>
      <c r="BO203" t="s">
        <v>301</v>
      </c>
      <c r="BP203" t="s">
        <v>74</v>
      </c>
      <c r="BQ203" t="s">
        <v>74</v>
      </c>
      <c r="BR203" t="s">
        <v>99</v>
      </c>
      <c r="BS203" t="s">
        <v>4134</v>
      </c>
      <c r="BT203" t="str">
        <f>HYPERLINK("https%3A%2F%2Fwww.webofscience.com%2Fwos%2Fwoscc%2Ffull-record%2FWOS:001063402100001","View Full Record in Web of Science")</f>
        <v>View Full Record in Web of Science</v>
      </c>
    </row>
    <row r="204" spans="1:72" x14ac:dyDescent="0.15">
      <c r="A204" t="s">
        <v>72</v>
      </c>
      <c r="B204" t="s">
        <v>4135</v>
      </c>
      <c r="C204" t="s">
        <v>74</v>
      </c>
      <c r="D204" t="s">
        <v>74</v>
      </c>
      <c r="E204" t="s">
        <v>74</v>
      </c>
      <c r="F204" t="s">
        <v>4136</v>
      </c>
      <c r="G204" t="s">
        <v>74</v>
      </c>
      <c r="H204" t="s">
        <v>74</v>
      </c>
      <c r="I204" t="s">
        <v>4137</v>
      </c>
      <c r="J204" t="s">
        <v>4138</v>
      </c>
      <c r="K204" t="s">
        <v>74</v>
      </c>
      <c r="L204" t="s">
        <v>74</v>
      </c>
      <c r="M204" t="s">
        <v>78</v>
      </c>
      <c r="N204" t="s">
        <v>338</v>
      </c>
      <c r="O204" t="s">
        <v>74</v>
      </c>
      <c r="P204" t="s">
        <v>74</v>
      </c>
      <c r="Q204" t="s">
        <v>74</v>
      </c>
      <c r="R204" t="s">
        <v>74</v>
      </c>
      <c r="S204" t="s">
        <v>74</v>
      </c>
      <c r="T204" t="s">
        <v>4139</v>
      </c>
      <c r="U204" t="s">
        <v>4140</v>
      </c>
      <c r="V204" t="s">
        <v>4141</v>
      </c>
      <c r="W204" t="s">
        <v>4142</v>
      </c>
      <c r="X204" t="s">
        <v>74</v>
      </c>
      <c r="Y204" t="s">
        <v>4143</v>
      </c>
      <c r="Z204" t="s">
        <v>4144</v>
      </c>
      <c r="AA204" t="s">
        <v>74</v>
      </c>
      <c r="AB204" t="s">
        <v>74</v>
      </c>
      <c r="AC204" t="s">
        <v>4145</v>
      </c>
      <c r="AD204" t="s">
        <v>4146</v>
      </c>
      <c r="AE204" t="s">
        <v>4147</v>
      </c>
      <c r="AF204" t="s">
        <v>74</v>
      </c>
      <c r="AG204">
        <v>59</v>
      </c>
      <c r="AH204">
        <v>0</v>
      </c>
      <c r="AI204">
        <v>0</v>
      </c>
      <c r="AJ204">
        <v>0</v>
      </c>
      <c r="AK204">
        <v>0</v>
      </c>
      <c r="AL204" t="s">
        <v>87</v>
      </c>
      <c r="AM204" t="s">
        <v>88</v>
      </c>
      <c r="AN204" t="s">
        <v>89</v>
      </c>
      <c r="AO204" t="s">
        <v>4148</v>
      </c>
      <c r="AP204" t="s">
        <v>4149</v>
      </c>
      <c r="AQ204" t="s">
        <v>74</v>
      </c>
      <c r="AR204" t="s">
        <v>4150</v>
      </c>
      <c r="AS204" t="s">
        <v>4151</v>
      </c>
      <c r="AT204" t="s">
        <v>3785</v>
      </c>
      <c r="AU204">
        <v>2023</v>
      </c>
      <c r="AV204" t="s">
        <v>74</v>
      </c>
      <c r="AW204" t="s">
        <v>74</v>
      </c>
      <c r="AX204" t="s">
        <v>74</v>
      </c>
      <c r="AY204" t="s">
        <v>74</v>
      </c>
      <c r="AZ204" t="s">
        <v>74</v>
      </c>
      <c r="BA204" t="s">
        <v>74</v>
      </c>
      <c r="BB204" t="s">
        <v>74</v>
      </c>
      <c r="BC204" t="s">
        <v>74</v>
      </c>
      <c r="BD204" t="s">
        <v>74</v>
      </c>
      <c r="BE204" t="s">
        <v>4152</v>
      </c>
      <c r="BF204" t="str">
        <f>HYPERLINK("http://dx.doi.org/10.1111/apv.12389","http://dx.doi.org/10.1111/apv.12389")</f>
        <v>http://dx.doi.org/10.1111/apv.12389</v>
      </c>
      <c r="BG204" t="s">
        <v>74</v>
      </c>
      <c r="BH204" t="s">
        <v>407</v>
      </c>
      <c r="BI204">
        <v>15</v>
      </c>
      <c r="BJ204" t="s">
        <v>4153</v>
      </c>
      <c r="BK204" t="s">
        <v>546</v>
      </c>
      <c r="BL204" t="s">
        <v>4153</v>
      </c>
      <c r="BM204" t="s">
        <v>4154</v>
      </c>
      <c r="BN204" t="s">
        <v>74</v>
      </c>
      <c r="BO204" t="s">
        <v>122</v>
      </c>
      <c r="BP204" t="s">
        <v>74</v>
      </c>
      <c r="BQ204" t="s">
        <v>74</v>
      </c>
      <c r="BR204" t="s">
        <v>99</v>
      </c>
      <c r="BS204" t="s">
        <v>4155</v>
      </c>
      <c r="BT204" t="str">
        <f>HYPERLINK("https%3A%2F%2Fwww.webofscience.com%2Fwos%2Fwoscc%2Ffull-record%2FWOS:001066049400001","View Full Record in Web of Science")</f>
        <v>View Full Record in Web of Science</v>
      </c>
    </row>
    <row r="205" spans="1:72" x14ac:dyDescent="0.15">
      <c r="A205" t="s">
        <v>72</v>
      </c>
      <c r="B205" t="s">
        <v>4156</v>
      </c>
      <c r="C205" t="s">
        <v>74</v>
      </c>
      <c r="D205" t="s">
        <v>74</v>
      </c>
      <c r="E205" t="s">
        <v>74</v>
      </c>
      <c r="F205" t="s">
        <v>4157</v>
      </c>
      <c r="G205" t="s">
        <v>74</v>
      </c>
      <c r="H205" t="s">
        <v>74</v>
      </c>
      <c r="I205" t="s">
        <v>4158</v>
      </c>
      <c r="J205" t="s">
        <v>4159</v>
      </c>
      <c r="K205" t="s">
        <v>74</v>
      </c>
      <c r="L205" t="s">
        <v>74</v>
      </c>
      <c r="M205" t="s">
        <v>78</v>
      </c>
      <c r="N205" t="s">
        <v>594</v>
      </c>
      <c r="O205" t="s">
        <v>74</v>
      </c>
      <c r="P205" t="s">
        <v>74</v>
      </c>
      <c r="Q205" t="s">
        <v>74</v>
      </c>
      <c r="R205" t="s">
        <v>74</v>
      </c>
      <c r="S205" t="s">
        <v>74</v>
      </c>
      <c r="T205" t="s">
        <v>4160</v>
      </c>
      <c r="U205" t="s">
        <v>4161</v>
      </c>
      <c r="V205" t="s">
        <v>4162</v>
      </c>
      <c r="W205" t="s">
        <v>4163</v>
      </c>
      <c r="X205" t="s">
        <v>4164</v>
      </c>
      <c r="Y205" t="s">
        <v>4165</v>
      </c>
      <c r="Z205" t="s">
        <v>4166</v>
      </c>
      <c r="AA205" t="s">
        <v>74</v>
      </c>
      <c r="AB205" t="s">
        <v>74</v>
      </c>
      <c r="AC205" t="s">
        <v>4167</v>
      </c>
      <c r="AD205" t="s">
        <v>4167</v>
      </c>
      <c r="AE205" t="s">
        <v>4168</v>
      </c>
      <c r="AF205" t="s">
        <v>74</v>
      </c>
      <c r="AG205">
        <v>52</v>
      </c>
      <c r="AH205">
        <v>0</v>
      </c>
      <c r="AI205">
        <v>0</v>
      </c>
      <c r="AJ205">
        <v>0</v>
      </c>
      <c r="AK205">
        <v>0</v>
      </c>
      <c r="AL205" t="s">
        <v>87</v>
      </c>
      <c r="AM205" t="s">
        <v>88</v>
      </c>
      <c r="AN205" t="s">
        <v>89</v>
      </c>
      <c r="AO205" t="s">
        <v>4169</v>
      </c>
      <c r="AP205" t="s">
        <v>4170</v>
      </c>
      <c r="AQ205" t="s">
        <v>74</v>
      </c>
      <c r="AR205" t="s">
        <v>4171</v>
      </c>
      <c r="AS205" t="s">
        <v>4172</v>
      </c>
      <c r="AT205" t="s">
        <v>4173</v>
      </c>
      <c r="AU205">
        <v>2023</v>
      </c>
      <c r="AV205" t="s">
        <v>74</v>
      </c>
      <c r="AW205" t="s">
        <v>74</v>
      </c>
      <c r="AX205" t="s">
        <v>74</v>
      </c>
      <c r="AY205" t="s">
        <v>74</v>
      </c>
      <c r="AZ205" t="s">
        <v>74</v>
      </c>
      <c r="BA205" t="s">
        <v>74</v>
      </c>
      <c r="BB205" t="s">
        <v>74</v>
      </c>
      <c r="BC205" t="s">
        <v>74</v>
      </c>
      <c r="BD205" t="s">
        <v>74</v>
      </c>
      <c r="BE205" t="s">
        <v>4174</v>
      </c>
      <c r="BF205" t="str">
        <f>HYPERLINK("http://dx.doi.org/10.1111/vox.13521","http://dx.doi.org/10.1111/vox.13521")</f>
        <v>http://dx.doi.org/10.1111/vox.13521</v>
      </c>
      <c r="BG205" t="s">
        <v>74</v>
      </c>
      <c r="BH205" t="s">
        <v>407</v>
      </c>
      <c r="BI205">
        <v>9</v>
      </c>
      <c r="BJ205" t="s">
        <v>1625</v>
      </c>
      <c r="BK205" t="s">
        <v>119</v>
      </c>
      <c r="BL205" t="s">
        <v>1625</v>
      </c>
      <c r="BM205" t="s">
        <v>4175</v>
      </c>
      <c r="BN205">
        <v>37691585</v>
      </c>
      <c r="BO205" t="s">
        <v>74</v>
      </c>
      <c r="BP205" t="s">
        <v>74</v>
      </c>
      <c r="BQ205" t="s">
        <v>74</v>
      </c>
      <c r="BR205" t="s">
        <v>99</v>
      </c>
      <c r="BS205" t="s">
        <v>4176</v>
      </c>
      <c r="BT205" t="str">
        <f>HYPERLINK("https%3A%2F%2Fwww.webofscience.com%2Fwos%2Fwoscc%2Ffull-record%2FWOS:001062639900001","View Full Record in Web of Science")</f>
        <v>View Full Record in Web of Science</v>
      </c>
    </row>
    <row r="206" spans="1:72" x14ac:dyDescent="0.15">
      <c r="A206" t="s">
        <v>72</v>
      </c>
      <c r="B206" t="s">
        <v>4177</v>
      </c>
      <c r="C206" t="s">
        <v>74</v>
      </c>
      <c r="D206" t="s">
        <v>74</v>
      </c>
      <c r="E206" t="s">
        <v>74</v>
      </c>
      <c r="F206" t="s">
        <v>4178</v>
      </c>
      <c r="G206" t="s">
        <v>74</v>
      </c>
      <c r="H206" t="s">
        <v>74</v>
      </c>
      <c r="I206" t="s">
        <v>4179</v>
      </c>
      <c r="J206" t="s">
        <v>4180</v>
      </c>
      <c r="K206" t="s">
        <v>74</v>
      </c>
      <c r="L206" t="s">
        <v>74</v>
      </c>
      <c r="M206" t="s">
        <v>78</v>
      </c>
      <c r="N206" t="s">
        <v>338</v>
      </c>
      <c r="O206" t="s">
        <v>74</v>
      </c>
      <c r="P206" t="s">
        <v>74</v>
      </c>
      <c r="Q206" t="s">
        <v>74</v>
      </c>
      <c r="R206" t="s">
        <v>74</v>
      </c>
      <c r="S206" t="s">
        <v>74</v>
      </c>
      <c r="T206" t="s">
        <v>4181</v>
      </c>
      <c r="U206" t="s">
        <v>74</v>
      </c>
      <c r="V206" t="s">
        <v>4182</v>
      </c>
      <c r="W206" t="s">
        <v>4183</v>
      </c>
      <c r="X206" t="s">
        <v>4184</v>
      </c>
      <c r="Y206" t="s">
        <v>4185</v>
      </c>
      <c r="Z206" t="s">
        <v>4186</v>
      </c>
      <c r="AA206" t="s">
        <v>74</v>
      </c>
      <c r="AB206" t="s">
        <v>74</v>
      </c>
      <c r="AC206" t="s">
        <v>4187</v>
      </c>
      <c r="AD206" t="s">
        <v>4188</v>
      </c>
      <c r="AE206" t="s">
        <v>4189</v>
      </c>
      <c r="AF206" t="s">
        <v>74</v>
      </c>
      <c r="AG206">
        <v>11</v>
      </c>
      <c r="AH206">
        <v>0</v>
      </c>
      <c r="AI206">
        <v>0</v>
      </c>
      <c r="AJ206">
        <v>0</v>
      </c>
      <c r="AK206">
        <v>0</v>
      </c>
      <c r="AL206" t="s">
        <v>87</v>
      </c>
      <c r="AM206" t="s">
        <v>88</v>
      </c>
      <c r="AN206" t="s">
        <v>89</v>
      </c>
      <c r="AO206" t="s">
        <v>4190</v>
      </c>
      <c r="AP206" t="s">
        <v>4191</v>
      </c>
      <c r="AQ206" t="s">
        <v>74</v>
      </c>
      <c r="AR206" t="s">
        <v>4192</v>
      </c>
      <c r="AS206" t="s">
        <v>4193</v>
      </c>
      <c r="AT206" t="s">
        <v>4173</v>
      </c>
      <c r="AU206">
        <v>2023</v>
      </c>
      <c r="AV206" t="s">
        <v>74</v>
      </c>
      <c r="AW206" t="s">
        <v>74</v>
      </c>
      <c r="AX206" t="s">
        <v>74</v>
      </c>
      <c r="AY206" t="s">
        <v>74</v>
      </c>
      <c r="AZ206" t="s">
        <v>74</v>
      </c>
      <c r="BA206" t="s">
        <v>74</v>
      </c>
      <c r="BB206" t="s">
        <v>74</v>
      </c>
      <c r="BC206" t="s">
        <v>74</v>
      </c>
      <c r="BD206" t="s">
        <v>74</v>
      </c>
      <c r="BE206" t="s">
        <v>4194</v>
      </c>
      <c r="BF206" t="str">
        <f>HYPERLINK("http://dx.doi.org/10.1002/lsm.23718","http://dx.doi.org/10.1002/lsm.23718")</f>
        <v>http://dx.doi.org/10.1002/lsm.23718</v>
      </c>
      <c r="BG206" t="s">
        <v>74</v>
      </c>
      <c r="BH206" t="s">
        <v>407</v>
      </c>
      <c r="BI206">
        <v>7</v>
      </c>
      <c r="BJ206" t="s">
        <v>1714</v>
      </c>
      <c r="BK206" t="s">
        <v>119</v>
      </c>
      <c r="BL206" t="s">
        <v>1714</v>
      </c>
      <c r="BM206" t="s">
        <v>4195</v>
      </c>
      <c r="BN206">
        <v>37694399</v>
      </c>
      <c r="BO206" t="s">
        <v>122</v>
      </c>
      <c r="BP206" t="s">
        <v>74</v>
      </c>
      <c r="BQ206" t="s">
        <v>74</v>
      </c>
      <c r="BR206" t="s">
        <v>99</v>
      </c>
      <c r="BS206" t="s">
        <v>4196</v>
      </c>
      <c r="BT206" t="str">
        <f>HYPERLINK("https%3A%2F%2Fwww.webofscience.com%2Fwos%2Fwoscc%2Ffull-record%2FWOS:001064845200001","View Full Record in Web of Science")</f>
        <v>View Full Record in Web of Science</v>
      </c>
    </row>
    <row r="207" spans="1:72" x14ac:dyDescent="0.15">
      <c r="A207" t="s">
        <v>72</v>
      </c>
      <c r="B207" t="s">
        <v>4197</v>
      </c>
      <c r="C207" t="s">
        <v>74</v>
      </c>
      <c r="D207" t="s">
        <v>74</v>
      </c>
      <c r="E207" t="s">
        <v>74</v>
      </c>
      <c r="F207" t="s">
        <v>4198</v>
      </c>
      <c r="G207" t="s">
        <v>74</v>
      </c>
      <c r="H207" t="s">
        <v>74</v>
      </c>
      <c r="I207" t="s">
        <v>4199</v>
      </c>
      <c r="J207" t="s">
        <v>4200</v>
      </c>
      <c r="K207" t="s">
        <v>74</v>
      </c>
      <c r="L207" t="s">
        <v>74</v>
      </c>
      <c r="M207" t="s">
        <v>78</v>
      </c>
      <c r="N207" t="s">
        <v>338</v>
      </c>
      <c r="O207" t="s">
        <v>74</v>
      </c>
      <c r="P207" t="s">
        <v>74</v>
      </c>
      <c r="Q207" t="s">
        <v>74</v>
      </c>
      <c r="R207" t="s">
        <v>74</v>
      </c>
      <c r="S207" t="s">
        <v>74</v>
      </c>
      <c r="T207" t="s">
        <v>4201</v>
      </c>
      <c r="U207" t="s">
        <v>4202</v>
      </c>
      <c r="V207" t="s">
        <v>4203</v>
      </c>
      <c r="W207" t="s">
        <v>4204</v>
      </c>
      <c r="X207" t="s">
        <v>4205</v>
      </c>
      <c r="Y207" t="s">
        <v>4206</v>
      </c>
      <c r="Z207" t="s">
        <v>4207</v>
      </c>
      <c r="AA207" t="s">
        <v>4208</v>
      </c>
      <c r="AB207" t="s">
        <v>4209</v>
      </c>
      <c r="AC207" t="s">
        <v>4210</v>
      </c>
      <c r="AD207" t="s">
        <v>4211</v>
      </c>
      <c r="AE207" t="s">
        <v>4212</v>
      </c>
      <c r="AF207" t="s">
        <v>74</v>
      </c>
      <c r="AG207">
        <v>83</v>
      </c>
      <c r="AH207">
        <v>0</v>
      </c>
      <c r="AI207">
        <v>0</v>
      </c>
      <c r="AJ207">
        <v>0</v>
      </c>
      <c r="AK207">
        <v>0</v>
      </c>
      <c r="AL207" t="s">
        <v>87</v>
      </c>
      <c r="AM207" t="s">
        <v>88</v>
      </c>
      <c r="AN207" t="s">
        <v>89</v>
      </c>
      <c r="AO207" t="s">
        <v>4213</v>
      </c>
      <c r="AP207" t="s">
        <v>4214</v>
      </c>
      <c r="AQ207" t="s">
        <v>74</v>
      </c>
      <c r="AR207" t="s">
        <v>4215</v>
      </c>
      <c r="AS207" t="s">
        <v>4216</v>
      </c>
      <c r="AT207" t="s">
        <v>4173</v>
      </c>
      <c r="AU207">
        <v>2023</v>
      </c>
      <c r="AV207" t="s">
        <v>74</v>
      </c>
      <c r="AW207" t="s">
        <v>74</v>
      </c>
      <c r="AX207" t="s">
        <v>74</v>
      </c>
      <c r="AY207" t="s">
        <v>74</v>
      </c>
      <c r="AZ207" t="s">
        <v>74</v>
      </c>
      <c r="BA207" t="s">
        <v>74</v>
      </c>
      <c r="BB207" t="s">
        <v>74</v>
      </c>
      <c r="BC207" t="s">
        <v>74</v>
      </c>
      <c r="BD207" t="s">
        <v>74</v>
      </c>
      <c r="BE207" t="s">
        <v>4217</v>
      </c>
      <c r="BF207" t="str">
        <f>HYPERLINK("http://dx.doi.org/10.1111/1365-2745.14192","http://dx.doi.org/10.1111/1365-2745.14192")</f>
        <v>http://dx.doi.org/10.1111/1365-2745.14192</v>
      </c>
      <c r="BG207" t="s">
        <v>74</v>
      </c>
      <c r="BH207" t="s">
        <v>407</v>
      </c>
      <c r="BI207">
        <v>17</v>
      </c>
      <c r="BJ207" t="s">
        <v>4218</v>
      </c>
      <c r="BK207" t="s">
        <v>119</v>
      </c>
      <c r="BL207" t="s">
        <v>4219</v>
      </c>
      <c r="BM207" t="s">
        <v>4220</v>
      </c>
      <c r="BN207" t="s">
        <v>74</v>
      </c>
      <c r="BO207" t="s">
        <v>74</v>
      </c>
      <c r="BP207" t="s">
        <v>74</v>
      </c>
      <c r="BQ207" t="s">
        <v>74</v>
      </c>
      <c r="BR207" t="s">
        <v>99</v>
      </c>
      <c r="BS207" t="s">
        <v>4221</v>
      </c>
      <c r="BT207" t="str">
        <f>HYPERLINK("https%3A%2F%2Fwww.webofscience.com%2Fwos%2Fwoscc%2Ffull-record%2FWOS:001063294500001","View Full Record in Web of Science")</f>
        <v>View Full Record in Web of Science</v>
      </c>
    </row>
    <row r="208" spans="1:72" x14ac:dyDescent="0.15">
      <c r="A208" t="s">
        <v>72</v>
      </c>
      <c r="B208" t="s">
        <v>4222</v>
      </c>
      <c r="C208" t="s">
        <v>74</v>
      </c>
      <c r="D208" t="s">
        <v>74</v>
      </c>
      <c r="E208" t="s">
        <v>74</v>
      </c>
      <c r="F208" t="s">
        <v>4223</v>
      </c>
      <c r="G208" t="s">
        <v>74</v>
      </c>
      <c r="H208" t="s">
        <v>74</v>
      </c>
      <c r="I208" t="s">
        <v>4224</v>
      </c>
      <c r="J208" t="s">
        <v>4225</v>
      </c>
      <c r="K208" t="s">
        <v>74</v>
      </c>
      <c r="L208" t="s">
        <v>74</v>
      </c>
      <c r="M208" t="s">
        <v>78</v>
      </c>
      <c r="N208" t="s">
        <v>338</v>
      </c>
      <c r="O208" t="s">
        <v>74</v>
      </c>
      <c r="P208" t="s">
        <v>74</v>
      </c>
      <c r="Q208" t="s">
        <v>74</v>
      </c>
      <c r="R208" t="s">
        <v>74</v>
      </c>
      <c r="S208" t="s">
        <v>74</v>
      </c>
      <c r="T208" t="s">
        <v>4226</v>
      </c>
      <c r="U208" t="s">
        <v>4227</v>
      </c>
      <c r="V208" t="s">
        <v>4228</v>
      </c>
      <c r="W208" t="s">
        <v>4229</v>
      </c>
      <c r="X208" t="s">
        <v>4230</v>
      </c>
      <c r="Y208" t="s">
        <v>4231</v>
      </c>
      <c r="Z208" t="s">
        <v>4232</v>
      </c>
      <c r="AA208" t="s">
        <v>74</v>
      </c>
      <c r="AB208" t="s">
        <v>74</v>
      </c>
      <c r="AC208" t="s">
        <v>74</v>
      </c>
      <c r="AD208" t="s">
        <v>74</v>
      </c>
      <c r="AE208" t="s">
        <v>74</v>
      </c>
      <c r="AF208" t="s">
        <v>74</v>
      </c>
      <c r="AG208">
        <v>15</v>
      </c>
      <c r="AH208">
        <v>0</v>
      </c>
      <c r="AI208">
        <v>0</v>
      </c>
      <c r="AJ208">
        <v>1</v>
      </c>
      <c r="AK208">
        <v>1</v>
      </c>
      <c r="AL208" t="s">
        <v>87</v>
      </c>
      <c r="AM208" t="s">
        <v>88</v>
      </c>
      <c r="AN208" t="s">
        <v>89</v>
      </c>
      <c r="AO208" t="s">
        <v>4233</v>
      </c>
      <c r="AP208" t="s">
        <v>4234</v>
      </c>
      <c r="AQ208" t="s">
        <v>74</v>
      </c>
      <c r="AR208" t="s">
        <v>4235</v>
      </c>
      <c r="AS208" t="s">
        <v>4236</v>
      </c>
      <c r="AT208" t="s">
        <v>4173</v>
      </c>
      <c r="AU208">
        <v>2023</v>
      </c>
      <c r="AV208" t="s">
        <v>74</v>
      </c>
      <c r="AW208" t="s">
        <v>74</v>
      </c>
      <c r="AX208" t="s">
        <v>74</v>
      </c>
      <c r="AY208" t="s">
        <v>74</v>
      </c>
      <c r="AZ208" t="s">
        <v>74</v>
      </c>
      <c r="BA208" t="s">
        <v>74</v>
      </c>
      <c r="BB208" t="s">
        <v>74</v>
      </c>
      <c r="BC208" t="s">
        <v>74</v>
      </c>
      <c r="BD208" t="s">
        <v>74</v>
      </c>
      <c r="BE208" t="s">
        <v>4237</v>
      </c>
      <c r="BF208" t="str">
        <f>HYPERLINK("http://dx.doi.org/10.1111/jocd.15990","http://dx.doi.org/10.1111/jocd.15990")</f>
        <v>http://dx.doi.org/10.1111/jocd.15990</v>
      </c>
      <c r="BG208" t="s">
        <v>74</v>
      </c>
      <c r="BH208" t="s">
        <v>407</v>
      </c>
      <c r="BI208">
        <v>7</v>
      </c>
      <c r="BJ208" t="s">
        <v>2541</v>
      </c>
      <c r="BK208" t="s">
        <v>119</v>
      </c>
      <c r="BL208" t="s">
        <v>2541</v>
      </c>
      <c r="BM208" t="s">
        <v>4238</v>
      </c>
      <c r="BN208">
        <v>37694495</v>
      </c>
      <c r="BO208" t="s">
        <v>122</v>
      </c>
      <c r="BP208" t="s">
        <v>74</v>
      </c>
      <c r="BQ208" t="s">
        <v>74</v>
      </c>
      <c r="BR208" t="s">
        <v>99</v>
      </c>
      <c r="BS208" t="s">
        <v>4239</v>
      </c>
      <c r="BT208" t="str">
        <f>HYPERLINK("https%3A%2F%2Fwww.webofscience.com%2Fwos%2Fwoscc%2Ffull-record%2FWOS:001062687800001","View Full Record in Web of Science")</f>
        <v>View Full Record in Web of Science</v>
      </c>
    </row>
    <row r="209" spans="1:72" x14ac:dyDescent="0.15">
      <c r="A209" t="s">
        <v>72</v>
      </c>
      <c r="B209" t="s">
        <v>4240</v>
      </c>
      <c r="C209" t="s">
        <v>74</v>
      </c>
      <c r="D209" t="s">
        <v>74</v>
      </c>
      <c r="E209" t="s">
        <v>74</v>
      </c>
      <c r="F209" t="s">
        <v>4241</v>
      </c>
      <c r="G209" t="s">
        <v>74</v>
      </c>
      <c r="H209" t="s">
        <v>74</v>
      </c>
      <c r="I209" t="s">
        <v>4242</v>
      </c>
      <c r="J209" t="s">
        <v>4243</v>
      </c>
      <c r="K209" t="s">
        <v>74</v>
      </c>
      <c r="L209" t="s">
        <v>74</v>
      </c>
      <c r="M209" t="s">
        <v>78</v>
      </c>
      <c r="N209" t="s">
        <v>338</v>
      </c>
      <c r="O209" t="s">
        <v>74</v>
      </c>
      <c r="P209" t="s">
        <v>74</v>
      </c>
      <c r="Q209" t="s">
        <v>74</v>
      </c>
      <c r="R209" t="s">
        <v>74</v>
      </c>
      <c r="S209" t="s">
        <v>74</v>
      </c>
      <c r="T209" t="s">
        <v>4244</v>
      </c>
      <c r="U209" t="s">
        <v>4245</v>
      </c>
      <c r="V209" t="s">
        <v>4246</v>
      </c>
      <c r="W209" t="s">
        <v>4247</v>
      </c>
      <c r="X209" t="s">
        <v>4248</v>
      </c>
      <c r="Y209" t="s">
        <v>4249</v>
      </c>
      <c r="Z209" t="s">
        <v>4250</v>
      </c>
      <c r="AA209" t="s">
        <v>74</v>
      </c>
      <c r="AB209" t="s">
        <v>4251</v>
      </c>
      <c r="AC209" t="s">
        <v>4252</v>
      </c>
      <c r="AD209" t="s">
        <v>4253</v>
      </c>
      <c r="AE209" t="s">
        <v>4254</v>
      </c>
      <c r="AF209" t="s">
        <v>74</v>
      </c>
      <c r="AG209">
        <v>35</v>
      </c>
      <c r="AH209">
        <v>0</v>
      </c>
      <c r="AI209">
        <v>0</v>
      </c>
      <c r="AJ209">
        <v>1</v>
      </c>
      <c r="AK209">
        <v>1</v>
      </c>
      <c r="AL209" t="s">
        <v>87</v>
      </c>
      <c r="AM209" t="s">
        <v>88</v>
      </c>
      <c r="AN209" t="s">
        <v>89</v>
      </c>
      <c r="AO209" t="s">
        <v>4255</v>
      </c>
      <c r="AP209" t="s">
        <v>4256</v>
      </c>
      <c r="AQ209" t="s">
        <v>74</v>
      </c>
      <c r="AR209" t="s">
        <v>4257</v>
      </c>
      <c r="AS209" t="s">
        <v>4258</v>
      </c>
      <c r="AT209" t="s">
        <v>4173</v>
      </c>
      <c r="AU209">
        <v>2023</v>
      </c>
      <c r="AV209" t="s">
        <v>74</v>
      </c>
      <c r="AW209" t="s">
        <v>74</v>
      </c>
      <c r="AX209" t="s">
        <v>74</v>
      </c>
      <c r="AY209" t="s">
        <v>74</v>
      </c>
      <c r="AZ209" t="s">
        <v>74</v>
      </c>
      <c r="BA209" t="s">
        <v>74</v>
      </c>
      <c r="BB209" t="s">
        <v>74</v>
      </c>
      <c r="BC209" t="s">
        <v>74</v>
      </c>
      <c r="BD209" t="s">
        <v>74</v>
      </c>
      <c r="BE209" t="s">
        <v>4259</v>
      </c>
      <c r="BF209" t="str">
        <f>HYPERLINK("http://dx.doi.org/10.1111/jcpe.13856","http://dx.doi.org/10.1111/jcpe.13856")</f>
        <v>http://dx.doi.org/10.1111/jcpe.13856</v>
      </c>
      <c r="BG209" t="s">
        <v>74</v>
      </c>
      <c r="BH209" t="s">
        <v>407</v>
      </c>
      <c r="BI209">
        <v>14</v>
      </c>
      <c r="BJ209" t="s">
        <v>314</v>
      </c>
      <c r="BK209" t="s">
        <v>119</v>
      </c>
      <c r="BL209" t="s">
        <v>314</v>
      </c>
      <c r="BM209" t="s">
        <v>4260</v>
      </c>
      <c r="BN209">
        <v>37697491</v>
      </c>
      <c r="BO209" t="s">
        <v>122</v>
      </c>
      <c r="BP209" t="s">
        <v>74</v>
      </c>
      <c r="BQ209" t="s">
        <v>74</v>
      </c>
      <c r="BR209" t="s">
        <v>99</v>
      </c>
      <c r="BS209" t="s">
        <v>4261</v>
      </c>
      <c r="BT209" t="str">
        <f>HYPERLINK("https%3A%2F%2Fwww.webofscience.com%2Fwos%2Fwoscc%2Ffull-record%2FWOS:001067448100001","View Full Record in Web of Science")</f>
        <v>View Full Record in Web of Science</v>
      </c>
    </row>
    <row r="210" spans="1:72" x14ac:dyDescent="0.15">
      <c r="A210" t="s">
        <v>72</v>
      </c>
      <c r="B210" t="s">
        <v>4262</v>
      </c>
      <c r="C210" t="s">
        <v>74</v>
      </c>
      <c r="D210" t="s">
        <v>74</v>
      </c>
      <c r="E210" t="s">
        <v>74</v>
      </c>
      <c r="F210" t="s">
        <v>4263</v>
      </c>
      <c r="G210" t="s">
        <v>74</v>
      </c>
      <c r="H210" t="s">
        <v>74</v>
      </c>
      <c r="I210" t="s">
        <v>4264</v>
      </c>
      <c r="J210" t="s">
        <v>4265</v>
      </c>
      <c r="K210" t="s">
        <v>74</v>
      </c>
      <c r="L210" t="s">
        <v>74</v>
      </c>
      <c r="M210" t="s">
        <v>78</v>
      </c>
      <c r="N210" t="s">
        <v>338</v>
      </c>
      <c r="O210" t="s">
        <v>74</v>
      </c>
      <c r="P210" t="s">
        <v>74</v>
      </c>
      <c r="Q210" t="s">
        <v>74</v>
      </c>
      <c r="R210" t="s">
        <v>74</v>
      </c>
      <c r="S210" t="s">
        <v>74</v>
      </c>
      <c r="T210" t="s">
        <v>4266</v>
      </c>
      <c r="U210" t="s">
        <v>74</v>
      </c>
      <c r="V210" t="s">
        <v>74</v>
      </c>
      <c r="W210" t="s">
        <v>4267</v>
      </c>
      <c r="X210" t="s">
        <v>4268</v>
      </c>
      <c r="Y210" t="s">
        <v>4269</v>
      </c>
      <c r="Z210" t="s">
        <v>4270</v>
      </c>
      <c r="AA210" t="s">
        <v>74</v>
      </c>
      <c r="AB210" t="s">
        <v>4271</v>
      </c>
      <c r="AC210" t="s">
        <v>74</v>
      </c>
      <c r="AD210" t="s">
        <v>74</v>
      </c>
      <c r="AE210" t="s">
        <v>74</v>
      </c>
      <c r="AF210" t="s">
        <v>74</v>
      </c>
      <c r="AG210">
        <v>5</v>
      </c>
      <c r="AH210">
        <v>0</v>
      </c>
      <c r="AI210">
        <v>0</v>
      </c>
      <c r="AJ210">
        <v>0</v>
      </c>
      <c r="AK210">
        <v>0</v>
      </c>
      <c r="AL210" t="s">
        <v>87</v>
      </c>
      <c r="AM210" t="s">
        <v>88</v>
      </c>
      <c r="AN210" t="s">
        <v>89</v>
      </c>
      <c r="AO210" t="s">
        <v>4272</v>
      </c>
      <c r="AP210" t="s">
        <v>4273</v>
      </c>
      <c r="AQ210" t="s">
        <v>74</v>
      </c>
      <c r="AR210" t="s">
        <v>4274</v>
      </c>
      <c r="AS210" t="s">
        <v>4275</v>
      </c>
      <c r="AT210" t="s">
        <v>4173</v>
      </c>
      <c r="AU210">
        <v>2023</v>
      </c>
      <c r="AV210" t="s">
        <v>74</v>
      </c>
      <c r="AW210" t="s">
        <v>74</v>
      </c>
      <c r="AX210" t="s">
        <v>74</v>
      </c>
      <c r="AY210" t="s">
        <v>74</v>
      </c>
      <c r="AZ210" t="s">
        <v>74</v>
      </c>
      <c r="BA210" t="s">
        <v>74</v>
      </c>
      <c r="BB210" t="s">
        <v>74</v>
      </c>
      <c r="BC210" t="s">
        <v>74</v>
      </c>
      <c r="BD210" t="s">
        <v>74</v>
      </c>
      <c r="BE210" t="s">
        <v>4276</v>
      </c>
      <c r="BF210" t="str">
        <f>HYPERLINK("http://dx.doi.org/10.1002/jdd.13366","http://dx.doi.org/10.1002/jdd.13366")</f>
        <v>http://dx.doi.org/10.1002/jdd.13366</v>
      </c>
      <c r="BG210" t="s">
        <v>74</v>
      </c>
      <c r="BH210" t="s">
        <v>407</v>
      </c>
      <c r="BI210">
        <v>3</v>
      </c>
      <c r="BJ210" t="s">
        <v>314</v>
      </c>
      <c r="BK210" t="s">
        <v>119</v>
      </c>
      <c r="BL210" t="s">
        <v>314</v>
      </c>
      <c r="BM210" t="s">
        <v>4277</v>
      </c>
      <c r="BN210">
        <v>37661356</v>
      </c>
      <c r="BO210" t="s">
        <v>74</v>
      </c>
      <c r="BP210" t="s">
        <v>74</v>
      </c>
      <c r="BQ210" t="s">
        <v>74</v>
      </c>
      <c r="BR210" t="s">
        <v>99</v>
      </c>
      <c r="BS210" t="s">
        <v>4278</v>
      </c>
      <c r="BT210" t="str">
        <f>HYPERLINK("https%3A%2F%2Fwww.webofscience.com%2Fwos%2Fwoscc%2Ffull-record%2FWOS:001065296400001","View Full Record in Web of Science")</f>
        <v>View Full Record in Web of Science</v>
      </c>
    </row>
    <row r="211" spans="1:72" x14ac:dyDescent="0.15">
      <c r="A211" t="s">
        <v>72</v>
      </c>
      <c r="B211" t="s">
        <v>4279</v>
      </c>
      <c r="C211" t="s">
        <v>74</v>
      </c>
      <c r="D211" t="s">
        <v>74</v>
      </c>
      <c r="E211" t="s">
        <v>74</v>
      </c>
      <c r="F211" t="s">
        <v>4280</v>
      </c>
      <c r="G211" t="s">
        <v>74</v>
      </c>
      <c r="H211" t="s">
        <v>74</v>
      </c>
      <c r="I211" t="s">
        <v>4281</v>
      </c>
      <c r="J211" t="s">
        <v>4282</v>
      </c>
      <c r="K211" t="s">
        <v>74</v>
      </c>
      <c r="L211" t="s">
        <v>74</v>
      </c>
      <c r="M211" t="s">
        <v>78</v>
      </c>
      <c r="N211" t="s">
        <v>338</v>
      </c>
      <c r="O211" t="s">
        <v>74</v>
      </c>
      <c r="P211" t="s">
        <v>74</v>
      </c>
      <c r="Q211" t="s">
        <v>74</v>
      </c>
      <c r="R211" t="s">
        <v>74</v>
      </c>
      <c r="S211" t="s">
        <v>74</v>
      </c>
      <c r="T211" t="s">
        <v>74</v>
      </c>
      <c r="U211" t="s">
        <v>4283</v>
      </c>
      <c r="V211" t="s">
        <v>4284</v>
      </c>
      <c r="W211" t="s">
        <v>4285</v>
      </c>
      <c r="X211" t="s">
        <v>4286</v>
      </c>
      <c r="Y211" t="s">
        <v>4287</v>
      </c>
      <c r="Z211" t="s">
        <v>4288</v>
      </c>
      <c r="AA211" t="s">
        <v>74</v>
      </c>
      <c r="AB211" t="s">
        <v>4289</v>
      </c>
      <c r="AC211" t="s">
        <v>4290</v>
      </c>
      <c r="AD211" t="s">
        <v>4291</v>
      </c>
      <c r="AE211" t="s">
        <v>4292</v>
      </c>
      <c r="AF211" t="s">
        <v>74</v>
      </c>
      <c r="AG211">
        <v>64</v>
      </c>
      <c r="AH211">
        <v>0</v>
      </c>
      <c r="AI211">
        <v>0</v>
      </c>
      <c r="AJ211">
        <v>0</v>
      </c>
      <c r="AK211">
        <v>0</v>
      </c>
      <c r="AL211" t="s">
        <v>87</v>
      </c>
      <c r="AM211" t="s">
        <v>88</v>
      </c>
      <c r="AN211" t="s">
        <v>89</v>
      </c>
      <c r="AO211" t="s">
        <v>4293</v>
      </c>
      <c r="AP211" t="s">
        <v>74</v>
      </c>
      <c r="AQ211" t="s">
        <v>74</v>
      </c>
      <c r="AR211" t="s">
        <v>4294</v>
      </c>
      <c r="AS211" t="s">
        <v>4295</v>
      </c>
      <c r="AT211" t="s">
        <v>4173</v>
      </c>
      <c r="AU211">
        <v>2023</v>
      </c>
      <c r="AV211" t="s">
        <v>74</v>
      </c>
      <c r="AW211" t="s">
        <v>74</v>
      </c>
      <c r="AX211" t="s">
        <v>74</v>
      </c>
      <c r="AY211" t="s">
        <v>74</v>
      </c>
      <c r="AZ211" t="s">
        <v>74</v>
      </c>
      <c r="BA211" t="s">
        <v>74</v>
      </c>
      <c r="BB211" t="s">
        <v>74</v>
      </c>
      <c r="BC211" t="s">
        <v>74</v>
      </c>
      <c r="BD211" t="s">
        <v>74</v>
      </c>
      <c r="BE211" t="s">
        <v>4296</v>
      </c>
      <c r="BF211" t="str">
        <f>HYPERLINK("http://dx.doi.org/10.1002/psp4.13029","http://dx.doi.org/10.1002/psp4.13029")</f>
        <v>http://dx.doi.org/10.1002/psp4.13029</v>
      </c>
      <c r="BG211" t="s">
        <v>74</v>
      </c>
      <c r="BH211" t="s">
        <v>407</v>
      </c>
      <c r="BI211">
        <v>18</v>
      </c>
      <c r="BJ211" t="s">
        <v>299</v>
      </c>
      <c r="BK211" t="s">
        <v>119</v>
      </c>
      <c r="BL211" t="s">
        <v>299</v>
      </c>
      <c r="BM211" t="s">
        <v>4297</v>
      </c>
      <c r="BN211">
        <v>37621010</v>
      </c>
      <c r="BO211" t="s">
        <v>234</v>
      </c>
      <c r="BP211" t="s">
        <v>74</v>
      </c>
      <c r="BQ211" t="s">
        <v>74</v>
      </c>
      <c r="BR211" t="s">
        <v>99</v>
      </c>
      <c r="BS211" t="s">
        <v>4298</v>
      </c>
      <c r="BT211" t="str">
        <f>HYPERLINK("https%3A%2F%2Fwww.webofscience.com%2Fwos%2Fwoscc%2Ffull-record%2FWOS:001066396400001","View Full Record in Web of Science")</f>
        <v>View Full Record in Web of Science</v>
      </c>
    </row>
    <row r="212" spans="1:72" x14ac:dyDescent="0.15">
      <c r="A212" t="s">
        <v>72</v>
      </c>
      <c r="B212" t="s">
        <v>4299</v>
      </c>
      <c r="C212" t="s">
        <v>74</v>
      </c>
      <c r="D212" t="s">
        <v>74</v>
      </c>
      <c r="E212" t="s">
        <v>74</v>
      </c>
      <c r="F212" t="s">
        <v>4300</v>
      </c>
      <c r="G212" t="s">
        <v>74</v>
      </c>
      <c r="H212" t="s">
        <v>74</v>
      </c>
      <c r="I212" t="s">
        <v>4301</v>
      </c>
      <c r="J212" t="s">
        <v>4302</v>
      </c>
      <c r="K212" t="s">
        <v>74</v>
      </c>
      <c r="L212" t="s">
        <v>74</v>
      </c>
      <c r="M212" t="s">
        <v>78</v>
      </c>
      <c r="N212" t="s">
        <v>338</v>
      </c>
      <c r="O212" t="s">
        <v>74</v>
      </c>
      <c r="P212" t="s">
        <v>74</v>
      </c>
      <c r="Q212" t="s">
        <v>74</v>
      </c>
      <c r="R212" t="s">
        <v>74</v>
      </c>
      <c r="S212" t="s">
        <v>74</v>
      </c>
      <c r="T212" t="s">
        <v>4303</v>
      </c>
      <c r="U212" t="s">
        <v>4304</v>
      </c>
      <c r="V212" t="s">
        <v>4305</v>
      </c>
      <c r="W212" t="s">
        <v>4306</v>
      </c>
      <c r="X212" t="s">
        <v>4307</v>
      </c>
      <c r="Y212" t="s">
        <v>4308</v>
      </c>
      <c r="Z212" t="s">
        <v>4309</v>
      </c>
      <c r="AA212" t="s">
        <v>74</v>
      </c>
      <c r="AB212" t="s">
        <v>4310</v>
      </c>
      <c r="AC212" t="s">
        <v>4311</v>
      </c>
      <c r="AD212" t="s">
        <v>4312</v>
      </c>
      <c r="AE212" t="s">
        <v>4311</v>
      </c>
      <c r="AF212" t="s">
        <v>74</v>
      </c>
      <c r="AG212">
        <v>31</v>
      </c>
      <c r="AH212">
        <v>0</v>
      </c>
      <c r="AI212">
        <v>0</v>
      </c>
      <c r="AJ212">
        <v>0</v>
      </c>
      <c r="AK212">
        <v>0</v>
      </c>
      <c r="AL212" t="s">
        <v>87</v>
      </c>
      <c r="AM212" t="s">
        <v>88</v>
      </c>
      <c r="AN212" t="s">
        <v>89</v>
      </c>
      <c r="AO212" t="s">
        <v>4313</v>
      </c>
      <c r="AP212" t="s">
        <v>4314</v>
      </c>
      <c r="AQ212" t="s">
        <v>74</v>
      </c>
      <c r="AR212" t="s">
        <v>4315</v>
      </c>
      <c r="AS212" t="s">
        <v>4316</v>
      </c>
      <c r="AT212" t="s">
        <v>4173</v>
      </c>
      <c r="AU212">
        <v>2023</v>
      </c>
      <c r="AV212" t="s">
        <v>74</v>
      </c>
      <c r="AW212" t="s">
        <v>74</v>
      </c>
      <c r="AX212" t="s">
        <v>74</v>
      </c>
      <c r="AY212" t="s">
        <v>74</v>
      </c>
      <c r="AZ212" t="s">
        <v>74</v>
      </c>
      <c r="BA212" t="s">
        <v>74</v>
      </c>
      <c r="BB212" t="s">
        <v>74</v>
      </c>
      <c r="BC212" t="s">
        <v>74</v>
      </c>
      <c r="BD212" t="s">
        <v>74</v>
      </c>
      <c r="BE212" t="s">
        <v>4317</v>
      </c>
      <c r="BF212" t="str">
        <f>HYPERLINK("http://dx.doi.org/10.1111/bjh.19103","http://dx.doi.org/10.1111/bjh.19103")</f>
        <v>http://dx.doi.org/10.1111/bjh.19103</v>
      </c>
      <c r="BG212" t="s">
        <v>74</v>
      </c>
      <c r="BH212" t="s">
        <v>407</v>
      </c>
      <c r="BI212">
        <v>8</v>
      </c>
      <c r="BJ212" t="s">
        <v>1625</v>
      </c>
      <c r="BK212" t="s">
        <v>119</v>
      </c>
      <c r="BL212" t="s">
        <v>1625</v>
      </c>
      <c r="BM212" t="s">
        <v>4318</v>
      </c>
      <c r="BN212">
        <v>37694757</v>
      </c>
      <c r="BO212" t="s">
        <v>122</v>
      </c>
      <c r="BP212" t="s">
        <v>74</v>
      </c>
      <c r="BQ212" t="s">
        <v>74</v>
      </c>
      <c r="BR212" t="s">
        <v>99</v>
      </c>
      <c r="BS212" t="s">
        <v>4319</v>
      </c>
      <c r="BT212" t="str">
        <f>HYPERLINK("https%3A%2F%2Fwww.webofscience.com%2Fwos%2Fwoscc%2Ffull-record%2FWOS:001066105600001","View Full Record in Web of Science")</f>
        <v>View Full Record in Web of Science</v>
      </c>
    </row>
    <row r="213" spans="1:72" x14ac:dyDescent="0.15">
      <c r="A213" t="s">
        <v>72</v>
      </c>
      <c r="B213" t="s">
        <v>4320</v>
      </c>
      <c r="C213" t="s">
        <v>74</v>
      </c>
      <c r="D213" t="s">
        <v>74</v>
      </c>
      <c r="E213" t="s">
        <v>74</v>
      </c>
      <c r="F213" t="s">
        <v>4321</v>
      </c>
      <c r="G213" t="s">
        <v>74</v>
      </c>
      <c r="H213" t="s">
        <v>74</v>
      </c>
      <c r="I213" t="s">
        <v>4322</v>
      </c>
      <c r="J213" t="s">
        <v>3936</v>
      </c>
      <c r="K213" t="s">
        <v>74</v>
      </c>
      <c r="L213" t="s">
        <v>74</v>
      </c>
      <c r="M213" t="s">
        <v>78</v>
      </c>
      <c r="N213" t="s">
        <v>338</v>
      </c>
      <c r="O213" t="s">
        <v>74</v>
      </c>
      <c r="P213" t="s">
        <v>74</v>
      </c>
      <c r="Q213" t="s">
        <v>74</v>
      </c>
      <c r="R213" t="s">
        <v>74</v>
      </c>
      <c r="S213" t="s">
        <v>74</v>
      </c>
      <c r="T213" t="s">
        <v>4323</v>
      </c>
      <c r="U213" t="s">
        <v>4324</v>
      </c>
      <c r="V213" t="s">
        <v>4325</v>
      </c>
      <c r="W213" t="s">
        <v>4326</v>
      </c>
      <c r="X213" t="s">
        <v>4327</v>
      </c>
      <c r="Y213" t="s">
        <v>4328</v>
      </c>
      <c r="Z213" t="s">
        <v>4329</v>
      </c>
      <c r="AA213" t="s">
        <v>74</v>
      </c>
      <c r="AB213" t="s">
        <v>4330</v>
      </c>
      <c r="AC213" t="s">
        <v>4331</v>
      </c>
      <c r="AD213" t="s">
        <v>4332</v>
      </c>
      <c r="AE213" t="s">
        <v>4333</v>
      </c>
      <c r="AF213" t="s">
        <v>74</v>
      </c>
      <c r="AG213">
        <v>54</v>
      </c>
      <c r="AH213">
        <v>0</v>
      </c>
      <c r="AI213">
        <v>0</v>
      </c>
      <c r="AJ213">
        <v>0</v>
      </c>
      <c r="AK213">
        <v>0</v>
      </c>
      <c r="AL213" t="s">
        <v>87</v>
      </c>
      <c r="AM213" t="s">
        <v>88</v>
      </c>
      <c r="AN213" t="s">
        <v>89</v>
      </c>
      <c r="AO213" t="s">
        <v>3947</v>
      </c>
      <c r="AP213" t="s">
        <v>3948</v>
      </c>
      <c r="AQ213" t="s">
        <v>74</v>
      </c>
      <c r="AR213" t="s">
        <v>3949</v>
      </c>
      <c r="AS213" t="s">
        <v>3950</v>
      </c>
      <c r="AT213" t="s">
        <v>4173</v>
      </c>
      <c r="AU213">
        <v>2023</v>
      </c>
      <c r="AV213" t="s">
        <v>74</v>
      </c>
      <c r="AW213" t="s">
        <v>74</v>
      </c>
      <c r="AX213" t="s">
        <v>74</v>
      </c>
      <c r="AY213" t="s">
        <v>74</v>
      </c>
      <c r="AZ213" t="s">
        <v>74</v>
      </c>
      <c r="BA213" t="s">
        <v>74</v>
      </c>
      <c r="BB213" t="s">
        <v>74</v>
      </c>
      <c r="BC213" t="s">
        <v>74</v>
      </c>
      <c r="BD213" t="s">
        <v>74</v>
      </c>
      <c r="BE213" t="s">
        <v>4334</v>
      </c>
      <c r="BF213" t="str">
        <f>HYPERLINK("http://dx.doi.org/10.1002/pc.27728","http://dx.doi.org/10.1002/pc.27728")</f>
        <v>http://dx.doi.org/10.1002/pc.27728</v>
      </c>
      <c r="BG213" t="s">
        <v>74</v>
      </c>
      <c r="BH213" t="s">
        <v>407</v>
      </c>
      <c r="BI213">
        <v>14</v>
      </c>
      <c r="BJ213" t="s">
        <v>3952</v>
      </c>
      <c r="BK213" t="s">
        <v>119</v>
      </c>
      <c r="BL213" t="s">
        <v>3953</v>
      </c>
      <c r="BM213" t="s">
        <v>4335</v>
      </c>
      <c r="BN213" t="s">
        <v>74</v>
      </c>
      <c r="BO213" t="s">
        <v>74</v>
      </c>
      <c r="BP213" t="s">
        <v>74</v>
      </c>
      <c r="BQ213" t="s">
        <v>74</v>
      </c>
      <c r="BR213" t="s">
        <v>99</v>
      </c>
      <c r="BS213" t="s">
        <v>4336</v>
      </c>
      <c r="BT213" t="str">
        <f>HYPERLINK("https%3A%2F%2Fwww.webofscience.com%2Fwos%2Fwoscc%2Ffull-record%2FWOS:001065241100001","View Full Record in Web of Science")</f>
        <v>View Full Record in Web of Science</v>
      </c>
    </row>
    <row r="214" spans="1:72" x14ac:dyDescent="0.15">
      <c r="A214" t="s">
        <v>72</v>
      </c>
      <c r="B214" t="s">
        <v>4337</v>
      </c>
      <c r="C214" t="s">
        <v>74</v>
      </c>
      <c r="D214" t="s">
        <v>74</v>
      </c>
      <c r="E214" t="s">
        <v>74</v>
      </c>
      <c r="F214" t="s">
        <v>4338</v>
      </c>
      <c r="G214" t="s">
        <v>74</v>
      </c>
      <c r="H214" t="s">
        <v>74</v>
      </c>
      <c r="I214" t="s">
        <v>4339</v>
      </c>
      <c r="J214" t="s">
        <v>4340</v>
      </c>
      <c r="K214" t="s">
        <v>74</v>
      </c>
      <c r="L214" t="s">
        <v>74</v>
      </c>
      <c r="M214" t="s">
        <v>78</v>
      </c>
      <c r="N214" t="s">
        <v>338</v>
      </c>
      <c r="O214" t="s">
        <v>74</v>
      </c>
      <c r="P214" t="s">
        <v>74</v>
      </c>
      <c r="Q214" t="s">
        <v>74</v>
      </c>
      <c r="R214" t="s">
        <v>74</v>
      </c>
      <c r="S214" t="s">
        <v>74</v>
      </c>
      <c r="T214" t="s">
        <v>4341</v>
      </c>
      <c r="U214" t="s">
        <v>4342</v>
      </c>
      <c r="V214" t="s">
        <v>4343</v>
      </c>
      <c r="W214" t="s">
        <v>4344</v>
      </c>
      <c r="X214" t="s">
        <v>4345</v>
      </c>
      <c r="Y214" t="s">
        <v>4346</v>
      </c>
      <c r="Z214" t="s">
        <v>4347</v>
      </c>
      <c r="AA214" t="s">
        <v>4348</v>
      </c>
      <c r="AB214" t="s">
        <v>4349</v>
      </c>
      <c r="AC214" t="s">
        <v>4350</v>
      </c>
      <c r="AD214" t="s">
        <v>4351</v>
      </c>
      <c r="AE214" t="s">
        <v>4352</v>
      </c>
      <c r="AF214" t="s">
        <v>74</v>
      </c>
      <c r="AG214">
        <v>47</v>
      </c>
      <c r="AH214">
        <v>0</v>
      </c>
      <c r="AI214">
        <v>0</v>
      </c>
      <c r="AJ214">
        <v>2</v>
      </c>
      <c r="AK214">
        <v>2</v>
      </c>
      <c r="AL214" t="s">
        <v>87</v>
      </c>
      <c r="AM214" t="s">
        <v>88</v>
      </c>
      <c r="AN214" t="s">
        <v>89</v>
      </c>
      <c r="AO214" t="s">
        <v>4353</v>
      </c>
      <c r="AP214" t="s">
        <v>4354</v>
      </c>
      <c r="AQ214" t="s">
        <v>74</v>
      </c>
      <c r="AR214" t="s">
        <v>4355</v>
      </c>
      <c r="AS214" t="s">
        <v>4356</v>
      </c>
      <c r="AT214" t="s">
        <v>4173</v>
      </c>
      <c r="AU214">
        <v>2023</v>
      </c>
      <c r="AV214" t="s">
        <v>74</v>
      </c>
      <c r="AW214" t="s">
        <v>74</v>
      </c>
      <c r="AX214" t="s">
        <v>74</v>
      </c>
      <c r="AY214" t="s">
        <v>74</v>
      </c>
      <c r="AZ214" t="s">
        <v>74</v>
      </c>
      <c r="BA214" t="s">
        <v>74</v>
      </c>
      <c r="BB214" t="s">
        <v>74</v>
      </c>
      <c r="BC214" t="s">
        <v>74</v>
      </c>
      <c r="BD214" t="s">
        <v>74</v>
      </c>
      <c r="BE214" t="s">
        <v>4357</v>
      </c>
      <c r="BF214" t="str">
        <f>HYPERLINK("http://dx.doi.org/10.1002/ijc.34710","http://dx.doi.org/10.1002/ijc.34710")</f>
        <v>http://dx.doi.org/10.1002/ijc.34710</v>
      </c>
      <c r="BG214" t="s">
        <v>74</v>
      </c>
      <c r="BH214" t="s">
        <v>407</v>
      </c>
      <c r="BI214">
        <v>14</v>
      </c>
      <c r="BJ214" t="s">
        <v>789</v>
      </c>
      <c r="BK214" t="s">
        <v>119</v>
      </c>
      <c r="BL214" t="s">
        <v>789</v>
      </c>
      <c r="BM214" t="s">
        <v>4358</v>
      </c>
      <c r="BN214">
        <v>37694289</v>
      </c>
      <c r="BO214" t="s">
        <v>122</v>
      </c>
      <c r="BP214" t="s">
        <v>74</v>
      </c>
      <c r="BQ214" t="s">
        <v>74</v>
      </c>
      <c r="BR214" t="s">
        <v>99</v>
      </c>
      <c r="BS214" t="s">
        <v>4359</v>
      </c>
      <c r="BT214" t="str">
        <f>HYPERLINK("https%3A%2F%2Fwww.webofscience.com%2Fwos%2Fwoscc%2Ffull-record%2FWOS:001068053800001","View Full Record in Web of Science")</f>
        <v>View Full Record in Web of Science</v>
      </c>
    </row>
    <row r="215" spans="1:72" x14ac:dyDescent="0.15">
      <c r="A215" t="s">
        <v>72</v>
      </c>
      <c r="B215" t="s">
        <v>4360</v>
      </c>
      <c r="C215" t="s">
        <v>74</v>
      </c>
      <c r="D215" t="s">
        <v>74</v>
      </c>
      <c r="E215" t="s">
        <v>74</v>
      </c>
      <c r="F215" t="s">
        <v>4361</v>
      </c>
      <c r="G215" t="s">
        <v>74</v>
      </c>
      <c r="H215" t="s">
        <v>74</v>
      </c>
      <c r="I215" t="s">
        <v>4362</v>
      </c>
      <c r="J215" t="s">
        <v>4363</v>
      </c>
      <c r="K215" t="s">
        <v>74</v>
      </c>
      <c r="L215" t="s">
        <v>74</v>
      </c>
      <c r="M215" t="s">
        <v>78</v>
      </c>
      <c r="N215" t="s">
        <v>1297</v>
      </c>
      <c r="O215" t="s">
        <v>74</v>
      </c>
      <c r="P215" t="s">
        <v>74</v>
      </c>
      <c r="Q215" t="s">
        <v>74</v>
      </c>
      <c r="R215" t="s">
        <v>74</v>
      </c>
      <c r="S215" t="s">
        <v>74</v>
      </c>
      <c r="T215" t="s">
        <v>74</v>
      </c>
      <c r="U215" t="s">
        <v>74</v>
      </c>
      <c r="V215" t="s">
        <v>74</v>
      </c>
      <c r="W215" t="s">
        <v>4364</v>
      </c>
      <c r="X215" t="s">
        <v>4365</v>
      </c>
      <c r="Y215" t="s">
        <v>4366</v>
      </c>
      <c r="Z215" t="s">
        <v>4367</v>
      </c>
      <c r="AA215" t="s">
        <v>74</v>
      </c>
      <c r="AB215" t="s">
        <v>74</v>
      </c>
      <c r="AC215" t="s">
        <v>4368</v>
      </c>
      <c r="AD215" t="s">
        <v>4369</v>
      </c>
      <c r="AE215" t="s">
        <v>4370</v>
      </c>
      <c r="AF215" t="s">
        <v>74</v>
      </c>
      <c r="AG215">
        <v>5</v>
      </c>
      <c r="AH215">
        <v>0</v>
      </c>
      <c r="AI215">
        <v>0</v>
      </c>
      <c r="AJ215">
        <v>0</v>
      </c>
      <c r="AK215">
        <v>0</v>
      </c>
      <c r="AL215" t="s">
        <v>87</v>
      </c>
      <c r="AM215" t="s">
        <v>88</v>
      </c>
      <c r="AN215" t="s">
        <v>89</v>
      </c>
      <c r="AO215" t="s">
        <v>4371</v>
      </c>
      <c r="AP215" t="s">
        <v>4372</v>
      </c>
      <c r="AQ215" t="s">
        <v>74</v>
      </c>
      <c r="AR215" t="s">
        <v>4373</v>
      </c>
      <c r="AS215" t="s">
        <v>4374</v>
      </c>
      <c r="AT215" t="s">
        <v>4173</v>
      </c>
      <c r="AU215">
        <v>2023</v>
      </c>
      <c r="AV215" t="s">
        <v>74</v>
      </c>
      <c r="AW215" t="s">
        <v>74</v>
      </c>
      <c r="AX215" t="s">
        <v>74</v>
      </c>
      <c r="AY215" t="s">
        <v>74</v>
      </c>
      <c r="AZ215" t="s">
        <v>74</v>
      </c>
      <c r="BA215" t="s">
        <v>74</v>
      </c>
      <c r="BB215" t="s">
        <v>74</v>
      </c>
      <c r="BC215" t="s">
        <v>74</v>
      </c>
      <c r="BD215" t="s">
        <v>74</v>
      </c>
      <c r="BE215" t="s">
        <v>4375</v>
      </c>
      <c r="BF215" t="str">
        <f>HYPERLINK("http://dx.doi.org/10.1111/dmcn.15752","http://dx.doi.org/10.1111/dmcn.15752")</f>
        <v>http://dx.doi.org/10.1111/dmcn.15752</v>
      </c>
      <c r="BG215" t="s">
        <v>74</v>
      </c>
      <c r="BH215" t="s">
        <v>407</v>
      </c>
      <c r="BI215">
        <v>2</v>
      </c>
      <c r="BJ215" t="s">
        <v>4376</v>
      </c>
      <c r="BK215" t="s">
        <v>119</v>
      </c>
      <c r="BL215" t="s">
        <v>4377</v>
      </c>
      <c r="BM215" t="s">
        <v>4378</v>
      </c>
      <c r="BN215">
        <v>37697819</v>
      </c>
      <c r="BO215" t="s">
        <v>74</v>
      </c>
      <c r="BP215" t="s">
        <v>74</v>
      </c>
      <c r="BQ215" t="s">
        <v>74</v>
      </c>
      <c r="BR215" t="s">
        <v>99</v>
      </c>
      <c r="BS215" t="s">
        <v>4379</v>
      </c>
      <c r="BT215" t="str">
        <f>HYPERLINK("https%3A%2F%2Fwww.webofscience.com%2Fwos%2Fwoscc%2Ffull-record%2FWOS:001066338800001","View Full Record in Web of Science")</f>
        <v>View Full Record in Web of Science</v>
      </c>
    </row>
    <row r="216" spans="1:72" x14ac:dyDescent="0.15">
      <c r="A216" t="s">
        <v>72</v>
      </c>
      <c r="B216" t="s">
        <v>4380</v>
      </c>
      <c r="C216" t="s">
        <v>74</v>
      </c>
      <c r="D216" t="s">
        <v>74</v>
      </c>
      <c r="E216" t="s">
        <v>74</v>
      </c>
      <c r="F216" t="s">
        <v>4381</v>
      </c>
      <c r="G216" t="s">
        <v>74</v>
      </c>
      <c r="H216" t="s">
        <v>74</v>
      </c>
      <c r="I216" t="s">
        <v>4382</v>
      </c>
      <c r="J216" t="s">
        <v>4383</v>
      </c>
      <c r="K216" t="s">
        <v>74</v>
      </c>
      <c r="L216" t="s">
        <v>74</v>
      </c>
      <c r="M216" t="s">
        <v>78</v>
      </c>
      <c r="N216" t="s">
        <v>338</v>
      </c>
      <c r="O216" t="s">
        <v>74</v>
      </c>
      <c r="P216" t="s">
        <v>74</v>
      </c>
      <c r="Q216" t="s">
        <v>74</v>
      </c>
      <c r="R216" t="s">
        <v>74</v>
      </c>
      <c r="S216" t="s">
        <v>74</v>
      </c>
      <c r="T216" t="s">
        <v>4384</v>
      </c>
      <c r="U216" t="s">
        <v>4385</v>
      </c>
      <c r="V216" t="s">
        <v>4386</v>
      </c>
      <c r="W216" t="s">
        <v>4387</v>
      </c>
      <c r="X216" t="s">
        <v>4388</v>
      </c>
      <c r="Y216" t="s">
        <v>4389</v>
      </c>
      <c r="Z216" t="s">
        <v>4390</v>
      </c>
      <c r="AA216" t="s">
        <v>74</v>
      </c>
      <c r="AB216" t="s">
        <v>4391</v>
      </c>
      <c r="AC216" t="s">
        <v>4392</v>
      </c>
      <c r="AD216" t="s">
        <v>4393</v>
      </c>
      <c r="AE216" t="s">
        <v>4394</v>
      </c>
      <c r="AF216" t="s">
        <v>74</v>
      </c>
      <c r="AG216">
        <v>71</v>
      </c>
      <c r="AH216">
        <v>0</v>
      </c>
      <c r="AI216">
        <v>0</v>
      </c>
      <c r="AJ216">
        <v>2</v>
      </c>
      <c r="AK216">
        <v>2</v>
      </c>
      <c r="AL216" t="s">
        <v>87</v>
      </c>
      <c r="AM216" t="s">
        <v>88</v>
      </c>
      <c r="AN216" t="s">
        <v>89</v>
      </c>
      <c r="AO216" t="s">
        <v>4395</v>
      </c>
      <c r="AP216" t="s">
        <v>4396</v>
      </c>
      <c r="AQ216" t="s">
        <v>74</v>
      </c>
      <c r="AR216" t="s">
        <v>4397</v>
      </c>
      <c r="AS216" t="s">
        <v>4398</v>
      </c>
      <c r="AT216" t="s">
        <v>4173</v>
      </c>
      <c r="AU216">
        <v>2023</v>
      </c>
      <c r="AV216" t="s">
        <v>74</v>
      </c>
      <c r="AW216" t="s">
        <v>74</v>
      </c>
      <c r="AX216" t="s">
        <v>74</v>
      </c>
      <c r="AY216" t="s">
        <v>74</v>
      </c>
      <c r="AZ216" t="s">
        <v>74</v>
      </c>
      <c r="BA216" t="s">
        <v>74</v>
      </c>
      <c r="BB216" t="s">
        <v>74</v>
      </c>
      <c r="BC216" t="s">
        <v>74</v>
      </c>
      <c r="BD216" t="s">
        <v>74</v>
      </c>
      <c r="BE216" t="s">
        <v>4399</v>
      </c>
      <c r="BF216" t="str">
        <f>HYPERLINK("http://dx.doi.org/10.1111/jpn.13881","http://dx.doi.org/10.1111/jpn.13881")</f>
        <v>http://dx.doi.org/10.1111/jpn.13881</v>
      </c>
      <c r="BG216" t="s">
        <v>74</v>
      </c>
      <c r="BH216" t="s">
        <v>407</v>
      </c>
      <c r="BI216">
        <v>11</v>
      </c>
      <c r="BJ216" t="s">
        <v>4400</v>
      </c>
      <c r="BK216" t="s">
        <v>119</v>
      </c>
      <c r="BL216" t="s">
        <v>4401</v>
      </c>
      <c r="BM216" t="s">
        <v>4402</v>
      </c>
      <c r="BN216">
        <v>37697679</v>
      </c>
      <c r="BO216" t="s">
        <v>74</v>
      </c>
      <c r="BP216" t="s">
        <v>74</v>
      </c>
      <c r="BQ216" t="s">
        <v>74</v>
      </c>
      <c r="BR216" t="s">
        <v>99</v>
      </c>
      <c r="BS216" t="s">
        <v>4403</v>
      </c>
      <c r="BT216" t="str">
        <f>HYPERLINK("https%3A%2F%2Fwww.webofscience.com%2Fwos%2Fwoscc%2Ffull-record%2FWOS:001065675700001","View Full Record in Web of Science")</f>
        <v>View Full Record in Web of Science</v>
      </c>
    </row>
    <row r="217" spans="1:72" x14ac:dyDescent="0.15">
      <c r="A217" t="s">
        <v>72</v>
      </c>
      <c r="B217" t="s">
        <v>4404</v>
      </c>
      <c r="C217" t="s">
        <v>74</v>
      </c>
      <c r="D217" t="s">
        <v>74</v>
      </c>
      <c r="E217" t="s">
        <v>74</v>
      </c>
      <c r="F217" t="s">
        <v>4405</v>
      </c>
      <c r="G217" t="s">
        <v>74</v>
      </c>
      <c r="H217" t="s">
        <v>74</v>
      </c>
      <c r="I217" t="s">
        <v>4406</v>
      </c>
      <c r="J217" t="s">
        <v>4407</v>
      </c>
      <c r="K217" t="s">
        <v>74</v>
      </c>
      <c r="L217" t="s">
        <v>74</v>
      </c>
      <c r="M217" t="s">
        <v>78</v>
      </c>
      <c r="N217" t="s">
        <v>594</v>
      </c>
      <c r="O217" t="s">
        <v>74</v>
      </c>
      <c r="P217" t="s">
        <v>74</v>
      </c>
      <c r="Q217" t="s">
        <v>74</v>
      </c>
      <c r="R217" t="s">
        <v>74</v>
      </c>
      <c r="S217" t="s">
        <v>74</v>
      </c>
      <c r="T217" t="s">
        <v>4408</v>
      </c>
      <c r="U217" t="s">
        <v>4409</v>
      </c>
      <c r="V217" t="s">
        <v>4410</v>
      </c>
      <c r="W217" t="s">
        <v>4411</v>
      </c>
      <c r="X217" t="s">
        <v>4412</v>
      </c>
      <c r="Y217" t="s">
        <v>4413</v>
      </c>
      <c r="Z217" t="s">
        <v>4414</v>
      </c>
      <c r="AA217" t="s">
        <v>74</v>
      </c>
      <c r="AB217" t="s">
        <v>74</v>
      </c>
      <c r="AC217" t="s">
        <v>4415</v>
      </c>
      <c r="AD217" t="s">
        <v>4416</v>
      </c>
      <c r="AE217" t="s">
        <v>4415</v>
      </c>
      <c r="AF217" t="s">
        <v>74</v>
      </c>
      <c r="AG217">
        <v>108</v>
      </c>
      <c r="AH217">
        <v>0</v>
      </c>
      <c r="AI217">
        <v>0</v>
      </c>
      <c r="AJ217">
        <v>0</v>
      </c>
      <c r="AK217">
        <v>0</v>
      </c>
      <c r="AL217" t="s">
        <v>87</v>
      </c>
      <c r="AM217" t="s">
        <v>88</v>
      </c>
      <c r="AN217" t="s">
        <v>89</v>
      </c>
      <c r="AO217" t="s">
        <v>4417</v>
      </c>
      <c r="AP217" t="s">
        <v>4418</v>
      </c>
      <c r="AQ217" t="s">
        <v>74</v>
      </c>
      <c r="AR217" t="s">
        <v>4419</v>
      </c>
      <c r="AS217" t="s">
        <v>4420</v>
      </c>
      <c r="AT217" t="s">
        <v>4173</v>
      </c>
      <c r="AU217">
        <v>2023</v>
      </c>
      <c r="AV217" t="s">
        <v>74</v>
      </c>
      <c r="AW217" t="s">
        <v>74</v>
      </c>
      <c r="AX217" t="s">
        <v>74</v>
      </c>
      <c r="AY217" t="s">
        <v>74</v>
      </c>
      <c r="AZ217" t="s">
        <v>74</v>
      </c>
      <c r="BA217" t="s">
        <v>74</v>
      </c>
      <c r="BB217" t="s">
        <v>74</v>
      </c>
      <c r="BC217" t="s">
        <v>74</v>
      </c>
      <c r="BD217" t="s">
        <v>74</v>
      </c>
      <c r="BE217" t="s">
        <v>4421</v>
      </c>
      <c r="BF217" t="str">
        <f>HYPERLINK("http://dx.doi.org/10.1111/raq.12847","http://dx.doi.org/10.1111/raq.12847")</f>
        <v>http://dx.doi.org/10.1111/raq.12847</v>
      </c>
      <c r="BG217" t="s">
        <v>74</v>
      </c>
      <c r="BH217" t="s">
        <v>407</v>
      </c>
      <c r="BI217">
        <v>18</v>
      </c>
      <c r="BJ217" t="s">
        <v>4422</v>
      </c>
      <c r="BK217" t="s">
        <v>119</v>
      </c>
      <c r="BL217" t="s">
        <v>4422</v>
      </c>
      <c r="BM217" t="s">
        <v>4423</v>
      </c>
      <c r="BN217" t="s">
        <v>74</v>
      </c>
      <c r="BO217" t="s">
        <v>122</v>
      </c>
      <c r="BP217" t="s">
        <v>74</v>
      </c>
      <c r="BQ217" t="s">
        <v>74</v>
      </c>
      <c r="BR217" t="s">
        <v>99</v>
      </c>
      <c r="BS217" t="s">
        <v>4424</v>
      </c>
      <c r="BT217" t="str">
        <f>HYPERLINK("https%3A%2F%2Fwww.webofscience.com%2Fwos%2Fwoscc%2Ffull-record%2FWOS:001065341100001","View Full Record in Web of Science")</f>
        <v>View Full Record in Web of Science</v>
      </c>
    </row>
    <row r="218" spans="1:72" x14ac:dyDescent="0.15">
      <c r="A218" t="s">
        <v>72</v>
      </c>
      <c r="B218" t="s">
        <v>4425</v>
      </c>
      <c r="C218" t="s">
        <v>74</v>
      </c>
      <c r="D218" t="s">
        <v>74</v>
      </c>
      <c r="E218" t="s">
        <v>74</v>
      </c>
      <c r="F218" t="s">
        <v>4426</v>
      </c>
      <c r="G218" t="s">
        <v>74</v>
      </c>
      <c r="H218" t="s">
        <v>74</v>
      </c>
      <c r="I218" t="s">
        <v>4427</v>
      </c>
      <c r="J218" t="s">
        <v>4428</v>
      </c>
      <c r="K218" t="s">
        <v>74</v>
      </c>
      <c r="L218" t="s">
        <v>74</v>
      </c>
      <c r="M218" t="s">
        <v>78</v>
      </c>
      <c r="N218" t="s">
        <v>338</v>
      </c>
      <c r="O218" t="s">
        <v>74</v>
      </c>
      <c r="P218" t="s">
        <v>74</v>
      </c>
      <c r="Q218" t="s">
        <v>74</v>
      </c>
      <c r="R218" t="s">
        <v>74</v>
      </c>
      <c r="S218" t="s">
        <v>74</v>
      </c>
      <c r="T218" t="s">
        <v>4429</v>
      </c>
      <c r="U218" t="s">
        <v>4430</v>
      </c>
      <c r="V218" t="s">
        <v>4431</v>
      </c>
      <c r="W218" t="s">
        <v>4432</v>
      </c>
      <c r="X218" t="s">
        <v>4433</v>
      </c>
      <c r="Y218" t="s">
        <v>4434</v>
      </c>
      <c r="Z218" t="s">
        <v>4435</v>
      </c>
      <c r="AA218" t="s">
        <v>74</v>
      </c>
      <c r="AB218" t="s">
        <v>74</v>
      </c>
      <c r="AC218" t="s">
        <v>74</v>
      </c>
      <c r="AD218" t="s">
        <v>74</v>
      </c>
      <c r="AE218" t="s">
        <v>74</v>
      </c>
      <c r="AF218" t="s">
        <v>74</v>
      </c>
      <c r="AG218">
        <v>61</v>
      </c>
      <c r="AH218">
        <v>0</v>
      </c>
      <c r="AI218">
        <v>0</v>
      </c>
      <c r="AJ218">
        <v>0</v>
      </c>
      <c r="AK218">
        <v>0</v>
      </c>
      <c r="AL218" t="s">
        <v>87</v>
      </c>
      <c r="AM218" t="s">
        <v>88</v>
      </c>
      <c r="AN218" t="s">
        <v>89</v>
      </c>
      <c r="AO218" t="s">
        <v>74</v>
      </c>
      <c r="AP218" t="s">
        <v>4436</v>
      </c>
      <c r="AQ218" t="s">
        <v>74</v>
      </c>
      <c r="AR218" t="s">
        <v>4437</v>
      </c>
      <c r="AS218" t="s">
        <v>4438</v>
      </c>
      <c r="AT218" t="s">
        <v>4173</v>
      </c>
      <c r="AU218">
        <v>2023</v>
      </c>
      <c r="AV218" t="s">
        <v>74</v>
      </c>
      <c r="AW218" t="s">
        <v>74</v>
      </c>
      <c r="AX218" t="s">
        <v>74</v>
      </c>
      <c r="AY218" t="s">
        <v>74</v>
      </c>
      <c r="AZ218" t="s">
        <v>74</v>
      </c>
      <c r="BA218" t="s">
        <v>74</v>
      </c>
      <c r="BB218" t="s">
        <v>74</v>
      </c>
      <c r="BC218" t="s">
        <v>74</v>
      </c>
      <c r="BD218" t="s">
        <v>74</v>
      </c>
      <c r="BE218" t="s">
        <v>4439</v>
      </c>
      <c r="BF218" t="str">
        <f>HYPERLINK("http://dx.doi.org/10.1002/pan3.10527","http://dx.doi.org/10.1002/pan3.10527")</f>
        <v>http://dx.doi.org/10.1002/pan3.10527</v>
      </c>
      <c r="BG218" t="s">
        <v>74</v>
      </c>
      <c r="BH218" t="s">
        <v>407</v>
      </c>
      <c r="BI218">
        <v>11</v>
      </c>
      <c r="BJ218" t="s">
        <v>765</v>
      </c>
      <c r="BK218" t="s">
        <v>119</v>
      </c>
      <c r="BL218" t="s">
        <v>766</v>
      </c>
      <c r="BM218" t="s">
        <v>4440</v>
      </c>
      <c r="BN218" t="s">
        <v>74</v>
      </c>
      <c r="BO218" t="s">
        <v>74</v>
      </c>
      <c r="BP218" t="s">
        <v>74</v>
      </c>
      <c r="BQ218" t="s">
        <v>74</v>
      </c>
      <c r="BR218" t="s">
        <v>99</v>
      </c>
      <c r="BS218" t="s">
        <v>4441</v>
      </c>
      <c r="BT218" t="str">
        <f>HYPERLINK("https%3A%2F%2Fwww.webofscience.com%2Fwos%2Fwoscc%2Ffull-record%2FWOS:001065815900001","View Full Record in Web of Science")</f>
        <v>View Full Record in Web of Science</v>
      </c>
    </row>
    <row r="219" spans="1:72" x14ac:dyDescent="0.15">
      <c r="A219" t="s">
        <v>72</v>
      </c>
      <c r="B219" t="s">
        <v>4442</v>
      </c>
      <c r="C219" t="s">
        <v>74</v>
      </c>
      <c r="D219" t="s">
        <v>74</v>
      </c>
      <c r="E219" t="s">
        <v>74</v>
      </c>
      <c r="F219" t="s">
        <v>4443</v>
      </c>
      <c r="G219" t="s">
        <v>74</v>
      </c>
      <c r="H219" t="s">
        <v>74</v>
      </c>
      <c r="I219" t="s">
        <v>4444</v>
      </c>
      <c r="J219" t="s">
        <v>4445</v>
      </c>
      <c r="K219" t="s">
        <v>74</v>
      </c>
      <c r="L219" t="s">
        <v>74</v>
      </c>
      <c r="M219" t="s">
        <v>78</v>
      </c>
      <c r="N219" t="s">
        <v>338</v>
      </c>
      <c r="O219" t="s">
        <v>74</v>
      </c>
      <c r="P219" t="s">
        <v>74</v>
      </c>
      <c r="Q219" t="s">
        <v>74</v>
      </c>
      <c r="R219" t="s">
        <v>74</v>
      </c>
      <c r="S219" t="s">
        <v>74</v>
      </c>
      <c r="T219" t="s">
        <v>4446</v>
      </c>
      <c r="U219" t="s">
        <v>4447</v>
      </c>
      <c r="V219" t="s">
        <v>4448</v>
      </c>
      <c r="W219" t="s">
        <v>4449</v>
      </c>
      <c r="X219" t="s">
        <v>4450</v>
      </c>
      <c r="Y219" t="s">
        <v>4451</v>
      </c>
      <c r="Z219" t="s">
        <v>4452</v>
      </c>
      <c r="AA219" t="s">
        <v>74</v>
      </c>
      <c r="AB219" t="s">
        <v>74</v>
      </c>
      <c r="AC219" t="s">
        <v>4453</v>
      </c>
      <c r="AD219" t="s">
        <v>4453</v>
      </c>
      <c r="AE219" t="s">
        <v>4454</v>
      </c>
      <c r="AF219" t="s">
        <v>74</v>
      </c>
      <c r="AG219">
        <v>94</v>
      </c>
      <c r="AH219">
        <v>0</v>
      </c>
      <c r="AI219">
        <v>0</v>
      </c>
      <c r="AJ219">
        <v>3</v>
      </c>
      <c r="AK219">
        <v>3</v>
      </c>
      <c r="AL219" t="s">
        <v>426</v>
      </c>
      <c r="AM219" t="s">
        <v>427</v>
      </c>
      <c r="AN219" t="s">
        <v>428</v>
      </c>
      <c r="AO219" t="s">
        <v>4455</v>
      </c>
      <c r="AP219" t="s">
        <v>4456</v>
      </c>
      <c r="AQ219" t="s">
        <v>74</v>
      </c>
      <c r="AR219" t="s">
        <v>4457</v>
      </c>
      <c r="AS219" t="s">
        <v>4458</v>
      </c>
      <c r="AT219" t="s">
        <v>4173</v>
      </c>
      <c r="AU219">
        <v>2023</v>
      </c>
      <c r="AV219" t="s">
        <v>74</v>
      </c>
      <c r="AW219" t="s">
        <v>74</v>
      </c>
      <c r="AX219" t="s">
        <v>74</v>
      </c>
      <c r="AY219" t="s">
        <v>74</v>
      </c>
      <c r="AZ219" t="s">
        <v>74</v>
      </c>
      <c r="BA219" t="s">
        <v>74</v>
      </c>
      <c r="BB219" t="s">
        <v>74</v>
      </c>
      <c r="BC219" t="s">
        <v>74</v>
      </c>
      <c r="BD219" t="s">
        <v>74</v>
      </c>
      <c r="BE219" t="s">
        <v>4459</v>
      </c>
      <c r="BF219" t="str">
        <f>HYPERLINK("http://dx.doi.org/10.1002/ejic.202300351","http://dx.doi.org/10.1002/ejic.202300351")</f>
        <v>http://dx.doi.org/10.1002/ejic.202300351</v>
      </c>
      <c r="BG219" t="s">
        <v>74</v>
      </c>
      <c r="BH219" t="s">
        <v>407</v>
      </c>
      <c r="BI219">
        <v>12</v>
      </c>
      <c r="BJ219" t="s">
        <v>4460</v>
      </c>
      <c r="BK219" t="s">
        <v>119</v>
      </c>
      <c r="BL219" t="s">
        <v>524</v>
      </c>
      <c r="BM219" t="s">
        <v>4461</v>
      </c>
      <c r="BN219" t="s">
        <v>74</v>
      </c>
      <c r="BO219" t="s">
        <v>74</v>
      </c>
      <c r="BP219" t="s">
        <v>74</v>
      </c>
      <c r="BQ219" t="s">
        <v>74</v>
      </c>
      <c r="BR219" t="s">
        <v>99</v>
      </c>
      <c r="BS219" t="s">
        <v>4462</v>
      </c>
      <c r="BT219" t="str">
        <f>HYPERLINK("https%3A%2F%2Fwww.webofscience.com%2Fwos%2Fwoscc%2Ffull-record%2FWOS:001062337200001","View Full Record in Web of Science")</f>
        <v>View Full Record in Web of Science</v>
      </c>
    </row>
    <row r="220" spans="1:72" x14ac:dyDescent="0.15">
      <c r="A220" t="s">
        <v>72</v>
      </c>
      <c r="B220" t="s">
        <v>4463</v>
      </c>
      <c r="C220" t="s">
        <v>74</v>
      </c>
      <c r="D220" t="s">
        <v>74</v>
      </c>
      <c r="E220" t="s">
        <v>74</v>
      </c>
      <c r="F220" t="s">
        <v>4464</v>
      </c>
      <c r="G220" t="s">
        <v>74</v>
      </c>
      <c r="H220" t="s">
        <v>74</v>
      </c>
      <c r="I220" t="s">
        <v>4465</v>
      </c>
      <c r="J220" t="s">
        <v>4466</v>
      </c>
      <c r="K220" t="s">
        <v>74</v>
      </c>
      <c r="L220" t="s">
        <v>74</v>
      </c>
      <c r="M220" t="s">
        <v>78</v>
      </c>
      <c r="N220" t="s">
        <v>338</v>
      </c>
      <c r="O220" t="s">
        <v>74</v>
      </c>
      <c r="P220" t="s">
        <v>74</v>
      </c>
      <c r="Q220" t="s">
        <v>74</v>
      </c>
      <c r="R220" t="s">
        <v>74</v>
      </c>
      <c r="S220" t="s">
        <v>74</v>
      </c>
      <c r="T220" t="s">
        <v>4467</v>
      </c>
      <c r="U220" t="s">
        <v>74</v>
      </c>
      <c r="V220" t="s">
        <v>4468</v>
      </c>
      <c r="W220" t="s">
        <v>4469</v>
      </c>
      <c r="X220" t="s">
        <v>4470</v>
      </c>
      <c r="Y220" t="s">
        <v>4471</v>
      </c>
      <c r="Z220" t="s">
        <v>4472</v>
      </c>
      <c r="AA220" t="s">
        <v>74</v>
      </c>
      <c r="AB220" t="s">
        <v>74</v>
      </c>
      <c r="AC220" t="s">
        <v>74</v>
      </c>
      <c r="AD220" t="s">
        <v>74</v>
      </c>
      <c r="AE220" t="s">
        <v>74</v>
      </c>
      <c r="AF220" t="s">
        <v>74</v>
      </c>
      <c r="AG220">
        <v>16</v>
      </c>
      <c r="AH220">
        <v>0</v>
      </c>
      <c r="AI220">
        <v>0</v>
      </c>
      <c r="AJ220">
        <v>0</v>
      </c>
      <c r="AK220">
        <v>0</v>
      </c>
      <c r="AL220" t="s">
        <v>87</v>
      </c>
      <c r="AM220" t="s">
        <v>88</v>
      </c>
      <c r="AN220" t="s">
        <v>89</v>
      </c>
      <c r="AO220" t="s">
        <v>4473</v>
      </c>
      <c r="AP220" t="s">
        <v>4474</v>
      </c>
      <c r="AQ220" t="s">
        <v>74</v>
      </c>
      <c r="AR220" t="s">
        <v>4475</v>
      </c>
      <c r="AS220" t="s">
        <v>4476</v>
      </c>
      <c r="AT220" t="s">
        <v>4173</v>
      </c>
      <c r="AU220">
        <v>2023</v>
      </c>
      <c r="AV220" t="s">
        <v>74</v>
      </c>
      <c r="AW220" t="s">
        <v>74</v>
      </c>
      <c r="AX220" t="s">
        <v>74</v>
      </c>
      <c r="AY220" t="s">
        <v>74</v>
      </c>
      <c r="AZ220" t="s">
        <v>74</v>
      </c>
      <c r="BA220" t="s">
        <v>74</v>
      </c>
      <c r="BB220" t="s">
        <v>74</v>
      </c>
      <c r="BC220" t="s">
        <v>74</v>
      </c>
      <c r="BD220" t="s">
        <v>74</v>
      </c>
      <c r="BE220" t="s">
        <v>4477</v>
      </c>
      <c r="BF220" t="str">
        <f>HYPERLINK("http://dx.doi.org/10.1002/tox.23969","http://dx.doi.org/10.1002/tox.23969")</f>
        <v>http://dx.doi.org/10.1002/tox.23969</v>
      </c>
      <c r="BG220" t="s">
        <v>74</v>
      </c>
      <c r="BH220" t="s">
        <v>407</v>
      </c>
      <c r="BI220">
        <v>17</v>
      </c>
      <c r="BJ220" t="s">
        <v>4478</v>
      </c>
      <c r="BK220" t="s">
        <v>119</v>
      </c>
      <c r="BL220" t="s">
        <v>4479</v>
      </c>
      <c r="BM220" t="s">
        <v>4480</v>
      </c>
      <c r="BN220">
        <v>37694961</v>
      </c>
      <c r="BO220" t="s">
        <v>301</v>
      </c>
      <c r="BP220" t="s">
        <v>74</v>
      </c>
      <c r="BQ220" t="s">
        <v>74</v>
      </c>
      <c r="BR220" t="s">
        <v>99</v>
      </c>
      <c r="BS220" t="s">
        <v>4481</v>
      </c>
      <c r="BT220" t="str">
        <f>HYPERLINK("https%3A%2F%2Fwww.webofscience.com%2Fwos%2Fwoscc%2Ffull-record%2FWOS:001064523700001","View Full Record in Web of Science")</f>
        <v>View Full Record in Web of Science</v>
      </c>
    </row>
    <row r="221" spans="1:72" x14ac:dyDescent="0.15">
      <c r="A221" t="s">
        <v>72</v>
      </c>
      <c r="B221" t="s">
        <v>4482</v>
      </c>
      <c r="C221" t="s">
        <v>74</v>
      </c>
      <c r="D221" t="s">
        <v>74</v>
      </c>
      <c r="E221" t="s">
        <v>74</v>
      </c>
      <c r="F221" t="s">
        <v>4483</v>
      </c>
      <c r="G221" t="s">
        <v>74</v>
      </c>
      <c r="H221" t="s">
        <v>74</v>
      </c>
      <c r="I221" t="s">
        <v>4484</v>
      </c>
      <c r="J221" t="s">
        <v>4485</v>
      </c>
      <c r="K221" t="s">
        <v>74</v>
      </c>
      <c r="L221" t="s">
        <v>74</v>
      </c>
      <c r="M221" t="s">
        <v>78</v>
      </c>
      <c r="N221" t="s">
        <v>338</v>
      </c>
      <c r="O221" t="s">
        <v>74</v>
      </c>
      <c r="P221" t="s">
        <v>74</v>
      </c>
      <c r="Q221" t="s">
        <v>74</v>
      </c>
      <c r="R221" t="s">
        <v>74</v>
      </c>
      <c r="S221" t="s">
        <v>74</v>
      </c>
      <c r="T221" t="s">
        <v>4486</v>
      </c>
      <c r="U221" t="s">
        <v>4487</v>
      </c>
      <c r="V221" t="s">
        <v>4488</v>
      </c>
      <c r="W221" t="s">
        <v>4489</v>
      </c>
      <c r="X221" t="s">
        <v>4490</v>
      </c>
      <c r="Y221" t="s">
        <v>4491</v>
      </c>
      <c r="Z221" t="s">
        <v>4492</v>
      </c>
      <c r="AA221" t="s">
        <v>74</v>
      </c>
      <c r="AB221" t="s">
        <v>4493</v>
      </c>
      <c r="AC221" t="s">
        <v>74</v>
      </c>
      <c r="AD221" t="s">
        <v>74</v>
      </c>
      <c r="AE221" t="s">
        <v>74</v>
      </c>
      <c r="AF221" t="s">
        <v>74</v>
      </c>
      <c r="AG221">
        <v>8</v>
      </c>
      <c r="AH221">
        <v>0</v>
      </c>
      <c r="AI221">
        <v>0</v>
      </c>
      <c r="AJ221">
        <v>0</v>
      </c>
      <c r="AK221">
        <v>0</v>
      </c>
      <c r="AL221" t="s">
        <v>87</v>
      </c>
      <c r="AM221" t="s">
        <v>88</v>
      </c>
      <c r="AN221" t="s">
        <v>89</v>
      </c>
      <c r="AO221" t="s">
        <v>4494</v>
      </c>
      <c r="AP221" t="s">
        <v>4495</v>
      </c>
      <c r="AQ221" t="s">
        <v>74</v>
      </c>
      <c r="AR221" t="s">
        <v>4496</v>
      </c>
      <c r="AS221" t="s">
        <v>4497</v>
      </c>
      <c r="AT221" t="s">
        <v>4173</v>
      </c>
      <c r="AU221">
        <v>2023</v>
      </c>
      <c r="AV221" t="s">
        <v>74</v>
      </c>
      <c r="AW221" t="s">
        <v>74</v>
      </c>
      <c r="AX221" t="s">
        <v>74</v>
      </c>
      <c r="AY221" t="s">
        <v>74</v>
      </c>
      <c r="AZ221" t="s">
        <v>74</v>
      </c>
      <c r="BA221" t="s">
        <v>74</v>
      </c>
      <c r="BB221" t="s">
        <v>74</v>
      </c>
      <c r="BC221" t="s">
        <v>74</v>
      </c>
      <c r="BD221" t="s">
        <v>74</v>
      </c>
      <c r="BE221" t="s">
        <v>4498</v>
      </c>
      <c r="BF221" t="str">
        <f>HYPERLINK("http://dx.doi.org/10.1111/petr.14607","http://dx.doi.org/10.1111/petr.14607")</f>
        <v>http://dx.doi.org/10.1111/petr.14607</v>
      </c>
      <c r="BG221" t="s">
        <v>74</v>
      </c>
      <c r="BH221" t="s">
        <v>407</v>
      </c>
      <c r="BI221">
        <v>4</v>
      </c>
      <c r="BJ221" t="s">
        <v>4499</v>
      </c>
      <c r="BK221" t="s">
        <v>119</v>
      </c>
      <c r="BL221" t="s">
        <v>4499</v>
      </c>
      <c r="BM221" t="s">
        <v>4500</v>
      </c>
      <c r="BN221">
        <v>37697457</v>
      </c>
      <c r="BO221" t="s">
        <v>74</v>
      </c>
      <c r="BP221" t="s">
        <v>74</v>
      </c>
      <c r="BQ221" t="s">
        <v>74</v>
      </c>
      <c r="BR221" t="s">
        <v>99</v>
      </c>
      <c r="BS221" t="s">
        <v>4501</v>
      </c>
      <c r="BT221" t="str">
        <f>HYPERLINK("https%3A%2F%2Fwww.webofscience.com%2Fwos%2Fwoscc%2Ffull-record%2FWOS:001064690900001","View Full Record in Web of Science")</f>
        <v>View Full Record in Web of Science</v>
      </c>
    </row>
    <row r="222" spans="1:72" x14ac:dyDescent="0.15">
      <c r="A222" t="s">
        <v>72</v>
      </c>
      <c r="B222" t="s">
        <v>4502</v>
      </c>
      <c r="C222" t="s">
        <v>74</v>
      </c>
      <c r="D222" t="s">
        <v>74</v>
      </c>
      <c r="E222" t="s">
        <v>74</v>
      </c>
      <c r="F222" t="s">
        <v>4503</v>
      </c>
      <c r="G222" t="s">
        <v>74</v>
      </c>
      <c r="H222" t="s">
        <v>74</v>
      </c>
      <c r="I222" t="s">
        <v>4504</v>
      </c>
      <c r="J222" t="s">
        <v>3999</v>
      </c>
      <c r="K222" t="s">
        <v>74</v>
      </c>
      <c r="L222" t="s">
        <v>74</v>
      </c>
      <c r="M222" t="s">
        <v>78</v>
      </c>
      <c r="N222" t="s">
        <v>338</v>
      </c>
      <c r="O222" t="s">
        <v>74</v>
      </c>
      <c r="P222" t="s">
        <v>74</v>
      </c>
      <c r="Q222" t="s">
        <v>74</v>
      </c>
      <c r="R222" t="s">
        <v>74</v>
      </c>
      <c r="S222" t="s">
        <v>74</v>
      </c>
      <c r="T222" t="s">
        <v>4505</v>
      </c>
      <c r="U222" t="s">
        <v>4506</v>
      </c>
      <c r="V222" t="s">
        <v>4507</v>
      </c>
      <c r="W222" t="s">
        <v>4508</v>
      </c>
      <c r="X222" t="s">
        <v>4509</v>
      </c>
      <c r="Y222" t="s">
        <v>4510</v>
      </c>
      <c r="Z222" t="s">
        <v>4511</v>
      </c>
      <c r="AA222" t="s">
        <v>74</v>
      </c>
      <c r="AB222" t="s">
        <v>74</v>
      </c>
      <c r="AC222" t="s">
        <v>4512</v>
      </c>
      <c r="AD222" t="s">
        <v>4513</v>
      </c>
      <c r="AE222" t="s">
        <v>4514</v>
      </c>
      <c r="AF222" t="s">
        <v>74</v>
      </c>
      <c r="AG222">
        <v>79</v>
      </c>
      <c r="AH222">
        <v>0</v>
      </c>
      <c r="AI222">
        <v>0</v>
      </c>
      <c r="AJ222">
        <v>0</v>
      </c>
      <c r="AK222">
        <v>0</v>
      </c>
      <c r="AL222" t="s">
        <v>87</v>
      </c>
      <c r="AM222" t="s">
        <v>88</v>
      </c>
      <c r="AN222" t="s">
        <v>89</v>
      </c>
      <c r="AO222" t="s">
        <v>4012</v>
      </c>
      <c r="AP222" t="s">
        <v>4013</v>
      </c>
      <c r="AQ222" t="s">
        <v>74</v>
      </c>
      <c r="AR222" t="s">
        <v>4014</v>
      </c>
      <c r="AS222" t="s">
        <v>4015</v>
      </c>
      <c r="AT222" t="s">
        <v>4173</v>
      </c>
      <c r="AU222">
        <v>2023</v>
      </c>
      <c r="AV222" t="s">
        <v>74</v>
      </c>
      <c r="AW222" t="s">
        <v>74</v>
      </c>
      <c r="AX222" t="s">
        <v>74</v>
      </c>
      <c r="AY222" t="s">
        <v>74</v>
      </c>
      <c r="AZ222" t="s">
        <v>74</v>
      </c>
      <c r="BA222" t="s">
        <v>74</v>
      </c>
      <c r="BB222" t="s">
        <v>74</v>
      </c>
      <c r="BC222" t="s">
        <v>74</v>
      </c>
      <c r="BD222" t="s">
        <v>74</v>
      </c>
      <c r="BE222" t="s">
        <v>4515</v>
      </c>
      <c r="BF222" t="str">
        <f>HYPERLINK("http://dx.doi.org/10.1002/aur.3018","http://dx.doi.org/10.1002/aur.3018")</f>
        <v>http://dx.doi.org/10.1002/aur.3018</v>
      </c>
      <c r="BG222" t="s">
        <v>74</v>
      </c>
      <c r="BH222" t="s">
        <v>407</v>
      </c>
      <c r="BI222">
        <v>14</v>
      </c>
      <c r="BJ222" t="s">
        <v>4017</v>
      </c>
      <c r="BK222" t="s">
        <v>409</v>
      </c>
      <c r="BL222" t="s">
        <v>4018</v>
      </c>
      <c r="BM222" t="s">
        <v>4516</v>
      </c>
      <c r="BN222">
        <v>37695276</v>
      </c>
      <c r="BO222" t="s">
        <v>74</v>
      </c>
      <c r="BP222" t="s">
        <v>74</v>
      </c>
      <c r="BQ222" t="s">
        <v>74</v>
      </c>
      <c r="BR222" t="s">
        <v>99</v>
      </c>
      <c r="BS222" t="s">
        <v>4517</v>
      </c>
      <c r="BT222" t="str">
        <f>HYPERLINK("https%3A%2F%2Fwww.webofscience.com%2Fwos%2Fwoscc%2Ffull-record%2FWOS:001065373400001","View Full Record in Web of Science")</f>
        <v>View Full Record in Web of Science</v>
      </c>
    </row>
    <row r="223" spans="1:72" x14ac:dyDescent="0.15">
      <c r="A223" t="s">
        <v>72</v>
      </c>
      <c r="B223" t="s">
        <v>4518</v>
      </c>
      <c r="C223" t="s">
        <v>74</v>
      </c>
      <c r="D223" t="s">
        <v>74</v>
      </c>
      <c r="E223" t="s">
        <v>74</v>
      </c>
      <c r="F223" t="s">
        <v>4519</v>
      </c>
      <c r="G223" t="s">
        <v>74</v>
      </c>
      <c r="H223" t="s">
        <v>74</v>
      </c>
      <c r="I223" t="s">
        <v>4520</v>
      </c>
      <c r="J223" t="s">
        <v>4485</v>
      </c>
      <c r="K223" t="s">
        <v>74</v>
      </c>
      <c r="L223" t="s">
        <v>74</v>
      </c>
      <c r="M223" t="s">
        <v>78</v>
      </c>
      <c r="N223" t="s">
        <v>338</v>
      </c>
      <c r="O223" t="s">
        <v>74</v>
      </c>
      <c r="P223" t="s">
        <v>74</v>
      </c>
      <c r="Q223" t="s">
        <v>74</v>
      </c>
      <c r="R223" t="s">
        <v>74</v>
      </c>
      <c r="S223" t="s">
        <v>74</v>
      </c>
      <c r="T223" t="s">
        <v>4521</v>
      </c>
      <c r="U223" t="s">
        <v>4522</v>
      </c>
      <c r="V223" t="s">
        <v>4523</v>
      </c>
      <c r="W223" t="s">
        <v>4524</v>
      </c>
      <c r="X223" t="s">
        <v>4525</v>
      </c>
      <c r="Y223" t="s">
        <v>4526</v>
      </c>
      <c r="Z223" t="s">
        <v>4527</v>
      </c>
      <c r="AA223" t="s">
        <v>74</v>
      </c>
      <c r="AB223" t="s">
        <v>4528</v>
      </c>
      <c r="AC223" t="s">
        <v>4529</v>
      </c>
      <c r="AD223" t="s">
        <v>4530</v>
      </c>
      <c r="AE223" t="s">
        <v>4531</v>
      </c>
      <c r="AF223" t="s">
        <v>74</v>
      </c>
      <c r="AG223">
        <v>22</v>
      </c>
      <c r="AH223">
        <v>0</v>
      </c>
      <c r="AI223">
        <v>0</v>
      </c>
      <c r="AJ223">
        <v>0</v>
      </c>
      <c r="AK223">
        <v>0</v>
      </c>
      <c r="AL223" t="s">
        <v>87</v>
      </c>
      <c r="AM223" t="s">
        <v>88</v>
      </c>
      <c r="AN223" t="s">
        <v>89</v>
      </c>
      <c r="AO223" t="s">
        <v>4494</v>
      </c>
      <c r="AP223" t="s">
        <v>4495</v>
      </c>
      <c r="AQ223" t="s">
        <v>74</v>
      </c>
      <c r="AR223" t="s">
        <v>4496</v>
      </c>
      <c r="AS223" t="s">
        <v>4497</v>
      </c>
      <c r="AT223" t="s">
        <v>4173</v>
      </c>
      <c r="AU223">
        <v>2023</v>
      </c>
      <c r="AV223" t="s">
        <v>74</v>
      </c>
      <c r="AW223" t="s">
        <v>74</v>
      </c>
      <c r="AX223" t="s">
        <v>74</v>
      </c>
      <c r="AY223" t="s">
        <v>74</v>
      </c>
      <c r="AZ223" t="s">
        <v>74</v>
      </c>
      <c r="BA223" t="s">
        <v>74</v>
      </c>
      <c r="BB223" t="s">
        <v>74</v>
      </c>
      <c r="BC223" t="s">
        <v>74</v>
      </c>
      <c r="BD223" t="s">
        <v>74</v>
      </c>
      <c r="BE223" t="s">
        <v>4532</v>
      </c>
      <c r="BF223" t="str">
        <f>HYPERLINK("http://dx.doi.org/10.1111/petr.14605","http://dx.doi.org/10.1111/petr.14605")</f>
        <v>http://dx.doi.org/10.1111/petr.14605</v>
      </c>
      <c r="BG223" t="s">
        <v>74</v>
      </c>
      <c r="BH223" t="s">
        <v>407</v>
      </c>
      <c r="BI223">
        <v>8</v>
      </c>
      <c r="BJ223" t="s">
        <v>4499</v>
      </c>
      <c r="BK223" t="s">
        <v>119</v>
      </c>
      <c r="BL223" t="s">
        <v>4499</v>
      </c>
      <c r="BM223" t="s">
        <v>4533</v>
      </c>
      <c r="BN223">
        <v>37691539</v>
      </c>
      <c r="BO223" t="s">
        <v>74</v>
      </c>
      <c r="BP223" t="s">
        <v>74</v>
      </c>
      <c r="BQ223" t="s">
        <v>74</v>
      </c>
      <c r="BR223" t="s">
        <v>99</v>
      </c>
      <c r="BS223" t="s">
        <v>4534</v>
      </c>
      <c r="BT223" t="str">
        <f>HYPERLINK("https%3A%2F%2Fwww.webofscience.com%2Fwos%2Fwoscc%2Ffull-record%2FWOS:001065292300001","View Full Record in Web of Science")</f>
        <v>View Full Record in Web of Science</v>
      </c>
    </row>
    <row r="224" spans="1:72" x14ac:dyDescent="0.15">
      <c r="A224" t="s">
        <v>72</v>
      </c>
      <c r="B224" t="s">
        <v>4535</v>
      </c>
      <c r="C224" t="s">
        <v>74</v>
      </c>
      <c r="D224" t="s">
        <v>74</v>
      </c>
      <c r="E224" t="s">
        <v>74</v>
      </c>
      <c r="F224" t="s">
        <v>4536</v>
      </c>
      <c r="G224" t="s">
        <v>74</v>
      </c>
      <c r="H224" t="s">
        <v>74</v>
      </c>
      <c r="I224" t="s">
        <v>4537</v>
      </c>
      <c r="J224" t="s">
        <v>4538</v>
      </c>
      <c r="K224" t="s">
        <v>74</v>
      </c>
      <c r="L224" t="s">
        <v>74</v>
      </c>
      <c r="M224" t="s">
        <v>78</v>
      </c>
      <c r="N224" t="s">
        <v>338</v>
      </c>
      <c r="O224" t="s">
        <v>74</v>
      </c>
      <c r="P224" t="s">
        <v>74</v>
      </c>
      <c r="Q224" t="s">
        <v>74</v>
      </c>
      <c r="R224" t="s">
        <v>74</v>
      </c>
      <c r="S224" t="s">
        <v>74</v>
      </c>
      <c r="T224" t="s">
        <v>4539</v>
      </c>
      <c r="U224" t="s">
        <v>4540</v>
      </c>
      <c r="V224" t="s">
        <v>4541</v>
      </c>
      <c r="W224" t="s">
        <v>4542</v>
      </c>
      <c r="X224" t="s">
        <v>4543</v>
      </c>
      <c r="Y224" t="s">
        <v>4544</v>
      </c>
      <c r="Z224" t="s">
        <v>4545</v>
      </c>
      <c r="AA224" t="s">
        <v>4546</v>
      </c>
      <c r="AB224" t="s">
        <v>4547</v>
      </c>
      <c r="AC224" t="s">
        <v>4548</v>
      </c>
      <c r="AD224" t="s">
        <v>3742</v>
      </c>
      <c r="AE224" t="s">
        <v>4549</v>
      </c>
      <c r="AF224" t="s">
        <v>74</v>
      </c>
      <c r="AG224">
        <v>74</v>
      </c>
      <c r="AH224">
        <v>0</v>
      </c>
      <c r="AI224">
        <v>0</v>
      </c>
      <c r="AJ224">
        <v>0</v>
      </c>
      <c r="AK224">
        <v>0</v>
      </c>
      <c r="AL224" t="s">
        <v>87</v>
      </c>
      <c r="AM224" t="s">
        <v>88</v>
      </c>
      <c r="AN224" t="s">
        <v>89</v>
      </c>
      <c r="AO224" t="s">
        <v>4550</v>
      </c>
      <c r="AP224" t="s">
        <v>4551</v>
      </c>
      <c r="AQ224" t="s">
        <v>74</v>
      </c>
      <c r="AR224" t="s">
        <v>4538</v>
      </c>
      <c r="AS224" t="s">
        <v>4552</v>
      </c>
      <c r="AT224" t="s">
        <v>4173</v>
      </c>
      <c r="AU224">
        <v>2023</v>
      </c>
      <c r="AV224" t="s">
        <v>74</v>
      </c>
      <c r="AW224" t="s">
        <v>74</v>
      </c>
      <c r="AX224" t="s">
        <v>74</v>
      </c>
      <c r="AY224" t="s">
        <v>74</v>
      </c>
      <c r="AZ224" t="s">
        <v>74</v>
      </c>
      <c r="BA224" t="s">
        <v>74</v>
      </c>
      <c r="BB224" t="s">
        <v>74</v>
      </c>
      <c r="BC224" t="s">
        <v>74</v>
      </c>
      <c r="BD224" t="s">
        <v>74</v>
      </c>
      <c r="BE224" t="s">
        <v>4553</v>
      </c>
      <c r="BF224" t="str">
        <f>HYPERLINK("http://dx.doi.org/10.1002/eco.2588","http://dx.doi.org/10.1002/eco.2588")</f>
        <v>http://dx.doi.org/10.1002/eco.2588</v>
      </c>
      <c r="BG224" t="s">
        <v>74</v>
      </c>
      <c r="BH224" t="s">
        <v>407</v>
      </c>
      <c r="BI224">
        <v>15</v>
      </c>
      <c r="BJ224" t="s">
        <v>4554</v>
      </c>
      <c r="BK224" t="s">
        <v>119</v>
      </c>
      <c r="BL224" t="s">
        <v>4555</v>
      </c>
      <c r="BM224" t="s">
        <v>4556</v>
      </c>
      <c r="BN224" t="s">
        <v>74</v>
      </c>
      <c r="BO224" t="s">
        <v>74</v>
      </c>
      <c r="BP224" t="s">
        <v>74</v>
      </c>
      <c r="BQ224" t="s">
        <v>74</v>
      </c>
      <c r="BR224" t="s">
        <v>99</v>
      </c>
      <c r="BS224" t="s">
        <v>4557</v>
      </c>
      <c r="BT224" t="str">
        <f>HYPERLINK("https%3A%2F%2Fwww.webofscience.com%2Fwos%2Fwoscc%2Ffull-record%2FWOS:001064845500001","View Full Record in Web of Science")</f>
        <v>View Full Record in Web of Science</v>
      </c>
    </row>
    <row r="225" spans="1:72" x14ac:dyDescent="0.15">
      <c r="A225" t="s">
        <v>72</v>
      </c>
      <c r="B225" t="s">
        <v>4558</v>
      </c>
      <c r="C225" t="s">
        <v>74</v>
      </c>
      <c r="D225" t="s">
        <v>74</v>
      </c>
      <c r="E225" t="s">
        <v>74</v>
      </c>
      <c r="F225" t="s">
        <v>4559</v>
      </c>
      <c r="G225" t="s">
        <v>74</v>
      </c>
      <c r="H225" t="s">
        <v>74</v>
      </c>
      <c r="I225" t="s">
        <v>4560</v>
      </c>
      <c r="J225" t="s">
        <v>4561</v>
      </c>
      <c r="K225" t="s">
        <v>74</v>
      </c>
      <c r="L225" t="s">
        <v>74</v>
      </c>
      <c r="M225" t="s">
        <v>78</v>
      </c>
      <c r="N225" t="s">
        <v>338</v>
      </c>
      <c r="O225" t="s">
        <v>74</v>
      </c>
      <c r="P225" t="s">
        <v>74</v>
      </c>
      <c r="Q225" t="s">
        <v>74</v>
      </c>
      <c r="R225" t="s">
        <v>74</v>
      </c>
      <c r="S225" t="s">
        <v>74</v>
      </c>
      <c r="T225" t="s">
        <v>4562</v>
      </c>
      <c r="U225" t="s">
        <v>4563</v>
      </c>
      <c r="V225" t="s">
        <v>4564</v>
      </c>
      <c r="W225" t="s">
        <v>4565</v>
      </c>
      <c r="X225" t="s">
        <v>4566</v>
      </c>
      <c r="Y225" t="s">
        <v>4567</v>
      </c>
      <c r="Z225" t="s">
        <v>4568</v>
      </c>
      <c r="AA225" t="s">
        <v>74</v>
      </c>
      <c r="AB225" t="s">
        <v>4569</v>
      </c>
      <c r="AC225" t="s">
        <v>4570</v>
      </c>
      <c r="AD225" t="s">
        <v>4570</v>
      </c>
      <c r="AE225" t="s">
        <v>4571</v>
      </c>
      <c r="AF225" t="s">
        <v>74</v>
      </c>
      <c r="AG225">
        <v>41</v>
      </c>
      <c r="AH225">
        <v>0</v>
      </c>
      <c r="AI225">
        <v>0</v>
      </c>
      <c r="AJ225">
        <v>1</v>
      </c>
      <c r="AK225">
        <v>1</v>
      </c>
      <c r="AL225" t="s">
        <v>426</v>
      </c>
      <c r="AM225" t="s">
        <v>427</v>
      </c>
      <c r="AN225" t="s">
        <v>428</v>
      </c>
      <c r="AO225" t="s">
        <v>74</v>
      </c>
      <c r="AP225" t="s">
        <v>4572</v>
      </c>
      <c r="AQ225" t="s">
        <v>74</v>
      </c>
      <c r="AR225" t="s">
        <v>4573</v>
      </c>
      <c r="AS225" t="s">
        <v>4574</v>
      </c>
      <c r="AT225" t="s">
        <v>4575</v>
      </c>
      <c r="AU225">
        <v>2023</v>
      </c>
      <c r="AV225" t="s">
        <v>74</v>
      </c>
      <c r="AW225" t="s">
        <v>74</v>
      </c>
      <c r="AX225" t="s">
        <v>74</v>
      </c>
      <c r="AY225" t="s">
        <v>74</v>
      </c>
      <c r="AZ225" t="s">
        <v>74</v>
      </c>
      <c r="BA225" t="s">
        <v>74</v>
      </c>
      <c r="BB225" t="s">
        <v>74</v>
      </c>
      <c r="BC225" t="s">
        <v>74</v>
      </c>
      <c r="BD225" t="s">
        <v>74</v>
      </c>
      <c r="BE225" t="s">
        <v>4576</v>
      </c>
      <c r="BF225" t="str">
        <f>HYPERLINK("http://dx.doi.org/10.1002/adts.202300369","http://dx.doi.org/10.1002/adts.202300369")</f>
        <v>http://dx.doi.org/10.1002/adts.202300369</v>
      </c>
      <c r="BG225" t="s">
        <v>74</v>
      </c>
      <c r="BH225" t="s">
        <v>407</v>
      </c>
      <c r="BI225">
        <v>12</v>
      </c>
      <c r="BJ225" t="s">
        <v>4577</v>
      </c>
      <c r="BK225" t="s">
        <v>119</v>
      </c>
      <c r="BL225" t="s">
        <v>4578</v>
      </c>
      <c r="BM225" t="s">
        <v>4579</v>
      </c>
      <c r="BN225" t="s">
        <v>74</v>
      </c>
      <c r="BO225" t="s">
        <v>4580</v>
      </c>
      <c r="BP225" t="s">
        <v>74</v>
      </c>
      <c r="BQ225" t="s">
        <v>74</v>
      </c>
      <c r="BR225" t="s">
        <v>99</v>
      </c>
      <c r="BS225" t="s">
        <v>4581</v>
      </c>
      <c r="BT225" t="str">
        <f>HYPERLINK("https%3A%2F%2Fwww.webofscience.com%2Fwos%2Fwoscc%2Ffull-record%2FWOS:001061733400001","View Full Record in Web of Science")</f>
        <v>View Full Record in Web of Science</v>
      </c>
    </row>
    <row r="226" spans="1:72" x14ac:dyDescent="0.15">
      <c r="A226" t="s">
        <v>72</v>
      </c>
      <c r="B226" t="s">
        <v>4582</v>
      </c>
      <c r="C226" t="s">
        <v>74</v>
      </c>
      <c r="D226" t="s">
        <v>74</v>
      </c>
      <c r="E226" t="s">
        <v>74</v>
      </c>
      <c r="F226" t="s">
        <v>4583</v>
      </c>
      <c r="G226" t="s">
        <v>74</v>
      </c>
      <c r="H226" t="s">
        <v>74</v>
      </c>
      <c r="I226" t="s">
        <v>4584</v>
      </c>
      <c r="J226" t="s">
        <v>4585</v>
      </c>
      <c r="K226" t="s">
        <v>74</v>
      </c>
      <c r="L226" t="s">
        <v>74</v>
      </c>
      <c r="M226" t="s">
        <v>78</v>
      </c>
      <c r="N226" t="s">
        <v>338</v>
      </c>
      <c r="O226" t="s">
        <v>74</v>
      </c>
      <c r="P226" t="s">
        <v>74</v>
      </c>
      <c r="Q226" t="s">
        <v>74</v>
      </c>
      <c r="R226" t="s">
        <v>74</v>
      </c>
      <c r="S226" t="s">
        <v>74</v>
      </c>
      <c r="T226" t="s">
        <v>4586</v>
      </c>
      <c r="U226" t="s">
        <v>4587</v>
      </c>
      <c r="V226" t="s">
        <v>4588</v>
      </c>
      <c r="W226" t="s">
        <v>4589</v>
      </c>
      <c r="X226" t="s">
        <v>4590</v>
      </c>
      <c r="Y226" t="s">
        <v>4591</v>
      </c>
      <c r="Z226" t="s">
        <v>4592</v>
      </c>
      <c r="AA226" t="s">
        <v>74</v>
      </c>
      <c r="AB226" t="s">
        <v>74</v>
      </c>
      <c r="AC226" t="s">
        <v>4593</v>
      </c>
      <c r="AD226" t="s">
        <v>4594</v>
      </c>
      <c r="AE226" t="s">
        <v>4595</v>
      </c>
      <c r="AF226" t="s">
        <v>74</v>
      </c>
      <c r="AG226">
        <v>38</v>
      </c>
      <c r="AH226">
        <v>0</v>
      </c>
      <c r="AI226">
        <v>0</v>
      </c>
      <c r="AJ226">
        <v>1</v>
      </c>
      <c r="AK226">
        <v>1</v>
      </c>
      <c r="AL226" t="s">
        <v>87</v>
      </c>
      <c r="AM226" t="s">
        <v>88</v>
      </c>
      <c r="AN226" t="s">
        <v>89</v>
      </c>
      <c r="AO226" t="s">
        <v>4596</v>
      </c>
      <c r="AP226" t="s">
        <v>4597</v>
      </c>
      <c r="AQ226" t="s">
        <v>74</v>
      </c>
      <c r="AR226" t="s">
        <v>4598</v>
      </c>
      <c r="AS226" t="s">
        <v>4599</v>
      </c>
      <c r="AT226" t="s">
        <v>4575</v>
      </c>
      <c r="AU226">
        <v>2023</v>
      </c>
      <c r="AV226" t="s">
        <v>74</v>
      </c>
      <c r="AW226" t="s">
        <v>74</v>
      </c>
      <c r="AX226" t="s">
        <v>74</v>
      </c>
      <c r="AY226" t="s">
        <v>74</v>
      </c>
      <c r="AZ226" t="s">
        <v>74</v>
      </c>
      <c r="BA226" t="s">
        <v>74</v>
      </c>
      <c r="BB226" t="s">
        <v>74</v>
      </c>
      <c r="BC226" t="s">
        <v>74</v>
      </c>
      <c r="BD226" t="s">
        <v>74</v>
      </c>
      <c r="BE226" t="s">
        <v>4600</v>
      </c>
      <c r="BF226" t="str">
        <f>HYPERLINK("http://dx.doi.org/10.1111/gtc.13064","http://dx.doi.org/10.1111/gtc.13064")</f>
        <v>http://dx.doi.org/10.1111/gtc.13064</v>
      </c>
      <c r="BG226" t="s">
        <v>74</v>
      </c>
      <c r="BH226" t="s">
        <v>407</v>
      </c>
      <c r="BI226">
        <v>12</v>
      </c>
      <c r="BJ226" t="s">
        <v>4601</v>
      </c>
      <c r="BK226" t="s">
        <v>119</v>
      </c>
      <c r="BL226" t="s">
        <v>4601</v>
      </c>
      <c r="BM226" t="s">
        <v>4602</v>
      </c>
      <c r="BN226">
        <v>37691290</v>
      </c>
      <c r="BO226" t="s">
        <v>301</v>
      </c>
      <c r="BP226" t="s">
        <v>74</v>
      </c>
      <c r="BQ226" t="s">
        <v>74</v>
      </c>
      <c r="BR226" t="s">
        <v>99</v>
      </c>
      <c r="BS226" t="s">
        <v>4603</v>
      </c>
      <c r="BT226" t="str">
        <f>HYPERLINK("https%3A%2F%2Fwww.webofscience.com%2Fwos%2Fwoscc%2Ffull-record%2FWOS:001066398800001","View Full Record in Web of Science")</f>
        <v>View Full Record in Web of Science</v>
      </c>
    </row>
    <row r="227" spans="1:72" x14ac:dyDescent="0.15">
      <c r="A227" t="s">
        <v>72</v>
      </c>
      <c r="B227" t="s">
        <v>4604</v>
      </c>
      <c r="C227" t="s">
        <v>74</v>
      </c>
      <c r="D227" t="s">
        <v>74</v>
      </c>
      <c r="E227" t="s">
        <v>74</v>
      </c>
      <c r="F227" t="s">
        <v>4605</v>
      </c>
      <c r="G227" t="s">
        <v>74</v>
      </c>
      <c r="H227" t="s">
        <v>74</v>
      </c>
      <c r="I227" t="s">
        <v>4606</v>
      </c>
      <c r="J227" t="s">
        <v>4607</v>
      </c>
      <c r="K227" t="s">
        <v>74</v>
      </c>
      <c r="L227" t="s">
        <v>74</v>
      </c>
      <c r="M227" t="s">
        <v>78</v>
      </c>
      <c r="N227" t="s">
        <v>338</v>
      </c>
      <c r="O227" t="s">
        <v>74</v>
      </c>
      <c r="P227" t="s">
        <v>74</v>
      </c>
      <c r="Q227" t="s">
        <v>74</v>
      </c>
      <c r="R227" t="s">
        <v>74</v>
      </c>
      <c r="S227" t="s">
        <v>74</v>
      </c>
      <c r="T227" t="s">
        <v>74</v>
      </c>
      <c r="U227" t="s">
        <v>4608</v>
      </c>
      <c r="V227" t="s">
        <v>74</v>
      </c>
      <c r="W227" t="s">
        <v>4609</v>
      </c>
      <c r="X227" t="s">
        <v>4610</v>
      </c>
      <c r="Y227" t="s">
        <v>4611</v>
      </c>
      <c r="Z227" t="s">
        <v>4612</v>
      </c>
      <c r="AA227" t="s">
        <v>74</v>
      </c>
      <c r="AB227" t="s">
        <v>74</v>
      </c>
      <c r="AC227" t="s">
        <v>74</v>
      </c>
      <c r="AD227" t="s">
        <v>74</v>
      </c>
      <c r="AE227" t="s">
        <v>74</v>
      </c>
      <c r="AF227" t="s">
        <v>74</v>
      </c>
      <c r="AG227">
        <v>32</v>
      </c>
      <c r="AH227">
        <v>0</v>
      </c>
      <c r="AI227">
        <v>0</v>
      </c>
      <c r="AJ227">
        <v>0</v>
      </c>
      <c r="AK227">
        <v>0</v>
      </c>
      <c r="AL227" t="s">
        <v>87</v>
      </c>
      <c r="AM227" t="s">
        <v>88</v>
      </c>
      <c r="AN227" t="s">
        <v>89</v>
      </c>
      <c r="AO227" t="s">
        <v>4613</v>
      </c>
      <c r="AP227" t="s">
        <v>4614</v>
      </c>
      <c r="AQ227" t="s">
        <v>74</v>
      </c>
      <c r="AR227" t="s">
        <v>4615</v>
      </c>
      <c r="AS227" t="s">
        <v>4616</v>
      </c>
      <c r="AT227" t="s">
        <v>4575</v>
      </c>
      <c r="AU227">
        <v>2023</v>
      </c>
      <c r="AV227" t="s">
        <v>74</v>
      </c>
      <c r="AW227" t="s">
        <v>74</v>
      </c>
      <c r="AX227" t="s">
        <v>74</v>
      </c>
      <c r="AY227" t="s">
        <v>74</v>
      </c>
      <c r="AZ227" t="s">
        <v>74</v>
      </c>
      <c r="BA227" t="s">
        <v>74</v>
      </c>
      <c r="BB227" t="s">
        <v>74</v>
      </c>
      <c r="BC227" t="s">
        <v>74</v>
      </c>
      <c r="BD227" t="s">
        <v>74</v>
      </c>
      <c r="BE227" t="s">
        <v>4617</v>
      </c>
      <c r="BF227" t="str">
        <f>HYPERLINK("http://dx.doi.org/10.1111/jpcu.13215","http://dx.doi.org/10.1111/jpcu.13215")</f>
        <v>http://dx.doi.org/10.1111/jpcu.13215</v>
      </c>
      <c r="BG227" t="s">
        <v>74</v>
      </c>
      <c r="BH227" t="s">
        <v>407</v>
      </c>
      <c r="BI227">
        <v>16</v>
      </c>
      <c r="BJ227" t="s">
        <v>4618</v>
      </c>
      <c r="BK227" t="s">
        <v>4619</v>
      </c>
      <c r="BL227" t="s">
        <v>4620</v>
      </c>
      <c r="BM227" t="s">
        <v>4621</v>
      </c>
      <c r="BN227" t="s">
        <v>74</v>
      </c>
      <c r="BO227" t="s">
        <v>74</v>
      </c>
      <c r="BP227" t="s">
        <v>74</v>
      </c>
      <c r="BQ227" t="s">
        <v>74</v>
      </c>
      <c r="BR227" t="s">
        <v>99</v>
      </c>
      <c r="BS227" t="s">
        <v>4622</v>
      </c>
      <c r="BT227" t="str">
        <f>HYPERLINK("https%3A%2F%2Fwww.webofscience.com%2Fwos%2Fwoscc%2Ffull-record%2FWOS:001065096800001","View Full Record in Web of Science")</f>
        <v>View Full Record in Web of Science</v>
      </c>
    </row>
    <row r="228" spans="1:72" x14ac:dyDescent="0.15">
      <c r="A228" t="s">
        <v>72</v>
      </c>
      <c r="B228" t="s">
        <v>4623</v>
      </c>
      <c r="C228" t="s">
        <v>74</v>
      </c>
      <c r="D228" t="s">
        <v>74</v>
      </c>
      <c r="E228" t="s">
        <v>74</v>
      </c>
      <c r="F228" t="s">
        <v>4624</v>
      </c>
      <c r="G228" t="s">
        <v>74</v>
      </c>
      <c r="H228" t="s">
        <v>74</v>
      </c>
      <c r="I228" t="s">
        <v>4625</v>
      </c>
      <c r="J228" t="s">
        <v>4626</v>
      </c>
      <c r="K228" t="s">
        <v>74</v>
      </c>
      <c r="L228" t="s">
        <v>74</v>
      </c>
      <c r="M228" t="s">
        <v>78</v>
      </c>
      <c r="N228" t="s">
        <v>338</v>
      </c>
      <c r="O228" t="s">
        <v>74</v>
      </c>
      <c r="P228" t="s">
        <v>74</v>
      </c>
      <c r="Q228" t="s">
        <v>74</v>
      </c>
      <c r="R228" t="s">
        <v>74</v>
      </c>
      <c r="S228" t="s">
        <v>74</v>
      </c>
      <c r="T228" t="s">
        <v>4627</v>
      </c>
      <c r="U228" t="s">
        <v>4628</v>
      </c>
      <c r="V228" t="s">
        <v>4629</v>
      </c>
      <c r="W228" t="s">
        <v>4630</v>
      </c>
      <c r="X228" t="s">
        <v>4631</v>
      </c>
      <c r="Y228" t="s">
        <v>4632</v>
      </c>
      <c r="Z228" t="s">
        <v>4633</v>
      </c>
      <c r="AA228" t="s">
        <v>4634</v>
      </c>
      <c r="AB228" t="s">
        <v>4635</v>
      </c>
      <c r="AC228" t="s">
        <v>4636</v>
      </c>
      <c r="AD228" t="s">
        <v>4637</v>
      </c>
      <c r="AE228" t="s">
        <v>4638</v>
      </c>
      <c r="AF228" t="s">
        <v>74</v>
      </c>
      <c r="AG228">
        <v>55</v>
      </c>
      <c r="AH228">
        <v>0</v>
      </c>
      <c r="AI228">
        <v>0</v>
      </c>
      <c r="AJ228">
        <v>6</v>
      </c>
      <c r="AK228">
        <v>6</v>
      </c>
      <c r="AL228" t="s">
        <v>87</v>
      </c>
      <c r="AM228" t="s">
        <v>88</v>
      </c>
      <c r="AN228" t="s">
        <v>89</v>
      </c>
      <c r="AO228" t="s">
        <v>4639</v>
      </c>
      <c r="AP228" t="s">
        <v>4640</v>
      </c>
      <c r="AQ228" t="s">
        <v>74</v>
      </c>
      <c r="AR228" t="s">
        <v>4641</v>
      </c>
      <c r="AS228" t="s">
        <v>4642</v>
      </c>
      <c r="AT228" t="s">
        <v>4575</v>
      </c>
      <c r="AU228">
        <v>2023</v>
      </c>
      <c r="AV228" t="s">
        <v>74</v>
      </c>
      <c r="AW228" t="s">
        <v>74</v>
      </c>
      <c r="AX228" t="s">
        <v>74</v>
      </c>
      <c r="AY228" t="s">
        <v>74</v>
      </c>
      <c r="AZ228" t="s">
        <v>74</v>
      </c>
      <c r="BA228" t="s">
        <v>74</v>
      </c>
      <c r="BB228" t="s">
        <v>74</v>
      </c>
      <c r="BC228" t="s">
        <v>74</v>
      </c>
      <c r="BD228" t="s">
        <v>74</v>
      </c>
      <c r="BE228" t="s">
        <v>4643</v>
      </c>
      <c r="BF228" t="str">
        <f>HYPERLINK("http://dx.doi.org/10.1002/adhm.202301413","http://dx.doi.org/10.1002/adhm.202301413")</f>
        <v>http://dx.doi.org/10.1002/adhm.202301413</v>
      </c>
      <c r="BG228" t="s">
        <v>74</v>
      </c>
      <c r="BH228" t="s">
        <v>407</v>
      </c>
      <c r="BI228">
        <v>14</v>
      </c>
      <c r="BJ228" t="s">
        <v>4644</v>
      </c>
      <c r="BK228" t="s">
        <v>119</v>
      </c>
      <c r="BL228" t="s">
        <v>4645</v>
      </c>
      <c r="BM228" t="s">
        <v>4646</v>
      </c>
      <c r="BN228">
        <v>37657182</v>
      </c>
      <c r="BO228" t="s">
        <v>74</v>
      </c>
      <c r="BP228" t="s">
        <v>74</v>
      </c>
      <c r="BQ228" t="s">
        <v>74</v>
      </c>
      <c r="BR228" t="s">
        <v>99</v>
      </c>
      <c r="BS228" t="s">
        <v>4647</v>
      </c>
      <c r="BT228" t="str">
        <f>HYPERLINK("https%3A%2F%2Fwww.webofscience.com%2Fwos%2Fwoscc%2Ffull-record%2FWOS:001070133000001","View Full Record in Web of Science")</f>
        <v>View Full Record in Web of Science</v>
      </c>
    </row>
    <row r="229" spans="1:72" x14ac:dyDescent="0.15">
      <c r="A229" t="s">
        <v>72</v>
      </c>
      <c r="B229" t="s">
        <v>4648</v>
      </c>
      <c r="C229" t="s">
        <v>74</v>
      </c>
      <c r="D229" t="s">
        <v>74</v>
      </c>
      <c r="E229" t="s">
        <v>74</v>
      </c>
      <c r="F229" t="s">
        <v>4649</v>
      </c>
      <c r="G229" t="s">
        <v>74</v>
      </c>
      <c r="H229" t="s">
        <v>74</v>
      </c>
      <c r="I229" t="s">
        <v>4650</v>
      </c>
      <c r="J229" t="s">
        <v>4651</v>
      </c>
      <c r="K229" t="s">
        <v>74</v>
      </c>
      <c r="L229" t="s">
        <v>74</v>
      </c>
      <c r="M229" t="s">
        <v>78</v>
      </c>
      <c r="N229" t="s">
        <v>338</v>
      </c>
      <c r="O229" t="s">
        <v>74</v>
      </c>
      <c r="P229" t="s">
        <v>74</v>
      </c>
      <c r="Q229" t="s">
        <v>74</v>
      </c>
      <c r="R229" t="s">
        <v>74</v>
      </c>
      <c r="S229" t="s">
        <v>74</v>
      </c>
      <c r="T229" t="s">
        <v>4652</v>
      </c>
      <c r="U229" t="s">
        <v>4653</v>
      </c>
      <c r="V229" t="s">
        <v>4654</v>
      </c>
      <c r="W229" t="s">
        <v>4655</v>
      </c>
      <c r="X229" t="s">
        <v>4656</v>
      </c>
      <c r="Y229" t="s">
        <v>4657</v>
      </c>
      <c r="Z229" t="s">
        <v>4658</v>
      </c>
      <c r="AA229" t="s">
        <v>4659</v>
      </c>
      <c r="AB229" t="s">
        <v>4660</v>
      </c>
      <c r="AC229" t="s">
        <v>4661</v>
      </c>
      <c r="AD229" t="s">
        <v>4661</v>
      </c>
      <c r="AE229" t="s">
        <v>4662</v>
      </c>
      <c r="AF229" t="s">
        <v>74</v>
      </c>
      <c r="AG229">
        <v>103</v>
      </c>
      <c r="AH229">
        <v>0</v>
      </c>
      <c r="AI229">
        <v>0</v>
      </c>
      <c r="AJ229">
        <v>5</v>
      </c>
      <c r="AK229">
        <v>5</v>
      </c>
      <c r="AL229" t="s">
        <v>87</v>
      </c>
      <c r="AM229" t="s">
        <v>88</v>
      </c>
      <c r="AN229" t="s">
        <v>89</v>
      </c>
      <c r="AO229" t="s">
        <v>4663</v>
      </c>
      <c r="AP229" t="s">
        <v>4664</v>
      </c>
      <c r="AQ229" t="s">
        <v>74</v>
      </c>
      <c r="AR229" t="s">
        <v>4665</v>
      </c>
      <c r="AS229" t="s">
        <v>4666</v>
      </c>
      <c r="AT229" t="s">
        <v>4575</v>
      </c>
      <c r="AU229">
        <v>2023</v>
      </c>
      <c r="AV229" t="s">
        <v>74</v>
      </c>
      <c r="AW229" t="s">
        <v>74</v>
      </c>
      <c r="AX229" t="s">
        <v>74</v>
      </c>
      <c r="AY229" t="s">
        <v>74</v>
      </c>
      <c r="AZ229" t="s">
        <v>74</v>
      </c>
      <c r="BA229" t="s">
        <v>74</v>
      </c>
      <c r="BB229" t="s">
        <v>74</v>
      </c>
      <c r="BC229" t="s">
        <v>74</v>
      </c>
      <c r="BD229" t="s">
        <v>74</v>
      </c>
      <c r="BE229" t="s">
        <v>4667</v>
      </c>
      <c r="BF229" t="str">
        <f>HYPERLINK("http://dx.doi.org/10.1111/joop.12465","http://dx.doi.org/10.1111/joop.12465")</f>
        <v>http://dx.doi.org/10.1111/joop.12465</v>
      </c>
      <c r="BG229" t="s">
        <v>74</v>
      </c>
      <c r="BH229" t="s">
        <v>407</v>
      </c>
      <c r="BI229">
        <v>30</v>
      </c>
      <c r="BJ229" t="s">
        <v>2517</v>
      </c>
      <c r="BK229" t="s">
        <v>546</v>
      </c>
      <c r="BL229" t="s">
        <v>2518</v>
      </c>
      <c r="BM229" t="s">
        <v>4668</v>
      </c>
      <c r="BN229" t="s">
        <v>74</v>
      </c>
      <c r="BO229" t="s">
        <v>74</v>
      </c>
      <c r="BP229" t="s">
        <v>74</v>
      </c>
      <c r="BQ229" t="s">
        <v>74</v>
      </c>
      <c r="BR229" t="s">
        <v>99</v>
      </c>
      <c r="BS229" t="s">
        <v>4669</v>
      </c>
      <c r="BT229" t="str">
        <f>HYPERLINK("https%3A%2F%2Fwww.webofscience.com%2Fwos%2Fwoscc%2Ffull-record%2FWOS:001064914800001","View Full Record in Web of Science")</f>
        <v>View Full Record in Web of Science</v>
      </c>
    </row>
    <row r="230" spans="1:72" x14ac:dyDescent="0.15">
      <c r="A230" t="s">
        <v>72</v>
      </c>
      <c r="B230" t="s">
        <v>4670</v>
      </c>
      <c r="C230" t="s">
        <v>74</v>
      </c>
      <c r="D230" t="s">
        <v>74</v>
      </c>
      <c r="E230" t="s">
        <v>74</v>
      </c>
      <c r="F230" t="s">
        <v>4671</v>
      </c>
      <c r="G230" t="s">
        <v>74</v>
      </c>
      <c r="H230" t="s">
        <v>74</v>
      </c>
      <c r="I230" t="s">
        <v>4672</v>
      </c>
      <c r="J230" t="s">
        <v>4673</v>
      </c>
      <c r="K230" t="s">
        <v>74</v>
      </c>
      <c r="L230" t="s">
        <v>74</v>
      </c>
      <c r="M230" t="s">
        <v>78</v>
      </c>
      <c r="N230" t="s">
        <v>594</v>
      </c>
      <c r="O230" t="s">
        <v>74</v>
      </c>
      <c r="P230" t="s">
        <v>74</v>
      </c>
      <c r="Q230" t="s">
        <v>74</v>
      </c>
      <c r="R230" t="s">
        <v>74</v>
      </c>
      <c r="S230" t="s">
        <v>74</v>
      </c>
      <c r="T230" t="s">
        <v>4674</v>
      </c>
      <c r="U230" t="s">
        <v>4675</v>
      </c>
      <c r="V230" t="s">
        <v>4676</v>
      </c>
      <c r="W230" t="s">
        <v>4677</v>
      </c>
      <c r="X230" t="s">
        <v>4678</v>
      </c>
      <c r="Y230" t="s">
        <v>4679</v>
      </c>
      <c r="Z230" t="s">
        <v>4680</v>
      </c>
      <c r="AA230" t="s">
        <v>4681</v>
      </c>
      <c r="AB230" t="s">
        <v>4682</v>
      </c>
      <c r="AC230" t="s">
        <v>4683</v>
      </c>
      <c r="AD230" t="s">
        <v>4683</v>
      </c>
      <c r="AE230" t="s">
        <v>4683</v>
      </c>
      <c r="AF230" t="s">
        <v>74</v>
      </c>
      <c r="AG230">
        <v>81</v>
      </c>
      <c r="AH230">
        <v>0</v>
      </c>
      <c r="AI230">
        <v>0</v>
      </c>
      <c r="AJ230">
        <v>2</v>
      </c>
      <c r="AK230">
        <v>2</v>
      </c>
      <c r="AL230" t="s">
        <v>87</v>
      </c>
      <c r="AM230" t="s">
        <v>88</v>
      </c>
      <c r="AN230" t="s">
        <v>89</v>
      </c>
      <c r="AO230" t="s">
        <v>4684</v>
      </c>
      <c r="AP230" t="s">
        <v>4685</v>
      </c>
      <c r="AQ230" t="s">
        <v>74</v>
      </c>
      <c r="AR230" t="s">
        <v>4686</v>
      </c>
      <c r="AS230" t="s">
        <v>4687</v>
      </c>
      <c r="AT230" t="s">
        <v>4575</v>
      </c>
      <c r="AU230">
        <v>2023</v>
      </c>
      <c r="AV230" t="s">
        <v>74</v>
      </c>
      <c r="AW230" t="s">
        <v>74</v>
      </c>
      <c r="AX230" t="s">
        <v>74</v>
      </c>
      <c r="AY230" t="s">
        <v>74</v>
      </c>
      <c r="AZ230" t="s">
        <v>74</v>
      </c>
      <c r="BA230" t="s">
        <v>74</v>
      </c>
      <c r="BB230" t="s">
        <v>74</v>
      </c>
      <c r="BC230" t="s">
        <v>74</v>
      </c>
      <c r="BD230" t="s">
        <v>74</v>
      </c>
      <c r="BE230" t="s">
        <v>4688</v>
      </c>
      <c r="BF230" t="str">
        <f>HYPERLINK("http://dx.doi.org/10.1111/jebm.12547","http://dx.doi.org/10.1111/jebm.12547")</f>
        <v>http://dx.doi.org/10.1111/jebm.12547</v>
      </c>
      <c r="BG230" t="s">
        <v>74</v>
      </c>
      <c r="BH230" t="s">
        <v>407</v>
      </c>
      <c r="BI230">
        <v>18</v>
      </c>
      <c r="BJ230" t="s">
        <v>4689</v>
      </c>
      <c r="BK230" t="s">
        <v>119</v>
      </c>
      <c r="BL230" t="s">
        <v>4690</v>
      </c>
      <c r="BM230" t="s">
        <v>4691</v>
      </c>
      <c r="BN230">
        <v>37691394</v>
      </c>
      <c r="BO230" t="s">
        <v>74</v>
      </c>
      <c r="BP230" t="s">
        <v>74</v>
      </c>
      <c r="BQ230" t="s">
        <v>74</v>
      </c>
      <c r="BR230" t="s">
        <v>99</v>
      </c>
      <c r="BS230" t="s">
        <v>4692</v>
      </c>
      <c r="BT230" t="str">
        <f>HYPERLINK("https%3A%2F%2Fwww.webofscience.com%2Fwos%2Fwoscc%2Ffull-record%2FWOS:001061942800001","View Full Record in Web of Science")</f>
        <v>View Full Record in Web of Science</v>
      </c>
    </row>
    <row r="231" spans="1:72" x14ac:dyDescent="0.15">
      <c r="A231" t="s">
        <v>72</v>
      </c>
      <c r="B231" t="s">
        <v>4693</v>
      </c>
      <c r="C231" t="s">
        <v>74</v>
      </c>
      <c r="D231" t="s">
        <v>74</v>
      </c>
      <c r="E231" t="s">
        <v>74</v>
      </c>
      <c r="F231" t="s">
        <v>4694</v>
      </c>
      <c r="G231" t="s">
        <v>74</v>
      </c>
      <c r="H231" t="s">
        <v>74</v>
      </c>
      <c r="I231" t="s">
        <v>4695</v>
      </c>
      <c r="J231" t="s">
        <v>4696</v>
      </c>
      <c r="K231" t="s">
        <v>74</v>
      </c>
      <c r="L231" t="s">
        <v>74</v>
      </c>
      <c r="M231" t="s">
        <v>78</v>
      </c>
      <c r="N231" t="s">
        <v>338</v>
      </c>
      <c r="O231" t="s">
        <v>74</v>
      </c>
      <c r="P231" t="s">
        <v>74</v>
      </c>
      <c r="Q231" t="s">
        <v>74</v>
      </c>
      <c r="R231" t="s">
        <v>74</v>
      </c>
      <c r="S231" t="s">
        <v>74</v>
      </c>
      <c r="T231" t="s">
        <v>4697</v>
      </c>
      <c r="U231" t="s">
        <v>4698</v>
      </c>
      <c r="V231" t="s">
        <v>4699</v>
      </c>
      <c r="W231" t="s">
        <v>4700</v>
      </c>
      <c r="X231" t="s">
        <v>4701</v>
      </c>
      <c r="Y231" t="s">
        <v>4702</v>
      </c>
      <c r="Z231" t="s">
        <v>4703</v>
      </c>
      <c r="AA231" t="s">
        <v>74</v>
      </c>
      <c r="AB231" t="s">
        <v>74</v>
      </c>
      <c r="AC231" t="s">
        <v>4704</v>
      </c>
      <c r="AD231" t="s">
        <v>4704</v>
      </c>
      <c r="AE231" t="s">
        <v>4704</v>
      </c>
      <c r="AF231" t="s">
        <v>74</v>
      </c>
      <c r="AG231">
        <v>31</v>
      </c>
      <c r="AH231">
        <v>0</v>
      </c>
      <c r="AI231">
        <v>0</v>
      </c>
      <c r="AJ231">
        <v>0</v>
      </c>
      <c r="AK231">
        <v>0</v>
      </c>
      <c r="AL231" t="s">
        <v>87</v>
      </c>
      <c r="AM231" t="s">
        <v>88</v>
      </c>
      <c r="AN231" t="s">
        <v>89</v>
      </c>
      <c r="AO231" t="s">
        <v>4705</v>
      </c>
      <c r="AP231" t="s">
        <v>74</v>
      </c>
      <c r="AQ231" t="s">
        <v>74</v>
      </c>
      <c r="AR231" t="s">
        <v>4706</v>
      </c>
      <c r="AS231" t="s">
        <v>4707</v>
      </c>
      <c r="AT231" t="s">
        <v>4575</v>
      </c>
      <c r="AU231">
        <v>2023</v>
      </c>
      <c r="AV231" t="s">
        <v>74</v>
      </c>
      <c r="AW231" t="s">
        <v>74</v>
      </c>
      <c r="AX231" t="s">
        <v>74</v>
      </c>
      <c r="AY231" t="s">
        <v>74</v>
      </c>
      <c r="AZ231" t="s">
        <v>74</v>
      </c>
      <c r="BA231" t="s">
        <v>74</v>
      </c>
      <c r="BB231" t="s">
        <v>74</v>
      </c>
      <c r="BC231" t="s">
        <v>74</v>
      </c>
      <c r="BD231" t="s">
        <v>74</v>
      </c>
      <c r="BE231" t="s">
        <v>4708</v>
      </c>
      <c r="BF231" t="str">
        <f>HYPERLINK("http://dx.doi.org/10.1002/fsn3.3630","http://dx.doi.org/10.1002/fsn3.3630")</f>
        <v>http://dx.doi.org/10.1002/fsn3.3630</v>
      </c>
      <c r="BG231" t="s">
        <v>74</v>
      </c>
      <c r="BH231" t="s">
        <v>407</v>
      </c>
      <c r="BI231">
        <v>9</v>
      </c>
      <c r="BJ231" t="s">
        <v>433</v>
      </c>
      <c r="BK231" t="s">
        <v>119</v>
      </c>
      <c r="BL231" t="s">
        <v>433</v>
      </c>
      <c r="BM231" t="s">
        <v>4709</v>
      </c>
      <c r="BN231" t="s">
        <v>74</v>
      </c>
      <c r="BO231" t="s">
        <v>74</v>
      </c>
      <c r="BP231" t="s">
        <v>74</v>
      </c>
      <c r="BQ231" t="s">
        <v>74</v>
      </c>
      <c r="BR231" t="s">
        <v>99</v>
      </c>
      <c r="BS231" t="s">
        <v>4710</v>
      </c>
      <c r="BT231" t="str">
        <f>HYPERLINK("https%3A%2F%2Fwww.webofscience.com%2Fwos%2Fwoscc%2Ffull-record%2FWOS:001064911600001","View Full Record in Web of Science")</f>
        <v>View Full Record in Web of Science</v>
      </c>
    </row>
    <row r="232" spans="1:72" x14ac:dyDescent="0.15">
      <c r="A232" t="s">
        <v>72</v>
      </c>
      <c r="B232" t="s">
        <v>4711</v>
      </c>
      <c r="C232" t="s">
        <v>74</v>
      </c>
      <c r="D232" t="s">
        <v>74</v>
      </c>
      <c r="E232" t="s">
        <v>74</v>
      </c>
      <c r="F232" t="s">
        <v>4712</v>
      </c>
      <c r="G232" t="s">
        <v>74</v>
      </c>
      <c r="H232" t="s">
        <v>74</v>
      </c>
      <c r="I232" t="s">
        <v>4713</v>
      </c>
      <c r="J232" t="s">
        <v>4714</v>
      </c>
      <c r="K232" t="s">
        <v>74</v>
      </c>
      <c r="L232" t="s">
        <v>74</v>
      </c>
      <c r="M232" t="s">
        <v>78</v>
      </c>
      <c r="N232" t="s">
        <v>338</v>
      </c>
      <c r="O232" t="s">
        <v>74</v>
      </c>
      <c r="P232" t="s">
        <v>74</v>
      </c>
      <c r="Q232" t="s">
        <v>74</v>
      </c>
      <c r="R232" t="s">
        <v>74</v>
      </c>
      <c r="S232" t="s">
        <v>74</v>
      </c>
      <c r="T232" t="s">
        <v>4715</v>
      </c>
      <c r="U232" t="s">
        <v>4716</v>
      </c>
      <c r="V232" t="s">
        <v>4717</v>
      </c>
      <c r="W232" t="s">
        <v>4718</v>
      </c>
      <c r="X232" t="s">
        <v>4719</v>
      </c>
      <c r="Y232" t="s">
        <v>4720</v>
      </c>
      <c r="Z232" t="s">
        <v>4721</v>
      </c>
      <c r="AA232" t="s">
        <v>74</v>
      </c>
      <c r="AB232" t="s">
        <v>74</v>
      </c>
      <c r="AC232" t="s">
        <v>4722</v>
      </c>
      <c r="AD232" t="s">
        <v>4722</v>
      </c>
      <c r="AE232" t="s">
        <v>4722</v>
      </c>
      <c r="AF232" t="s">
        <v>74</v>
      </c>
      <c r="AG232">
        <v>34</v>
      </c>
      <c r="AH232">
        <v>0</v>
      </c>
      <c r="AI232">
        <v>0</v>
      </c>
      <c r="AJ232">
        <v>0</v>
      </c>
      <c r="AK232">
        <v>0</v>
      </c>
      <c r="AL232" t="s">
        <v>87</v>
      </c>
      <c r="AM232" t="s">
        <v>88</v>
      </c>
      <c r="AN232" t="s">
        <v>89</v>
      </c>
      <c r="AO232" t="s">
        <v>4723</v>
      </c>
      <c r="AP232" t="s">
        <v>4724</v>
      </c>
      <c r="AQ232" t="s">
        <v>74</v>
      </c>
      <c r="AR232" t="s">
        <v>4725</v>
      </c>
      <c r="AS232" t="s">
        <v>4726</v>
      </c>
      <c r="AT232" t="s">
        <v>4727</v>
      </c>
      <c r="AU232">
        <v>2023</v>
      </c>
      <c r="AV232" t="s">
        <v>74</v>
      </c>
      <c r="AW232" t="s">
        <v>74</v>
      </c>
      <c r="AX232" t="s">
        <v>74</v>
      </c>
      <c r="AY232" t="s">
        <v>74</v>
      </c>
      <c r="AZ232" t="s">
        <v>74</v>
      </c>
      <c r="BA232" t="s">
        <v>74</v>
      </c>
      <c r="BB232" t="s">
        <v>74</v>
      </c>
      <c r="BC232" t="s">
        <v>74</v>
      </c>
      <c r="BD232" t="s">
        <v>74</v>
      </c>
      <c r="BE232" t="s">
        <v>4728</v>
      </c>
      <c r="BF232" t="str">
        <f>HYPERLINK("http://dx.doi.org/10.1111/1440-1681.13819","http://dx.doi.org/10.1111/1440-1681.13819")</f>
        <v>http://dx.doi.org/10.1111/1440-1681.13819</v>
      </c>
      <c r="BG232" t="s">
        <v>74</v>
      </c>
      <c r="BH232" t="s">
        <v>407</v>
      </c>
      <c r="BI232">
        <v>10</v>
      </c>
      <c r="BJ232" t="s">
        <v>4729</v>
      </c>
      <c r="BK232" t="s">
        <v>119</v>
      </c>
      <c r="BL232" t="s">
        <v>4729</v>
      </c>
      <c r="BM232" t="s">
        <v>4730</v>
      </c>
      <c r="BN232">
        <v>37688444</v>
      </c>
      <c r="BO232" t="s">
        <v>301</v>
      </c>
      <c r="BP232" t="s">
        <v>74</v>
      </c>
      <c r="BQ232" t="s">
        <v>74</v>
      </c>
      <c r="BR232" t="s">
        <v>99</v>
      </c>
      <c r="BS232" t="s">
        <v>4731</v>
      </c>
      <c r="BT232" t="str">
        <f>HYPERLINK("https%3A%2F%2Fwww.webofscience.com%2Fwos%2Fwoscc%2Ffull-record%2FWOS:001064376800001","View Full Record in Web of Science")</f>
        <v>View Full Record in Web of Science</v>
      </c>
    </row>
    <row r="233" spans="1:72" x14ac:dyDescent="0.15">
      <c r="A233" t="s">
        <v>72</v>
      </c>
      <c r="B233" t="s">
        <v>4732</v>
      </c>
      <c r="C233" t="s">
        <v>74</v>
      </c>
      <c r="D233" t="s">
        <v>74</v>
      </c>
      <c r="E233" t="s">
        <v>74</v>
      </c>
      <c r="F233" t="s">
        <v>4733</v>
      </c>
      <c r="G233" t="s">
        <v>74</v>
      </c>
      <c r="H233" t="s">
        <v>74</v>
      </c>
      <c r="I233" t="s">
        <v>4734</v>
      </c>
      <c r="J233" t="s">
        <v>4735</v>
      </c>
      <c r="K233" t="s">
        <v>74</v>
      </c>
      <c r="L233" t="s">
        <v>74</v>
      </c>
      <c r="M233" t="s">
        <v>78</v>
      </c>
      <c r="N233" t="s">
        <v>338</v>
      </c>
      <c r="O233" t="s">
        <v>74</v>
      </c>
      <c r="P233" t="s">
        <v>74</v>
      </c>
      <c r="Q233" t="s">
        <v>74</v>
      </c>
      <c r="R233" t="s">
        <v>74</v>
      </c>
      <c r="S233" t="s">
        <v>74</v>
      </c>
      <c r="T233" t="s">
        <v>4736</v>
      </c>
      <c r="U233" t="s">
        <v>74</v>
      </c>
      <c r="V233" t="s">
        <v>4737</v>
      </c>
      <c r="W233" t="s">
        <v>74</v>
      </c>
      <c r="X233" t="s">
        <v>74</v>
      </c>
      <c r="Y233" t="s">
        <v>74</v>
      </c>
      <c r="Z233" t="s">
        <v>4738</v>
      </c>
      <c r="AA233" t="s">
        <v>74</v>
      </c>
      <c r="AB233" t="s">
        <v>74</v>
      </c>
      <c r="AC233" t="s">
        <v>4739</v>
      </c>
      <c r="AD233" t="s">
        <v>4739</v>
      </c>
      <c r="AE233" t="s">
        <v>4739</v>
      </c>
      <c r="AF233" t="s">
        <v>74</v>
      </c>
      <c r="AG233">
        <v>21</v>
      </c>
      <c r="AH233">
        <v>0</v>
      </c>
      <c r="AI233">
        <v>0</v>
      </c>
      <c r="AJ233">
        <v>2</v>
      </c>
      <c r="AK233">
        <v>2</v>
      </c>
      <c r="AL233" t="s">
        <v>87</v>
      </c>
      <c r="AM233" t="s">
        <v>88</v>
      </c>
      <c r="AN233" t="s">
        <v>89</v>
      </c>
      <c r="AO233" t="s">
        <v>4740</v>
      </c>
      <c r="AP233" t="s">
        <v>4741</v>
      </c>
      <c r="AQ233" t="s">
        <v>74</v>
      </c>
      <c r="AR233" t="s">
        <v>4742</v>
      </c>
      <c r="AS233" t="s">
        <v>4743</v>
      </c>
      <c r="AT233" t="s">
        <v>4727</v>
      </c>
      <c r="AU233">
        <v>2023</v>
      </c>
      <c r="AV233" t="s">
        <v>74</v>
      </c>
      <c r="AW233" t="s">
        <v>74</v>
      </c>
      <c r="AX233" t="s">
        <v>74</v>
      </c>
      <c r="AY233" t="s">
        <v>74</v>
      </c>
      <c r="AZ233" t="s">
        <v>74</v>
      </c>
      <c r="BA233" t="s">
        <v>74</v>
      </c>
      <c r="BB233" t="s">
        <v>74</v>
      </c>
      <c r="BC233" t="s">
        <v>74</v>
      </c>
      <c r="BD233" t="s">
        <v>74</v>
      </c>
      <c r="BE233" t="s">
        <v>4744</v>
      </c>
      <c r="BF233" t="str">
        <f>HYPERLINK("http://dx.doi.org/10.1111/fcre.12756","http://dx.doi.org/10.1111/fcre.12756")</f>
        <v>http://dx.doi.org/10.1111/fcre.12756</v>
      </c>
      <c r="BG233" t="s">
        <v>74</v>
      </c>
      <c r="BH233" t="s">
        <v>407</v>
      </c>
      <c r="BI233">
        <v>12</v>
      </c>
      <c r="BJ233" t="s">
        <v>4745</v>
      </c>
      <c r="BK233" t="s">
        <v>96</v>
      </c>
      <c r="BL233" t="s">
        <v>4746</v>
      </c>
      <c r="BM233" t="s">
        <v>4747</v>
      </c>
      <c r="BN233" t="s">
        <v>74</v>
      </c>
      <c r="BO233" t="s">
        <v>74</v>
      </c>
      <c r="BP233" t="s">
        <v>74</v>
      </c>
      <c r="BQ233" t="s">
        <v>74</v>
      </c>
      <c r="BR233" t="s">
        <v>99</v>
      </c>
      <c r="BS233" t="s">
        <v>4748</v>
      </c>
      <c r="BT233" t="str">
        <f>HYPERLINK("https%3A%2F%2Fwww.webofscience.com%2Fwos%2Fwoscc%2Ffull-record%2FWOS:001061426600001","View Full Record in Web of Science")</f>
        <v>View Full Record in Web of Science</v>
      </c>
    </row>
    <row r="234" spans="1:72" x14ac:dyDescent="0.15">
      <c r="A234" t="s">
        <v>72</v>
      </c>
      <c r="B234" t="s">
        <v>4749</v>
      </c>
      <c r="C234" t="s">
        <v>74</v>
      </c>
      <c r="D234" t="s">
        <v>74</v>
      </c>
      <c r="E234" t="s">
        <v>74</v>
      </c>
      <c r="F234" t="s">
        <v>4750</v>
      </c>
      <c r="G234" t="s">
        <v>74</v>
      </c>
      <c r="H234" t="s">
        <v>74</v>
      </c>
      <c r="I234" t="s">
        <v>4751</v>
      </c>
      <c r="J234" t="s">
        <v>4752</v>
      </c>
      <c r="K234" t="s">
        <v>74</v>
      </c>
      <c r="L234" t="s">
        <v>74</v>
      </c>
      <c r="M234" t="s">
        <v>78</v>
      </c>
      <c r="N234" t="s">
        <v>338</v>
      </c>
      <c r="O234" t="s">
        <v>74</v>
      </c>
      <c r="P234" t="s">
        <v>74</v>
      </c>
      <c r="Q234" t="s">
        <v>74</v>
      </c>
      <c r="R234" t="s">
        <v>74</v>
      </c>
      <c r="S234" t="s">
        <v>74</v>
      </c>
      <c r="T234" t="s">
        <v>74</v>
      </c>
      <c r="U234" t="s">
        <v>4753</v>
      </c>
      <c r="V234" t="s">
        <v>4754</v>
      </c>
      <c r="W234" t="s">
        <v>4755</v>
      </c>
      <c r="X234" t="s">
        <v>4756</v>
      </c>
      <c r="Y234" t="s">
        <v>4757</v>
      </c>
      <c r="Z234" t="s">
        <v>4758</v>
      </c>
      <c r="AA234" t="s">
        <v>74</v>
      </c>
      <c r="AB234" t="s">
        <v>74</v>
      </c>
      <c r="AC234" t="s">
        <v>4759</v>
      </c>
      <c r="AD234" t="s">
        <v>4760</v>
      </c>
      <c r="AE234" t="s">
        <v>4761</v>
      </c>
      <c r="AF234" t="s">
        <v>74</v>
      </c>
      <c r="AG234">
        <v>115</v>
      </c>
      <c r="AH234">
        <v>0</v>
      </c>
      <c r="AI234">
        <v>0</v>
      </c>
      <c r="AJ234">
        <v>0</v>
      </c>
      <c r="AK234">
        <v>0</v>
      </c>
      <c r="AL234" t="s">
        <v>87</v>
      </c>
      <c r="AM234" t="s">
        <v>88</v>
      </c>
      <c r="AN234" t="s">
        <v>89</v>
      </c>
      <c r="AO234" t="s">
        <v>4762</v>
      </c>
      <c r="AP234" t="s">
        <v>4763</v>
      </c>
      <c r="AQ234" t="s">
        <v>74</v>
      </c>
      <c r="AR234" t="s">
        <v>4764</v>
      </c>
      <c r="AS234" t="s">
        <v>4765</v>
      </c>
      <c r="AT234" t="s">
        <v>4727</v>
      </c>
      <c r="AU234">
        <v>2023</v>
      </c>
      <c r="AV234" t="s">
        <v>74</v>
      </c>
      <c r="AW234" t="s">
        <v>74</v>
      </c>
      <c r="AX234" t="s">
        <v>74</v>
      </c>
      <c r="AY234" t="s">
        <v>74</v>
      </c>
      <c r="AZ234" t="s">
        <v>74</v>
      </c>
      <c r="BA234" t="s">
        <v>74</v>
      </c>
      <c r="BB234" t="s">
        <v>74</v>
      </c>
      <c r="BC234" t="s">
        <v>74</v>
      </c>
      <c r="BD234" t="s">
        <v>74</v>
      </c>
      <c r="BE234" t="s">
        <v>4766</v>
      </c>
      <c r="BF234" t="str">
        <f>HYPERLINK("http://dx.doi.org/10.1112/jlms.12813","http://dx.doi.org/10.1112/jlms.12813")</f>
        <v>http://dx.doi.org/10.1112/jlms.12813</v>
      </c>
      <c r="BG234" t="s">
        <v>74</v>
      </c>
      <c r="BH234" t="s">
        <v>407</v>
      </c>
      <c r="BI234">
        <v>62</v>
      </c>
      <c r="BJ234" t="s">
        <v>120</v>
      </c>
      <c r="BK234" t="s">
        <v>119</v>
      </c>
      <c r="BL234" t="s">
        <v>120</v>
      </c>
      <c r="BM234" t="s">
        <v>4767</v>
      </c>
      <c r="BN234" t="s">
        <v>74</v>
      </c>
      <c r="BO234" t="s">
        <v>4768</v>
      </c>
      <c r="BP234" t="s">
        <v>74</v>
      </c>
      <c r="BQ234" t="s">
        <v>74</v>
      </c>
      <c r="BR234" t="s">
        <v>99</v>
      </c>
      <c r="BS234" t="s">
        <v>4769</v>
      </c>
      <c r="BT234" t="str">
        <f>HYPERLINK("https%3A%2F%2Fwww.webofscience.com%2Fwos%2Fwoscc%2Ffull-record%2FWOS:001061507100001","View Full Record in Web of Science")</f>
        <v>View Full Record in Web of Science</v>
      </c>
    </row>
    <row r="235" spans="1:72" x14ac:dyDescent="0.15">
      <c r="A235" t="s">
        <v>72</v>
      </c>
      <c r="B235" t="s">
        <v>4770</v>
      </c>
      <c r="C235" t="s">
        <v>74</v>
      </c>
      <c r="D235" t="s">
        <v>74</v>
      </c>
      <c r="E235" t="s">
        <v>74</v>
      </c>
      <c r="F235" t="s">
        <v>4771</v>
      </c>
      <c r="G235" t="s">
        <v>74</v>
      </c>
      <c r="H235" t="s">
        <v>74</v>
      </c>
      <c r="I235" t="s">
        <v>4772</v>
      </c>
      <c r="J235" t="s">
        <v>4773</v>
      </c>
      <c r="K235" t="s">
        <v>74</v>
      </c>
      <c r="L235" t="s">
        <v>74</v>
      </c>
      <c r="M235" t="s">
        <v>78</v>
      </c>
      <c r="N235" t="s">
        <v>338</v>
      </c>
      <c r="O235" t="s">
        <v>74</v>
      </c>
      <c r="P235" t="s">
        <v>74</v>
      </c>
      <c r="Q235" t="s">
        <v>74</v>
      </c>
      <c r="R235" t="s">
        <v>74</v>
      </c>
      <c r="S235" t="s">
        <v>74</v>
      </c>
      <c r="T235" t="s">
        <v>4774</v>
      </c>
      <c r="U235" t="s">
        <v>4775</v>
      </c>
      <c r="V235" t="s">
        <v>4776</v>
      </c>
      <c r="W235" t="s">
        <v>4777</v>
      </c>
      <c r="X235" t="s">
        <v>4778</v>
      </c>
      <c r="Y235" t="s">
        <v>4779</v>
      </c>
      <c r="Z235" t="s">
        <v>4780</v>
      </c>
      <c r="AA235" t="s">
        <v>74</v>
      </c>
      <c r="AB235" t="s">
        <v>4781</v>
      </c>
      <c r="AC235" t="s">
        <v>4782</v>
      </c>
      <c r="AD235" t="s">
        <v>4783</v>
      </c>
      <c r="AE235" t="s">
        <v>4784</v>
      </c>
      <c r="AF235" t="s">
        <v>74</v>
      </c>
      <c r="AG235">
        <v>76</v>
      </c>
      <c r="AH235">
        <v>0</v>
      </c>
      <c r="AI235">
        <v>0</v>
      </c>
      <c r="AJ235">
        <v>0</v>
      </c>
      <c r="AK235">
        <v>0</v>
      </c>
      <c r="AL235" t="s">
        <v>87</v>
      </c>
      <c r="AM235" t="s">
        <v>88</v>
      </c>
      <c r="AN235" t="s">
        <v>89</v>
      </c>
      <c r="AO235" t="s">
        <v>4785</v>
      </c>
      <c r="AP235" t="s">
        <v>4786</v>
      </c>
      <c r="AQ235" t="s">
        <v>74</v>
      </c>
      <c r="AR235" t="s">
        <v>4787</v>
      </c>
      <c r="AS235" t="s">
        <v>4788</v>
      </c>
      <c r="AT235" t="s">
        <v>4727</v>
      </c>
      <c r="AU235">
        <v>2023</v>
      </c>
      <c r="AV235" t="s">
        <v>74</v>
      </c>
      <c r="AW235" t="s">
        <v>74</v>
      </c>
      <c r="AX235" t="s">
        <v>74</v>
      </c>
      <c r="AY235" t="s">
        <v>74</v>
      </c>
      <c r="AZ235" t="s">
        <v>74</v>
      </c>
      <c r="BA235" t="s">
        <v>74</v>
      </c>
      <c r="BB235" t="s">
        <v>74</v>
      </c>
      <c r="BC235" t="s">
        <v>74</v>
      </c>
      <c r="BD235" t="s">
        <v>74</v>
      </c>
      <c r="BE235" t="s">
        <v>4789</v>
      </c>
      <c r="BF235" t="str">
        <f>HYPERLINK("http://dx.doi.org/10.1111/sapm.12641","http://dx.doi.org/10.1111/sapm.12641")</f>
        <v>http://dx.doi.org/10.1111/sapm.12641</v>
      </c>
      <c r="BG235" t="s">
        <v>74</v>
      </c>
      <c r="BH235" t="s">
        <v>407</v>
      </c>
      <c r="BI235">
        <v>29</v>
      </c>
      <c r="BJ235" t="s">
        <v>1811</v>
      </c>
      <c r="BK235" t="s">
        <v>119</v>
      </c>
      <c r="BL235" t="s">
        <v>120</v>
      </c>
      <c r="BM235" t="s">
        <v>4790</v>
      </c>
      <c r="BN235" t="s">
        <v>74</v>
      </c>
      <c r="BO235" t="s">
        <v>74</v>
      </c>
      <c r="BP235" t="s">
        <v>74</v>
      </c>
      <c r="BQ235" t="s">
        <v>74</v>
      </c>
      <c r="BR235" t="s">
        <v>99</v>
      </c>
      <c r="BS235" t="s">
        <v>4791</v>
      </c>
      <c r="BT235" t="str">
        <f>HYPERLINK("https%3A%2F%2Fwww.webofscience.com%2Fwos%2Fwoscc%2Ffull-record%2FWOS:001061428900001","View Full Record in Web of Science")</f>
        <v>View Full Record in Web of Science</v>
      </c>
    </row>
    <row r="236" spans="1:72" x14ac:dyDescent="0.15">
      <c r="A236" t="s">
        <v>72</v>
      </c>
      <c r="B236" t="s">
        <v>4792</v>
      </c>
      <c r="C236" t="s">
        <v>74</v>
      </c>
      <c r="D236" t="s">
        <v>74</v>
      </c>
      <c r="E236" t="s">
        <v>74</v>
      </c>
      <c r="F236" t="s">
        <v>4793</v>
      </c>
      <c r="G236" t="s">
        <v>74</v>
      </c>
      <c r="H236" t="s">
        <v>74</v>
      </c>
      <c r="I236" t="s">
        <v>4794</v>
      </c>
      <c r="J236" t="s">
        <v>4795</v>
      </c>
      <c r="K236" t="s">
        <v>74</v>
      </c>
      <c r="L236" t="s">
        <v>74</v>
      </c>
      <c r="M236" t="s">
        <v>78</v>
      </c>
      <c r="N236" t="s">
        <v>338</v>
      </c>
      <c r="O236" t="s">
        <v>74</v>
      </c>
      <c r="P236" t="s">
        <v>74</v>
      </c>
      <c r="Q236" t="s">
        <v>74</v>
      </c>
      <c r="R236" t="s">
        <v>74</v>
      </c>
      <c r="S236" t="s">
        <v>74</v>
      </c>
      <c r="T236" t="s">
        <v>74</v>
      </c>
      <c r="U236" t="s">
        <v>74</v>
      </c>
      <c r="V236" t="s">
        <v>74</v>
      </c>
      <c r="W236" t="s">
        <v>4796</v>
      </c>
      <c r="X236" t="s">
        <v>4797</v>
      </c>
      <c r="Y236" t="s">
        <v>4798</v>
      </c>
      <c r="Z236" t="s">
        <v>4799</v>
      </c>
      <c r="AA236" t="s">
        <v>74</v>
      </c>
      <c r="AB236" t="s">
        <v>4800</v>
      </c>
      <c r="AC236" t="s">
        <v>1708</v>
      </c>
      <c r="AD236" t="s">
        <v>1708</v>
      </c>
      <c r="AE236" t="s">
        <v>1708</v>
      </c>
      <c r="AF236" t="s">
        <v>74</v>
      </c>
      <c r="AG236">
        <v>10</v>
      </c>
      <c r="AH236">
        <v>0</v>
      </c>
      <c r="AI236">
        <v>0</v>
      </c>
      <c r="AJ236">
        <v>0</v>
      </c>
      <c r="AK236">
        <v>0</v>
      </c>
      <c r="AL236" t="s">
        <v>87</v>
      </c>
      <c r="AM236" t="s">
        <v>88</v>
      </c>
      <c r="AN236" t="s">
        <v>89</v>
      </c>
      <c r="AO236" t="s">
        <v>4801</v>
      </c>
      <c r="AP236" t="s">
        <v>4802</v>
      </c>
      <c r="AQ236" t="s">
        <v>74</v>
      </c>
      <c r="AR236" t="s">
        <v>4795</v>
      </c>
      <c r="AS236" t="s">
        <v>4803</v>
      </c>
      <c r="AT236" t="s">
        <v>4727</v>
      </c>
      <c r="AU236">
        <v>2023</v>
      </c>
      <c r="AV236" t="s">
        <v>74</v>
      </c>
      <c r="AW236" t="s">
        <v>74</v>
      </c>
      <c r="AX236" t="s">
        <v>74</v>
      </c>
      <c r="AY236" t="s">
        <v>74</v>
      </c>
      <c r="AZ236" t="s">
        <v>74</v>
      </c>
      <c r="BA236" t="s">
        <v>74</v>
      </c>
      <c r="BB236" t="s">
        <v>74</v>
      </c>
      <c r="BC236" t="s">
        <v>74</v>
      </c>
      <c r="BD236" t="s">
        <v>74</v>
      </c>
      <c r="BE236" t="s">
        <v>4804</v>
      </c>
      <c r="BF236" t="str">
        <f>HYPERLINK("http://dx.doi.org/10.1111/cyt.13296","http://dx.doi.org/10.1111/cyt.13296")</f>
        <v>http://dx.doi.org/10.1111/cyt.13296</v>
      </c>
      <c r="BG236" t="s">
        <v>74</v>
      </c>
      <c r="BH236" t="s">
        <v>407</v>
      </c>
      <c r="BI236">
        <v>4</v>
      </c>
      <c r="BJ236" t="s">
        <v>4805</v>
      </c>
      <c r="BK236" t="s">
        <v>119</v>
      </c>
      <c r="BL236" t="s">
        <v>4805</v>
      </c>
      <c r="BM236" t="s">
        <v>4806</v>
      </c>
      <c r="BN236">
        <v>37688410</v>
      </c>
      <c r="BO236" t="s">
        <v>74</v>
      </c>
      <c r="BP236" t="s">
        <v>74</v>
      </c>
      <c r="BQ236" t="s">
        <v>74</v>
      </c>
      <c r="BR236" t="s">
        <v>99</v>
      </c>
      <c r="BS236" t="s">
        <v>4807</v>
      </c>
      <c r="BT236" t="str">
        <f>HYPERLINK("https%3A%2F%2Fwww.webofscience.com%2Fwos%2Fwoscc%2Ffull-record%2FWOS:001064354600001","View Full Record in Web of Science")</f>
        <v>View Full Record in Web of Science</v>
      </c>
    </row>
    <row r="237" spans="1:72" x14ac:dyDescent="0.15">
      <c r="A237" t="s">
        <v>72</v>
      </c>
      <c r="B237" t="s">
        <v>4808</v>
      </c>
      <c r="C237" t="s">
        <v>74</v>
      </c>
      <c r="D237" t="s">
        <v>74</v>
      </c>
      <c r="E237" t="s">
        <v>74</v>
      </c>
      <c r="F237" t="s">
        <v>4809</v>
      </c>
      <c r="G237" t="s">
        <v>74</v>
      </c>
      <c r="H237" t="s">
        <v>74</v>
      </c>
      <c r="I237" t="s">
        <v>4810</v>
      </c>
      <c r="J237" t="s">
        <v>1216</v>
      </c>
      <c r="K237" t="s">
        <v>74</v>
      </c>
      <c r="L237" t="s">
        <v>74</v>
      </c>
      <c r="M237" t="s">
        <v>78</v>
      </c>
      <c r="N237" t="s">
        <v>594</v>
      </c>
      <c r="O237" t="s">
        <v>74</v>
      </c>
      <c r="P237" t="s">
        <v>74</v>
      </c>
      <c r="Q237" t="s">
        <v>74</v>
      </c>
      <c r="R237" t="s">
        <v>74</v>
      </c>
      <c r="S237" t="s">
        <v>74</v>
      </c>
      <c r="T237" t="s">
        <v>4811</v>
      </c>
      <c r="U237" t="s">
        <v>4812</v>
      </c>
      <c r="V237" t="s">
        <v>4813</v>
      </c>
      <c r="W237" t="s">
        <v>4814</v>
      </c>
      <c r="X237" t="s">
        <v>4815</v>
      </c>
      <c r="Y237" t="s">
        <v>4816</v>
      </c>
      <c r="Z237" t="s">
        <v>4817</v>
      </c>
      <c r="AA237" t="s">
        <v>4818</v>
      </c>
      <c r="AB237" t="s">
        <v>4819</v>
      </c>
      <c r="AC237" t="s">
        <v>1263</v>
      </c>
      <c r="AD237" t="s">
        <v>1263</v>
      </c>
      <c r="AE237" t="s">
        <v>1263</v>
      </c>
      <c r="AF237" t="s">
        <v>74</v>
      </c>
      <c r="AG237">
        <v>112</v>
      </c>
      <c r="AH237">
        <v>0</v>
      </c>
      <c r="AI237">
        <v>0</v>
      </c>
      <c r="AJ237">
        <v>0</v>
      </c>
      <c r="AK237">
        <v>0</v>
      </c>
      <c r="AL237" t="s">
        <v>87</v>
      </c>
      <c r="AM237" t="s">
        <v>88</v>
      </c>
      <c r="AN237" t="s">
        <v>89</v>
      </c>
      <c r="AO237" t="s">
        <v>1224</v>
      </c>
      <c r="AP237" t="s">
        <v>1225</v>
      </c>
      <c r="AQ237" t="s">
        <v>74</v>
      </c>
      <c r="AR237" t="s">
        <v>1226</v>
      </c>
      <c r="AS237" t="s">
        <v>1227</v>
      </c>
      <c r="AT237" t="s">
        <v>4820</v>
      </c>
      <c r="AU237">
        <v>2023</v>
      </c>
      <c r="AV237" t="s">
        <v>74</v>
      </c>
      <c r="AW237" t="s">
        <v>74</v>
      </c>
      <c r="AX237" t="s">
        <v>74</v>
      </c>
      <c r="AY237" t="s">
        <v>74</v>
      </c>
      <c r="AZ237" t="s">
        <v>74</v>
      </c>
      <c r="BA237" t="s">
        <v>74</v>
      </c>
      <c r="BB237" t="s">
        <v>74</v>
      </c>
      <c r="BC237" t="s">
        <v>74</v>
      </c>
      <c r="BD237" t="s">
        <v>74</v>
      </c>
      <c r="BE237" t="s">
        <v>4821</v>
      </c>
      <c r="BF237" t="str">
        <f>HYPERLINK("http://dx.doi.org/10.1002/ijgo.15049","http://dx.doi.org/10.1002/ijgo.15049")</f>
        <v>http://dx.doi.org/10.1002/ijgo.15049</v>
      </c>
      <c r="BG237" t="s">
        <v>74</v>
      </c>
      <c r="BH237" t="s">
        <v>407</v>
      </c>
      <c r="BI237">
        <v>33</v>
      </c>
      <c r="BJ237" t="s">
        <v>1229</v>
      </c>
      <c r="BK237" t="s">
        <v>119</v>
      </c>
      <c r="BL237" t="s">
        <v>1229</v>
      </c>
      <c r="BM237" t="s">
        <v>4822</v>
      </c>
      <c r="BN237">
        <v>37688388</v>
      </c>
      <c r="BO237" t="s">
        <v>74</v>
      </c>
      <c r="BP237" t="s">
        <v>74</v>
      </c>
      <c r="BQ237" t="s">
        <v>74</v>
      </c>
      <c r="BR237" t="s">
        <v>99</v>
      </c>
      <c r="BS237" t="s">
        <v>4823</v>
      </c>
      <c r="BT237" t="str">
        <f>HYPERLINK("https%3A%2F%2Fwww.webofscience.com%2Fwos%2Fwoscc%2Ffull-record%2FWOS:001060890700001","View Full Record in Web of Science")</f>
        <v>View Full Record in Web of Science</v>
      </c>
    </row>
    <row r="238" spans="1:72" x14ac:dyDescent="0.15">
      <c r="A238" t="s">
        <v>72</v>
      </c>
      <c r="B238" t="s">
        <v>4824</v>
      </c>
      <c r="C238" t="s">
        <v>74</v>
      </c>
      <c r="D238" t="s">
        <v>74</v>
      </c>
      <c r="E238" t="s">
        <v>74</v>
      </c>
      <c r="F238" t="s">
        <v>4825</v>
      </c>
      <c r="G238" t="s">
        <v>74</v>
      </c>
      <c r="H238" t="s">
        <v>74</v>
      </c>
      <c r="I238" t="s">
        <v>4826</v>
      </c>
      <c r="J238" t="s">
        <v>4827</v>
      </c>
      <c r="K238" t="s">
        <v>74</v>
      </c>
      <c r="L238" t="s">
        <v>74</v>
      </c>
      <c r="M238" t="s">
        <v>78</v>
      </c>
      <c r="N238" t="s">
        <v>338</v>
      </c>
      <c r="O238" t="s">
        <v>74</v>
      </c>
      <c r="P238" t="s">
        <v>74</v>
      </c>
      <c r="Q238" t="s">
        <v>74</v>
      </c>
      <c r="R238" t="s">
        <v>74</v>
      </c>
      <c r="S238" t="s">
        <v>74</v>
      </c>
      <c r="T238" t="s">
        <v>4828</v>
      </c>
      <c r="U238" t="s">
        <v>4829</v>
      </c>
      <c r="V238" t="s">
        <v>4830</v>
      </c>
      <c r="W238" t="s">
        <v>4831</v>
      </c>
      <c r="X238" t="s">
        <v>4832</v>
      </c>
      <c r="Y238" t="s">
        <v>4833</v>
      </c>
      <c r="Z238" t="s">
        <v>4834</v>
      </c>
      <c r="AA238" t="s">
        <v>74</v>
      </c>
      <c r="AB238" t="s">
        <v>4835</v>
      </c>
      <c r="AC238" t="s">
        <v>4836</v>
      </c>
      <c r="AD238" t="s">
        <v>4837</v>
      </c>
      <c r="AE238" t="s">
        <v>4838</v>
      </c>
      <c r="AF238" t="s">
        <v>74</v>
      </c>
      <c r="AG238">
        <v>81</v>
      </c>
      <c r="AH238">
        <v>0</v>
      </c>
      <c r="AI238">
        <v>0</v>
      </c>
      <c r="AJ238">
        <v>0</v>
      </c>
      <c r="AK238">
        <v>0</v>
      </c>
      <c r="AL238" t="s">
        <v>87</v>
      </c>
      <c r="AM238" t="s">
        <v>88</v>
      </c>
      <c r="AN238" t="s">
        <v>89</v>
      </c>
      <c r="AO238" t="s">
        <v>4839</v>
      </c>
      <c r="AP238" t="s">
        <v>4840</v>
      </c>
      <c r="AQ238" t="s">
        <v>74</v>
      </c>
      <c r="AR238" t="s">
        <v>4841</v>
      </c>
      <c r="AS238" t="s">
        <v>4842</v>
      </c>
      <c r="AT238" t="s">
        <v>4820</v>
      </c>
      <c r="AU238">
        <v>2023</v>
      </c>
      <c r="AV238" t="s">
        <v>74</v>
      </c>
      <c r="AW238" t="s">
        <v>74</v>
      </c>
      <c r="AX238" t="s">
        <v>74</v>
      </c>
      <c r="AY238" t="s">
        <v>74</v>
      </c>
      <c r="AZ238" t="s">
        <v>74</v>
      </c>
      <c r="BA238" t="s">
        <v>74</v>
      </c>
      <c r="BB238" t="s">
        <v>74</v>
      </c>
      <c r="BC238" t="s">
        <v>74</v>
      </c>
      <c r="BD238" t="s">
        <v>74</v>
      </c>
      <c r="BE238" t="s">
        <v>4843</v>
      </c>
      <c r="BF238" t="str">
        <f>HYPERLINK("http://dx.doi.org/10.1111/jfb.15537","http://dx.doi.org/10.1111/jfb.15537")</f>
        <v>http://dx.doi.org/10.1111/jfb.15537</v>
      </c>
      <c r="BG238" t="s">
        <v>74</v>
      </c>
      <c r="BH238" t="s">
        <v>407</v>
      </c>
      <c r="BI238">
        <v>17</v>
      </c>
      <c r="BJ238" t="s">
        <v>4844</v>
      </c>
      <c r="BK238" t="s">
        <v>119</v>
      </c>
      <c r="BL238" t="s">
        <v>4844</v>
      </c>
      <c r="BM238" t="s">
        <v>4845</v>
      </c>
      <c r="BN238">
        <v>37632330</v>
      </c>
      <c r="BO238" t="s">
        <v>74</v>
      </c>
      <c r="BP238" t="s">
        <v>74</v>
      </c>
      <c r="BQ238" t="s">
        <v>74</v>
      </c>
      <c r="BR238" t="s">
        <v>99</v>
      </c>
      <c r="BS238" t="s">
        <v>4846</v>
      </c>
      <c r="BT238" t="str">
        <f>HYPERLINK("https%3A%2F%2Fwww.webofscience.com%2Fwos%2Fwoscc%2Ffull-record%2FWOS:001064013600001","View Full Record in Web of Science")</f>
        <v>View Full Record in Web of Science</v>
      </c>
    </row>
    <row r="239" spans="1:72" x14ac:dyDescent="0.15">
      <c r="A239" t="s">
        <v>72</v>
      </c>
      <c r="B239" t="s">
        <v>4847</v>
      </c>
      <c r="C239" t="s">
        <v>74</v>
      </c>
      <c r="D239" t="s">
        <v>74</v>
      </c>
      <c r="E239" t="s">
        <v>74</v>
      </c>
      <c r="F239" t="s">
        <v>4848</v>
      </c>
      <c r="G239" t="s">
        <v>74</v>
      </c>
      <c r="H239" t="s">
        <v>74</v>
      </c>
      <c r="I239" t="s">
        <v>4849</v>
      </c>
      <c r="J239" t="s">
        <v>4850</v>
      </c>
      <c r="K239" t="s">
        <v>74</v>
      </c>
      <c r="L239" t="s">
        <v>74</v>
      </c>
      <c r="M239" t="s">
        <v>78</v>
      </c>
      <c r="N239" t="s">
        <v>594</v>
      </c>
      <c r="O239" t="s">
        <v>74</v>
      </c>
      <c r="P239" t="s">
        <v>74</v>
      </c>
      <c r="Q239" t="s">
        <v>74</v>
      </c>
      <c r="R239" t="s">
        <v>74</v>
      </c>
      <c r="S239" t="s">
        <v>74</v>
      </c>
      <c r="T239" t="s">
        <v>4851</v>
      </c>
      <c r="U239" t="s">
        <v>4852</v>
      </c>
      <c r="V239" t="s">
        <v>4853</v>
      </c>
      <c r="W239" t="s">
        <v>4854</v>
      </c>
      <c r="X239" t="s">
        <v>4855</v>
      </c>
      <c r="Y239" t="s">
        <v>4856</v>
      </c>
      <c r="Z239" t="s">
        <v>4857</v>
      </c>
      <c r="AA239" t="s">
        <v>4858</v>
      </c>
      <c r="AB239" t="s">
        <v>4859</v>
      </c>
      <c r="AC239" t="s">
        <v>74</v>
      </c>
      <c r="AD239" t="s">
        <v>74</v>
      </c>
      <c r="AE239" t="s">
        <v>74</v>
      </c>
      <c r="AF239" t="s">
        <v>74</v>
      </c>
      <c r="AG239">
        <v>78</v>
      </c>
      <c r="AH239">
        <v>0</v>
      </c>
      <c r="AI239">
        <v>0</v>
      </c>
      <c r="AJ239">
        <v>3</v>
      </c>
      <c r="AK239">
        <v>3</v>
      </c>
      <c r="AL239" t="s">
        <v>426</v>
      </c>
      <c r="AM239" t="s">
        <v>427</v>
      </c>
      <c r="AN239" t="s">
        <v>428</v>
      </c>
      <c r="AO239" t="s">
        <v>4860</v>
      </c>
      <c r="AP239" t="s">
        <v>4861</v>
      </c>
      <c r="AQ239" t="s">
        <v>74</v>
      </c>
      <c r="AR239" t="s">
        <v>4862</v>
      </c>
      <c r="AS239" t="s">
        <v>4863</v>
      </c>
      <c r="AT239" t="s">
        <v>4820</v>
      </c>
      <c r="AU239">
        <v>2023</v>
      </c>
      <c r="AV239" t="s">
        <v>74</v>
      </c>
      <c r="AW239" t="s">
        <v>74</v>
      </c>
      <c r="AX239" t="s">
        <v>74</v>
      </c>
      <c r="AY239" t="s">
        <v>74</v>
      </c>
      <c r="AZ239" t="s">
        <v>74</v>
      </c>
      <c r="BA239" t="s">
        <v>74</v>
      </c>
      <c r="BB239" t="s">
        <v>74</v>
      </c>
      <c r="BC239" t="s">
        <v>74</v>
      </c>
      <c r="BD239" t="s">
        <v>74</v>
      </c>
      <c r="BE239" t="s">
        <v>4864</v>
      </c>
      <c r="BF239" t="str">
        <f>HYPERLINK("http://dx.doi.org/10.1002/asia.202300618","http://dx.doi.org/10.1002/asia.202300618")</f>
        <v>http://dx.doi.org/10.1002/asia.202300618</v>
      </c>
      <c r="BG239" t="s">
        <v>74</v>
      </c>
      <c r="BH239" t="s">
        <v>407</v>
      </c>
      <c r="BI239">
        <v>17</v>
      </c>
      <c r="BJ239" t="s">
        <v>523</v>
      </c>
      <c r="BK239" t="s">
        <v>119</v>
      </c>
      <c r="BL239" t="s">
        <v>524</v>
      </c>
      <c r="BM239" t="s">
        <v>4865</v>
      </c>
      <c r="BN239">
        <v>37642141</v>
      </c>
      <c r="BO239" t="s">
        <v>74</v>
      </c>
      <c r="BP239" t="s">
        <v>74</v>
      </c>
      <c r="BQ239" t="s">
        <v>74</v>
      </c>
      <c r="BR239" t="s">
        <v>99</v>
      </c>
      <c r="BS239" t="s">
        <v>4866</v>
      </c>
      <c r="BT239" t="str">
        <f>HYPERLINK("https%3A%2F%2Fwww.webofscience.com%2Fwos%2Fwoscc%2Ffull-record%2FWOS:001060901400001","View Full Record in Web of Science")</f>
        <v>View Full Record in Web of Science</v>
      </c>
    </row>
    <row r="240" spans="1:72" x14ac:dyDescent="0.15">
      <c r="A240" t="s">
        <v>72</v>
      </c>
      <c r="B240" t="s">
        <v>4867</v>
      </c>
      <c r="C240" t="s">
        <v>74</v>
      </c>
      <c r="D240" t="s">
        <v>74</v>
      </c>
      <c r="E240" t="s">
        <v>74</v>
      </c>
      <c r="F240" t="s">
        <v>4868</v>
      </c>
      <c r="G240" t="s">
        <v>74</v>
      </c>
      <c r="H240" t="s">
        <v>74</v>
      </c>
      <c r="I240" t="s">
        <v>4869</v>
      </c>
      <c r="J240" t="s">
        <v>4870</v>
      </c>
      <c r="K240" t="s">
        <v>74</v>
      </c>
      <c r="L240" t="s">
        <v>74</v>
      </c>
      <c r="M240" t="s">
        <v>78</v>
      </c>
      <c r="N240" t="s">
        <v>338</v>
      </c>
      <c r="O240" t="s">
        <v>74</v>
      </c>
      <c r="P240" t="s">
        <v>74</v>
      </c>
      <c r="Q240" t="s">
        <v>74</v>
      </c>
      <c r="R240" t="s">
        <v>74</v>
      </c>
      <c r="S240" t="s">
        <v>74</v>
      </c>
      <c r="T240" t="s">
        <v>4871</v>
      </c>
      <c r="U240" t="s">
        <v>4872</v>
      </c>
      <c r="V240" t="s">
        <v>4873</v>
      </c>
      <c r="W240" t="s">
        <v>4874</v>
      </c>
      <c r="X240" t="s">
        <v>4875</v>
      </c>
      <c r="Y240" t="s">
        <v>4876</v>
      </c>
      <c r="Z240" t="s">
        <v>4877</v>
      </c>
      <c r="AA240" t="s">
        <v>74</v>
      </c>
      <c r="AB240" t="s">
        <v>74</v>
      </c>
      <c r="AC240" t="s">
        <v>4878</v>
      </c>
      <c r="AD240" t="s">
        <v>4878</v>
      </c>
      <c r="AE240" t="s">
        <v>4878</v>
      </c>
      <c r="AF240" t="s">
        <v>74</v>
      </c>
      <c r="AG240">
        <v>29</v>
      </c>
      <c r="AH240">
        <v>0</v>
      </c>
      <c r="AI240">
        <v>0</v>
      </c>
      <c r="AJ240">
        <v>0</v>
      </c>
      <c r="AK240">
        <v>0</v>
      </c>
      <c r="AL240" t="s">
        <v>87</v>
      </c>
      <c r="AM240" t="s">
        <v>88</v>
      </c>
      <c r="AN240" t="s">
        <v>89</v>
      </c>
      <c r="AO240" t="s">
        <v>4879</v>
      </c>
      <c r="AP240" t="s">
        <v>4880</v>
      </c>
      <c r="AQ240" t="s">
        <v>74</v>
      </c>
      <c r="AR240" t="s">
        <v>4881</v>
      </c>
      <c r="AS240" t="s">
        <v>4882</v>
      </c>
      <c r="AT240" t="s">
        <v>4820</v>
      </c>
      <c r="AU240">
        <v>2023</v>
      </c>
      <c r="AV240" t="s">
        <v>74</v>
      </c>
      <c r="AW240" t="s">
        <v>74</v>
      </c>
      <c r="AX240" t="s">
        <v>74</v>
      </c>
      <c r="AY240" t="s">
        <v>74</v>
      </c>
      <c r="AZ240" t="s">
        <v>74</v>
      </c>
      <c r="BA240" t="s">
        <v>74</v>
      </c>
      <c r="BB240" t="s">
        <v>74</v>
      </c>
      <c r="BC240" t="s">
        <v>74</v>
      </c>
      <c r="BD240" t="s">
        <v>74</v>
      </c>
      <c r="BE240" t="s">
        <v>4883</v>
      </c>
      <c r="BF240" t="str">
        <f>HYPERLINK("http://dx.doi.org/10.1111/aos.15757","http://dx.doi.org/10.1111/aos.15757")</f>
        <v>http://dx.doi.org/10.1111/aos.15757</v>
      </c>
      <c r="BG240" t="s">
        <v>74</v>
      </c>
      <c r="BH240" t="s">
        <v>407</v>
      </c>
      <c r="BI240">
        <v>7</v>
      </c>
      <c r="BJ240" t="s">
        <v>4884</v>
      </c>
      <c r="BK240" t="s">
        <v>119</v>
      </c>
      <c r="BL240" t="s">
        <v>4884</v>
      </c>
      <c r="BM240" t="s">
        <v>4885</v>
      </c>
      <c r="BN240">
        <v>37688371</v>
      </c>
      <c r="BO240" t="s">
        <v>74</v>
      </c>
      <c r="BP240" t="s">
        <v>74</v>
      </c>
      <c r="BQ240" t="s">
        <v>74</v>
      </c>
      <c r="BR240" t="s">
        <v>99</v>
      </c>
      <c r="BS240" t="s">
        <v>4886</v>
      </c>
      <c r="BT240" t="str">
        <f>HYPERLINK("https%3A%2F%2Fwww.webofscience.com%2Fwos%2Fwoscc%2Ffull-record%2FWOS:001064325100001","View Full Record in Web of Science")</f>
        <v>View Full Record in Web of Science</v>
      </c>
    </row>
    <row r="241" spans="1:72" x14ac:dyDescent="0.15">
      <c r="A241" t="s">
        <v>72</v>
      </c>
      <c r="B241" t="s">
        <v>4887</v>
      </c>
      <c r="C241" t="s">
        <v>74</v>
      </c>
      <c r="D241" t="s">
        <v>74</v>
      </c>
      <c r="E241" t="s">
        <v>74</v>
      </c>
      <c r="F241" t="s">
        <v>4888</v>
      </c>
      <c r="G241" t="s">
        <v>74</v>
      </c>
      <c r="H241" t="s">
        <v>74</v>
      </c>
      <c r="I241" t="s">
        <v>4889</v>
      </c>
      <c r="J241" t="s">
        <v>4890</v>
      </c>
      <c r="K241" t="s">
        <v>74</v>
      </c>
      <c r="L241" t="s">
        <v>74</v>
      </c>
      <c r="M241" t="s">
        <v>78</v>
      </c>
      <c r="N241" t="s">
        <v>594</v>
      </c>
      <c r="O241" t="s">
        <v>74</v>
      </c>
      <c r="P241" t="s">
        <v>74</v>
      </c>
      <c r="Q241" t="s">
        <v>74</v>
      </c>
      <c r="R241" t="s">
        <v>74</v>
      </c>
      <c r="S241" t="s">
        <v>74</v>
      </c>
      <c r="T241" t="s">
        <v>4891</v>
      </c>
      <c r="U241" t="s">
        <v>4892</v>
      </c>
      <c r="V241" t="s">
        <v>4893</v>
      </c>
      <c r="W241" t="s">
        <v>4894</v>
      </c>
      <c r="X241" t="s">
        <v>4895</v>
      </c>
      <c r="Y241" t="s">
        <v>4896</v>
      </c>
      <c r="Z241" t="s">
        <v>4897</v>
      </c>
      <c r="AA241" t="s">
        <v>4898</v>
      </c>
      <c r="AB241" t="s">
        <v>4899</v>
      </c>
      <c r="AC241" t="s">
        <v>4900</v>
      </c>
      <c r="AD241" t="s">
        <v>4901</v>
      </c>
      <c r="AE241" t="s">
        <v>4902</v>
      </c>
      <c r="AF241" t="s">
        <v>74</v>
      </c>
      <c r="AG241">
        <v>101</v>
      </c>
      <c r="AH241">
        <v>0</v>
      </c>
      <c r="AI241">
        <v>0</v>
      </c>
      <c r="AJ241">
        <v>7</v>
      </c>
      <c r="AK241">
        <v>7</v>
      </c>
      <c r="AL241" t="s">
        <v>426</v>
      </c>
      <c r="AM241" t="s">
        <v>427</v>
      </c>
      <c r="AN241" t="s">
        <v>428</v>
      </c>
      <c r="AO241" t="s">
        <v>4903</v>
      </c>
      <c r="AP241" t="s">
        <v>74</v>
      </c>
      <c r="AQ241" t="s">
        <v>74</v>
      </c>
      <c r="AR241" t="s">
        <v>4890</v>
      </c>
      <c r="AS241" t="s">
        <v>4904</v>
      </c>
      <c r="AT241" t="s">
        <v>4820</v>
      </c>
      <c r="AU241">
        <v>2023</v>
      </c>
      <c r="AV241" t="s">
        <v>74</v>
      </c>
      <c r="AW241" t="s">
        <v>74</v>
      </c>
      <c r="AX241" t="s">
        <v>74</v>
      </c>
      <c r="AY241" t="s">
        <v>74</v>
      </c>
      <c r="AZ241" t="s">
        <v>74</v>
      </c>
      <c r="BA241" t="s">
        <v>74</v>
      </c>
      <c r="BB241" t="s">
        <v>74</v>
      </c>
      <c r="BC241" t="s">
        <v>74</v>
      </c>
      <c r="BD241" t="s">
        <v>74</v>
      </c>
      <c r="BE241" t="s">
        <v>4905</v>
      </c>
      <c r="BF241" t="str">
        <f>HYPERLINK("http://dx.doi.org/10.1002/cnma.202300224","http://dx.doi.org/10.1002/cnma.202300224")</f>
        <v>http://dx.doi.org/10.1002/cnma.202300224</v>
      </c>
      <c r="BG241" t="s">
        <v>74</v>
      </c>
      <c r="BH241" t="s">
        <v>407</v>
      </c>
      <c r="BI241">
        <v>11</v>
      </c>
      <c r="BJ241" t="s">
        <v>953</v>
      </c>
      <c r="BK241" t="s">
        <v>119</v>
      </c>
      <c r="BL241" t="s">
        <v>954</v>
      </c>
      <c r="BM241" t="s">
        <v>4906</v>
      </c>
      <c r="BN241" t="s">
        <v>74</v>
      </c>
      <c r="BO241" t="s">
        <v>74</v>
      </c>
      <c r="BP241" t="s">
        <v>74</v>
      </c>
      <c r="BQ241" t="s">
        <v>74</v>
      </c>
      <c r="BR241" t="s">
        <v>99</v>
      </c>
      <c r="BS241" t="s">
        <v>4907</v>
      </c>
      <c r="BT241" t="str">
        <f>HYPERLINK("https%3A%2F%2Fwww.webofscience.com%2Fwos%2Fwoscc%2Ffull-record%2FWOS:001060382900001","View Full Record in Web of Science")</f>
        <v>View Full Record in Web of Science</v>
      </c>
    </row>
    <row r="242" spans="1:72" x14ac:dyDescent="0.15">
      <c r="A242" t="s">
        <v>72</v>
      </c>
      <c r="B242" t="s">
        <v>4908</v>
      </c>
      <c r="C242" t="s">
        <v>74</v>
      </c>
      <c r="D242" t="s">
        <v>74</v>
      </c>
      <c r="E242" t="s">
        <v>74</v>
      </c>
      <c r="F242" t="s">
        <v>4909</v>
      </c>
      <c r="G242" t="s">
        <v>74</v>
      </c>
      <c r="H242" t="s">
        <v>74</v>
      </c>
      <c r="I242" t="s">
        <v>4910</v>
      </c>
      <c r="J242" t="s">
        <v>1982</v>
      </c>
      <c r="K242" t="s">
        <v>74</v>
      </c>
      <c r="L242" t="s">
        <v>74</v>
      </c>
      <c r="M242" t="s">
        <v>78</v>
      </c>
      <c r="N242" t="s">
        <v>338</v>
      </c>
      <c r="O242" t="s">
        <v>74</v>
      </c>
      <c r="P242" t="s">
        <v>74</v>
      </c>
      <c r="Q242" t="s">
        <v>74</v>
      </c>
      <c r="R242" t="s">
        <v>74</v>
      </c>
      <c r="S242" t="s">
        <v>74</v>
      </c>
      <c r="T242" t="s">
        <v>4911</v>
      </c>
      <c r="U242" t="s">
        <v>4912</v>
      </c>
      <c r="V242" t="s">
        <v>4913</v>
      </c>
      <c r="W242" t="s">
        <v>4914</v>
      </c>
      <c r="X242" t="s">
        <v>4915</v>
      </c>
      <c r="Y242" t="s">
        <v>4916</v>
      </c>
      <c r="Z242" t="s">
        <v>4917</v>
      </c>
      <c r="AA242" t="s">
        <v>74</v>
      </c>
      <c r="AB242" t="s">
        <v>74</v>
      </c>
      <c r="AC242" t="s">
        <v>4918</v>
      </c>
      <c r="AD242" t="s">
        <v>4919</v>
      </c>
      <c r="AE242" t="s">
        <v>4920</v>
      </c>
      <c r="AF242" t="s">
        <v>74</v>
      </c>
      <c r="AG242">
        <v>47</v>
      </c>
      <c r="AH242">
        <v>0</v>
      </c>
      <c r="AI242">
        <v>0</v>
      </c>
      <c r="AJ242">
        <v>3</v>
      </c>
      <c r="AK242">
        <v>3</v>
      </c>
      <c r="AL242" t="s">
        <v>426</v>
      </c>
      <c r="AM242" t="s">
        <v>427</v>
      </c>
      <c r="AN242" t="s">
        <v>428</v>
      </c>
      <c r="AO242" t="s">
        <v>1993</v>
      </c>
      <c r="AP242" t="s">
        <v>1994</v>
      </c>
      <c r="AQ242" t="s">
        <v>74</v>
      </c>
      <c r="AR242" t="s">
        <v>1995</v>
      </c>
      <c r="AS242" t="s">
        <v>1996</v>
      </c>
      <c r="AT242" t="s">
        <v>4820</v>
      </c>
      <c r="AU242">
        <v>2023</v>
      </c>
      <c r="AV242" t="s">
        <v>74</v>
      </c>
      <c r="AW242" t="s">
        <v>74</v>
      </c>
      <c r="AX242" t="s">
        <v>74</v>
      </c>
      <c r="AY242" t="s">
        <v>74</v>
      </c>
      <c r="AZ242" t="s">
        <v>74</v>
      </c>
      <c r="BA242" t="s">
        <v>74</v>
      </c>
      <c r="BB242" t="s">
        <v>74</v>
      </c>
      <c r="BC242" t="s">
        <v>74</v>
      </c>
      <c r="BD242" t="s">
        <v>74</v>
      </c>
      <c r="BE242" t="s">
        <v>4921</v>
      </c>
      <c r="BF242" t="str">
        <f>HYPERLINK("http://dx.doi.org/10.1002/adem.202301019","http://dx.doi.org/10.1002/adem.202301019")</f>
        <v>http://dx.doi.org/10.1002/adem.202301019</v>
      </c>
      <c r="BG242" t="s">
        <v>74</v>
      </c>
      <c r="BH242" t="s">
        <v>407</v>
      </c>
      <c r="BI242">
        <v>11</v>
      </c>
      <c r="BJ242" t="s">
        <v>1998</v>
      </c>
      <c r="BK242" t="s">
        <v>119</v>
      </c>
      <c r="BL242" t="s">
        <v>1999</v>
      </c>
      <c r="BM242" t="s">
        <v>4922</v>
      </c>
      <c r="BN242" t="s">
        <v>74</v>
      </c>
      <c r="BO242" t="s">
        <v>74</v>
      </c>
      <c r="BP242" t="s">
        <v>74</v>
      </c>
      <c r="BQ242" t="s">
        <v>74</v>
      </c>
      <c r="BR242" t="s">
        <v>99</v>
      </c>
      <c r="BS242" t="s">
        <v>4923</v>
      </c>
      <c r="BT242" t="str">
        <f>HYPERLINK("https%3A%2F%2Fwww.webofscience.com%2Fwos%2Fwoscc%2Ffull-record%2FWOS:001060374500001","View Full Record in Web of Science")</f>
        <v>View Full Record in Web of Science</v>
      </c>
    </row>
    <row r="243" spans="1:72" x14ac:dyDescent="0.15">
      <c r="A243" t="s">
        <v>72</v>
      </c>
      <c r="B243" t="s">
        <v>4924</v>
      </c>
      <c r="C243" t="s">
        <v>74</v>
      </c>
      <c r="D243" t="s">
        <v>74</v>
      </c>
      <c r="E243" t="s">
        <v>74</v>
      </c>
      <c r="F243" t="s">
        <v>4925</v>
      </c>
      <c r="G243" t="s">
        <v>74</v>
      </c>
      <c r="H243" t="s">
        <v>74</v>
      </c>
      <c r="I243" t="s">
        <v>4926</v>
      </c>
      <c r="J243" t="s">
        <v>4927</v>
      </c>
      <c r="K243" t="s">
        <v>74</v>
      </c>
      <c r="L243" t="s">
        <v>74</v>
      </c>
      <c r="M243" t="s">
        <v>78</v>
      </c>
      <c r="N243" t="s">
        <v>338</v>
      </c>
      <c r="O243" t="s">
        <v>74</v>
      </c>
      <c r="P243" t="s">
        <v>74</v>
      </c>
      <c r="Q243" t="s">
        <v>74</v>
      </c>
      <c r="R243" t="s">
        <v>74</v>
      </c>
      <c r="S243" t="s">
        <v>74</v>
      </c>
      <c r="T243" t="s">
        <v>4928</v>
      </c>
      <c r="U243" t="s">
        <v>74</v>
      </c>
      <c r="V243" t="s">
        <v>4929</v>
      </c>
      <c r="W243" t="s">
        <v>4930</v>
      </c>
      <c r="X243" t="s">
        <v>4931</v>
      </c>
      <c r="Y243" t="s">
        <v>4932</v>
      </c>
      <c r="Z243" t="s">
        <v>4933</v>
      </c>
      <c r="AA243" t="s">
        <v>74</v>
      </c>
      <c r="AB243" t="s">
        <v>4934</v>
      </c>
      <c r="AC243" t="s">
        <v>4935</v>
      </c>
      <c r="AD243" t="s">
        <v>4935</v>
      </c>
      <c r="AE243" t="s">
        <v>4936</v>
      </c>
      <c r="AF243" t="s">
        <v>74</v>
      </c>
      <c r="AG243">
        <v>24</v>
      </c>
      <c r="AH243">
        <v>0</v>
      </c>
      <c r="AI243">
        <v>0</v>
      </c>
      <c r="AJ243">
        <v>0</v>
      </c>
      <c r="AK243">
        <v>0</v>
      </c>
      <c r="AL243" t="s">
        <v>87</v>
      </c>
      <c r="AM243" t="s">
        <v>88</v>
      </c>
      <c r="AN243" t="s">
        <v>89</v>
      </c>
      <c r="AO243" t="s">
        <v>4937</v>
      </c>
      <c r="AP243" t="s">
        <v>4938</v>
      </c>
      <c r="AQ243" t="s">
        <v>74</v>
      </c>
      <c r="AR243" t="s">
        <v>4939</v>
      </c>
      <c r="AS243" t="s">
        <v>4940</v>
      </c>
      <c r="AT243" t="s">
        <v>4820</v>
      </c>
      <c r="AU243">
        <v>2023</v>
      </c>
      <c r="AV243" t="s">
        <v>74</v>
      </c>
      <c r="AW243" t="s">
        <v>74</v>
      </c>
      <c r="AX243" t="s">
        <v>74</v>
      </c>
      <c r="AY243" t="s">
        <v>74</v>
      </c>
      <c r="AZ243" t="s">
        <v>74</v>
      </c>
      <c r="BA243" t="s">
        <v>74</v>
      </c>
      <c r="BB243" t="s">
        <v>74</v>
      </c>
      <c r="BC243" t="s">
        <v>74</v>
      </c>
      <c r="BD243" t="s">
        <v>74</v>
      </c>
      <c r="BE243" t="s">
        <v>4941</v>
      </c>
      <c r="BF243" t="str">
        <f>HYPERLINK("http://dx.doi.org/10.1111/imj.16216","http://dx.doi.org/10.1111/imj.16216")</f>
        <v>http://dx.doi.org/10.1111/imj.16216</v>
      </c>
      <c r="BG243" t="s">
        <v>74</v>
      </c>
      <c r="BH243" t="s">
        <v>407</v>
      </c>
      <c r="BI243">
        <v>7</v>
      </c>
      <c r="BJ243" t="s">
        <v>4689</v>
      </c>
      <c r="BK243" t="s">
        <v>119</v>
      </c>
      <c r="BL243" t="s">
        <v>4690</v>
      </c>
      <c r="BM243" t="s">
        <v>4942</v>
      </c>
      <c r="BN243">
        <v>37683094</v>
      </c>
      <c r="BO243" t="s">
        <v>122</v>
      </c>
      <c r="BP243" t="s">
        <v>74</v>
      </c>
      <c r="BQ243" t="s">
        <v>74</v>
      </c>
      <c r="BR243" t="s">
        <v>99</v>
      </c>
      <c r="BS243" t="s">
        <v>4943</v>
      </c>
      <c r="BT243" t="str">
        <f>HYPERLINK("https%3A%2F%2Fwww.webofscience.com%2Fwos%2Fwoscc%2Ffull-record%2FWOS:001060597400001","View Full Record in Web of Science")</f>
        <v>View Full Record in Web of Science</v>
      </c>
    </row>
    <row r="244" spans="1:72" x14ac:dyDescent="0.15">
      <c r="A244" t="s">
        <v>72</v>
      </c>
      <c r="B244" t="s">
        <v>4944</v>
      </c>
      <c r="C244" t="s">
        <v>74</v>
      </c>
      <c r="D244" t="s">
        <v>74</v>
      </c>
      <c r="E244" t="s">
        <v>74</v>
      </c>
      <c r="F244" t="s">
        <v>4945</v>
      </c>
      <c r="G244" t="s">
        <v>74</v>
      </c>
      <c r="H244" t="s">
        <v>74</v>
      </c>
      <c r="I244" t="s">
        <v>4946</v>
      </c>
      <c r="J244" t="s">
        <v>4947</v>
      </c>
      <c r="K244" t="s">
        <v>74</v>
      </c>
      <c r="L244" t="s">
        <v>74</v>
      </c>
      <c r="M244" t="s">
        <v>78</v>
      </c>
      <c r="N244" t="s">
        <v>1297</v>
      </c>
      <c r="O244" t="s">
        <v>74</v>
      </c>
      <c r="P244" t="s">
        <v>74</v>
      </c>
      <c r="Q244" t="s">
        <v>74</v>
      </c>
      <c r="R244" t="s">
        <v>74</v>
      </c>
      <c r="S244" t="s">
        <v>74</v>
      </c>
      <c r="T244" t="s">
        <v>4948</v>
      </c>
      <c r="U244" t="s">
        <v>74</v>
      </c>
      <c r="V244" t="s">
        <v>74</v>
      </c>
      <c r="W244" t="s">
        <v>4949</v>
      </c>
      <c r="X244" t="s">
        <v>4950</v>
      </c>
      <c r="Y244" t="s">
        <v>4951</v>
      </c>
      <c r="Z244" t="s">
        <v>4952</v>
      </c>
      <c r="AA244" t="s">
        <v>74</v>
      </c>
      <c r="AB244" t="s">
        <v>4953</v>
      </c>
      <c r="AC244" t="s">
        <v>4954</v>
      </c>
      <c r="AD244" t="s">
        <v>4954</v>
      </c>
      <c r="AE244" t="s">
        <v>4954</v>
      </c>
      <c r="AF244" t="s">
        <v>74</v>
      </c>
      <c r="AG244">
        <v>5</v>
      </c>
      <c r="AH244">
        <v>0</v>
      </c>
      <c r="AI244">
        <v>0</v>
      </c>
      <c r="AJ244">
        <v>0</v>
      </c>
      <c r="AK244">
        <v>0</v>
      </c>
      <c r="AL244" t="s">
        <v>87</v>
      </c>
      <c r="AM244" t="s">
        <v>88</v>
      </c>
      <c r="AN244" t="s">
        <v>89</v>
      </c>
      <c r="AO244" t="s">
        <v>4955</v>
      </c>
      <c r="AP244" t="s">
        <v>4956</v>
      </c>
      <c r="AQ244" t="s">
        <v>74</v>
      </c>
      <c r="AR244" t="s">
        <v>4957</v>
      </c>
      <c r="AS244" t="s">
        <v>4958</v>
      </c>
      <c r="AT244" t="s">
        <v>4820</v>
      </c>
      <c r="AU244">
        <v>2023</v>
      </c>
      <c r="AV244" t="s">
        <v>74</v>
      </c>
      <c r="AW244" t="s">
        <v>74</v>
      </c>
      <c r="AX244" t="s">
        <v>74</v>
      </c>
      <c r="AY244" t="s">
        <v>74</v>
      </c>
      <c r="AZ244" t="s">
        <v>74</v>
      </c>
      <c r="BA244" t="s">
        <v>74</v>
      </c>
      <c r="BB244" t="s">
        <v>74</v>
      </c>
      <c r="BC244" t="s">
        <v>74</v>
      </c>
      <c r="BD244" t="s">
        <v>74</v>
      </c>
      <c r="BE244" t="s">
        <v>4959</v>
      </c>
      <c r="BF244" t="str">
        <f>HYPERLINK("http://dx.doi.org/10.1113/JP285258","http://dx.doi.org/10.1113/JP285258")</f>
        <v>http://dx.doi.org/10.1113/JP285258</v>
      </c>
      <c r="BG244" t="s">
        <v>74</v>
      </c>
      <c r="BH244" t="s">
        <v>407</v>
      </c>
      <c r="BI244">
        <v>3</v>
      </c>
      <c r="BJ244" t="s">
        <v>4960</v>
      </c>
      <c r="BK244" t="s">
        <v>119</v>
      </c>
      <c r="BL244" t="s">
        <v>4961</v>
      </c>
      <c r="BM244" t="s">
        <v>4962</v>
      </c>
      <c r="BN244">
        <v>37681750</v>
      </c>
      <c r="BO244" t="s">
        <v>74</v>
      </c>
      <c r="BP244" t="s">
        <v>74</v>
      </c>
      <c r="BQ244" t="s">
        <v>74</v>
      </c>
      <c r="BR244" t="s">
        <v>99</v>
      </c>
      <c r="BS244" t="s">
        <v>4963</v>
      </c>
      <c r="BT244" t="str">
        <f>HYPERLINK("https%3A%2F%2Fwww.webofscience.com%2Fwos%2Fwoscc%2Ffull-record%2FWOS:001064043300001","View Full Record in Web of Science")</f>
        <v>View Full Record in Web of Science</v>
      </c>
    </row>
    <row r="245" spans="1:72" x14ac:dyDescent="0.15">
      <c r="A245" t="s">
        <v>72</v>
      </c>
      <c r="B245" t="s">
        <v>4964</v>
      </c>
      <c r="C245" t="s">
        <v>74</v>
      </c>
      <c r="D245" t="s">
        <v>74</v>
      </c>
      <c r="E245" t="s">
        <v>74</v>
      </c>
      <c r="F245" t="s">
        <v>4965</v>
      </c>
      <c r="G245" t="s">
        <v>74</v>
      </c>
      <c r="H245" t="s">
        <v>74</v>
      </c>
      <c r="I245" t="s">
        <v>4966</v>
      </c>
      <c r="J245" t="s">
        <v>4967</v>
      </c>
      <c r="K245" t="s">
        <v>74</v>
      </c>
      <c r="L245" t="s">
        <v>74</v>
      </c>
      <c r="M245" t="s">
        <v>78</v>
      </c>
      <c r="N245" t="s">
        <v>338</v>
      </c>
      <c r="O245" t="s">
        <v>74</v>
      </c>
      <c r="P245" t="s">
        <v>74</v>
      </c>
      <c r="Q245" t="s">
        <v>74</v>
      </c>
      <c r="R245" t="s">
        <v>74</v>
      </c>
      <c r="S245" t="s">
        <v>74</v>
      </c>
      <c r="T245" t="s">
        <v>4968</v>
      </c>
      <c r="U245" t="s">
        <v>4969</v>
      </c>
      <c r="V245" t="s">
        <v>4970</v>
      </c>
      <c r="W245" t="s">
        <v>4971</v>
      </c>
      <c r="X245" t="s">
        <v>4972</v>
      </c>
      <c r="Y245" t="s">
        <v>4973</v>
      </c>
      <c r="Z245" t="s">
        <v>4974</v>
      </c>
      <c r="AA245" t="s">
        <v>4975</v>
      </c>
      <c r="AB245" t="s">
        <v>4976</v>
      </c>
      <c r="AC245" t="s">
        <v>4977</v>
      </c>
      <c r="AD245" t="s">
        <v>4977</v>
      </c>
      <c r="AE245" t="s">
        <v>4978</v>
      </c>
      <c r="AF245" t="s">
        <v>74</v>
      </c>
      <c r="AG245">
        <v>44</v>
      </c>
      <c r="AH245">
        <v>0</v>
      </c>
      <c r="AI245">
        <v>0</v>
      </c>
      <c r="AJ245">
        <v>3</v>
      </c>
      <c r="AK245">
        <v>3</v>
      </c>
      <c r="AL245" t="s">
        <v>426</v>
      </c>
      <c r="AM245" t="s">
        <v>427</v>
      </c>
      <c r="AN245" t="s">
        <v>428</v>
      </c>
      <c r="AO245" t="s">
        <v>4979</v>
      </c>
      <c r="AP245" t="s">
        <v>4980</v>
      </c>
      <c r="AQ245" t="s">
        <v>74</v>
      </c>
      <c r="AR245" t="s">
        <v>4967</v>
      </c>
      <c r="AS245" t="s">
        <v>4981</v>
      </c>
      <c r="AT245" t="s">
        <v>4820</v>
      </c>
      <c r="AU245">
        <v>2023</v>
      </c>
      <c r="AV245" t="s">
        <v>74</v>
      </c>
      <c r="AW245" t="s">
        <v>74</v>
      </c>
      <c r="AX245" t="s">
        <v>74</v>
      </c>
      <c r="AY245" t="s">
        <v>74</v>
      </c>
      <c r="AZ245" t="s">
        <v>74</v>
      </c>
      <c r="BA245" t="s">
        <v>74</v>
      </c>
      <c r="BB245" t="s">
        <v>74</v>
      </c>
      <c r="BC245" t="s">
        <v>74</v>
      </c>
      <c r="BD245" t="s">
        <v>74</v>
      </c>
      <c r="BE245" t="s">
        <v>4982</v>
      </c>
      <c r="BF245" t="str">
        <f>HYPERLINK("http://dx.doi.org/10.1002/cssc.202301011","http://dx.doi.org/10.1002/cssc.202301011")</f>
        <v>http://dx.doi.org/10.1002/cssc.202301011</v>
      </c>
      <c r="BG245" t="s">
        <v>74</v>
      </c>
      <c r="BH245" t="s">
        <v>407</v>
      </c>
      <c r="BI245">
        <v>10</v>
      </c>
      <c r="BJ245" t="s">
        <v>4983</v>
      </c>
      <c r="BK245" t="s">
        <v>119</v>
      </c>
      <c r="BL245" t="s">
        <v>4984</v>
      </c>
      <c r="BM245" t="s">
        <v>4985</v>
      </c>
      <c r="BN245">
        <v>37681646</v>
      </c>
      <c r="BO245" t="s">
        <v>74</v>
      </c>
      <c r="BP245" t="s">
        <v>74</v>
      </c>
      <c r="BQ245" t="s">
        <v>74</v>
      </c>
      <c r="BR245" t="s">
        <v>99</v>
      </c>
      <c r="BS245" t="s">
        <v>4986</v>
      </c>
      <c r="BT245" t="str">
        <f>HYPERLINK("https%3A%2F%2Fwww.webofscience.com%2Fwos%2Fwoscc%2Ffull-record%2FWOS:001060394000001","View Full Record in Web of Science")</f>
        <v>View Full Record in Web of Science</v>
      </c>
    </row>
    <row r="246" spans="1:72" x14ac:dyDescent="0.15">
      <c r="A246" t="s">
        <v>72</v>
      </c>
      <c r="B246" t="s">
        <v>4987</v>
      </c>
      <c r="C246" t="s">
        <v>74</v>
      </c>
      <c r="D246" t="s">
        <v>74</v>
      </c>
      <c r="E246" t="s">
        <v>74</v>
      </c>
      <c r="F246" t="s">
        <v>4988</v>
      </c>
      <c r="G246" t="s">
        <v>74</v>
      </c>
      <c r="H246" t="s">
        <v>74</v>
      </c>
      <c r="I246" t="s">
        <v>4989</v>
      </c>
      <c r="J246" t="s">
        <v>4696</v>
      </c>
      <c r="K246" t="s">
        <v>74</v>
      </c>
      <c r="L246" t="s">
        <v>74</v>
      </c>
      <c r="M246" t="s">
        <v>78</v>
      </c>
      <c r="N246" t="s">
        <v>338</v>
      </c>
      <c r="O246" t="s">
        <v>74</v>
      </c>
      <c r="P246" t="s">
        <v>74</v>
      </c>
      <c r="Q246" t="s">
        <v>74</v>
      </c>
      <c r="R246" t="s">
        <v>74</v>
      </c>
      <c r="S246" t="s">
        <v>74</v>
      </c>
      <c r="T246" t="s">
        <v>4990</v>
      </c>
      <c r="U246" t="s">
        <v>4991</v>
      </c>
      <c r="V246" t="s">
        <v>4992</v>
      </c>
      <c r="W246" t="s">
        <v>4993</v>
      </c>
      <c r="X246" t="s">
        <v>4994</v>
      </c>
      <c r="Y246" t="s">
        <v>4995</v>
      </c>
      <c r="Z246" t="s">
        <v>4996</v>
      </c>
      <c r="AA246" t="s">
        <v>74</v>
      </c>
      <c r="AB246" t="s">
        <v>74</v>
      </c>
      <c r="AC246" t="s">
        <v>4997</v>
      </c>
      <c r="AD246" t="s">
        <v>4998</v>
      </c>
      <c r="AE246" t="s">
        <v>4999</v>
      </c>
      <c r="AF246" t="s">
        <v>74</v>
      </c>
      <c r="AG246">
        <v>50</v>
      </c>
      <c r="AH246">
        <v>0</v>
      </c>
      <c r="AI246">
        <v>0</v>
      </c>
      <c r="AJ246">
        <v>0</v>
      </c>
      <c r="AK246">
        <v>0</v>
      </c>
      <c r="AL246" t="s">
        <v>87</v>
      </c>
      <c r="AM246" t="s">
        <v>88</v>
      </c>
      <c r="AN246" t="s">
        <v>89</v>
      </c>
      <c r="AO246" t="s">
        <v>4705</v>
      </c>
      <c r="AP246" t="s">
        <v>74</v>
      </c>
      <c r="AQ246" t="s">
        <v>74</v>
      </c>
      <c r="AR246" t="s">
        <v>4706</v>
      </c>
      <c r="AS246" t="s">
        <v>4707</v>
      </c>
      <c r="AT246" t="s">
        <v>4820</v>
      </c>
      <c r="AU246">
        <v>2023</v>
      </c>
      <c r="AV246" t="s">
        <v>74</v>
      </c>
      <c r="AW246" t="s">
        <v>74</v>
      </c>
      <c r="AX246" t="s">
        <v>74</v>
      </c>
      <c r="AY246" t="s">
        <v>74</v>
      </c>
      <c r="AZ246" t="s">
        <v>74</v>
      </c>
      <c r="BA246" t="s">
        <v>74</v>
      </c>
      <c r="BB246" t="s">
        <v>74</v>
      </c>
      <c r="BC246" t="s">
        <v>74</v>
      </c>
      <c r="BD246" t="s">
        <v>74</v>
      </c>
      <c r="BE246" t="s">
        <v>5000</v>
      </c>
      <c r="BF246" t="str">
        <f>HYPERLINK("http://dx.doi.org/10.1002/fsn3.3619","http://dx.doi.org/10.1002/fsn3.3619")</f>
        <v>http://dx.doi.org/10.1002/fsn3.3619</v>
      </c>
      <c r="BG246" t="s">
        <v>74</v>
      </c>
      <c r="BH246" t="s">
        <v>407</v>
      </c>
      <c r="BI246">
        <v>14</v>
      </c>
      <c r="BJ246" t="s">
        <v>433</v>
      </c>
      <c r="BK246" t="s">
        <v>119</v>
      </c>
      <c r="BL246" t="s">
        <v>433</v>
      </c>
      <c r="BM246" t="s">
        <v>5001</v>
      </c>
      <c r="BN246" t="s">
        <v>74</v>
      </c>
      <c r="BO246" t="s">
        <v>74</v>
      </c>
      <c r="BP246" t="s">
        <v>74</v>
      </c>
      <c r="BQ246" t="s">
        <v>74</v>
      </c>
      <c r="BR246" t="s">
        <v>99</v>
      </c>
      <c r="BS246" t="s">
        <v>5002</v>
      </c>
      <c r="BT246" t="str">
        <f>HYPERLINK("https%3A%2F%2Fwww.webofscience.com%2Fwos%2Fwoscc%2Ffull-record%2FWOS:001064286800001","View Full Record in Web of Science")</f>
        <v>View Full Record in Web of Science</v>
      </c>
    </row>
    <row r="247" spans="1:72" x14ac:dyDescent="0.15">
      <c r="A247" t="s">
        <v>72</v>
      </c>
      <c r="B247" t="s">
        <v>5003</v>
      </c>
      <c r="C247" t="s">
        <v>74</v>
      </c>
      <c r="D247" t="s">
        <v>74</v>
      </c>
      <c r="E247" t="s">
        <v>74</v>
      </c>
      <c r="F247" t="s">
        <v>5004</v>
      </c>
      <c r="G247" t="s">
        <v>74</v>
      </c>
      <c r="H247" t="s">
        <v>74</v>
      </c>
      <c r="I247" t="s">
        <v>5005</v>
      </c>
      <c r="J247" t="s">
        <v>1773</v>
      </c>
      <c r="K247" t="s">
        <v>74</v>
      </c>
      <c r="L247" t="s">
        <v>74</v>
      </c>
      <c r="M247" t="s">
        <v>78</v>
      </c>
      <c r="N247" t="s">
        <v>338</v>
      </c>
      <c r="O247" t="s">
        <v>74</v>
      </c>
      <c r="P247" t="s">
        <v>74</v>
      </c>
      <c r="Q247" t="s">
        <v>74</v>
      </c>
      <c r="R247" t="s">
        <v>74</v>
      </c>
      <c r="S247" t="s">
        <v>74</v>
      </c>
      <c r="T247" t="s">
        <v>5006</v>
      </c>
      <c r="U247" t="s">
        <v>5007</v>
      </c>
      <c r="V247" t="s">
        <v>5008</v>
      </c>
      <c r="W247" t="s">
        <v>5009</v>
      </c>
      <c r="X247" t="s">
        <v>5010</v>
      </c>
      <c r="Y247" t="s">
        <v>5011</v>
      </c>
      <c r="Z247" t="s">
        <v>5012</v>
      </c>
      <c r="AA247" t="s">
        <v>5013</v>
      </c>
      <c r="AB247" t="s">
        <v>5014</v>
      </c>
      <c r="AC247" t="s">
        <v>5015</v>
      </c>
      <c r="AD247" t="s">
        <v>5016</v>
      </c>
      <c r="AE247" t="s">
        <v>5017</v>
      </c>
      <c r="AF247" t="s">
        <v>74</v>
      </c>
      <c r="AG247">
        <v>46</v>
      </c>
      <c r="AH247">
        <v>0</v>
      </c>
      <c r="AI247">
        <v>0</v>
      </c>
      <c r="AJ247">
        <v>6</v>
      </c>
      <c r="AK247">
        <v>6</v>
      </c>
      <c r="AL247" t="s">
        <v>426</v>
      </c>
      <c r="AM247" t="s">
        <v>427</v>
      </c>
      <c r="AN247" t="s">
        <v>428</v>
      </c>
      <c r="AO247" t="s">
        <v>1785</v>
      </c>
      <c r="AP247" t="s">
        <v>1786</v>
      </c>
      <c r="AQ247" t="s">
        <v>74</v>
      </c>
      <c r="AR247" t="s">
        <v>1787</v>
      </c>
      <c r="AS247" t="s">
        <v>1788</v>
      </c>
      <c r="AT247" t="s">
        <v>4820</v>
      </c>
      <c r="AU247">
        <v>2023</v>
      </c>
      <c r="AV247" t="s">
        <v>74</v>
      </c>
      <c r="AW247" t="s">
        <v>74</v>
      </c>
      <c r="AX247" t="s">
        <v>74</v>
      </c>
      <c r="AY247" t="s">
        <v>74</v>
      </c>
      <c r="AZ247" t="s">
        <v>74</v>
      </c>
      <c r="BA247" t="s">
        <v>74</v>
      </c>
      <c r="BB247" t="s">
        <v>74</v>
      </c>
      <c r="BC247" t="s">
        <v>74</v>
      </c>
      <c r="BD247" t="s">
        <v>74</v>
      </c>
      <c r="BE247" t="s">
        <v>5018</v>
      </c>
      <c r="BF247" t="str">
        <f>HYPERLINK("http://dx.doi.org/10.1002/adma.202300305","http://dx.doi.org/10.1002/adma.202300305")</f>
        <v>http://dx.doi.org/10.1002/adma.202300305</v>
      </c>
      <c r="BG247" t="s">
        <v>74</v>
      </c>
      <c r="BH247" t="s">
        <v>407</v>
      </c>
      <c r="BI247">
        <v>14</v>
      </c>
      <c r="BJ247" t="s">
        <v>609</v>
      </c>
      <c r="BK247" t="s">
        <v>119</v>
      </c>
      <c r="BL247" t="s">
        <v>610</v>
      </c>
      <c r="BM247" t="s">
        <v>5019</v>
      </c>
      <c r="BN247">
        <v>37572376</v>
      </c>
      <c r="BO247" t="s">
        <v>122</v>
      </c>
      <c r="BP247" t="s">
        <v>74</v>
      </c>
      <c r="BQ247" t="s">
        <v>74</v>
      </c>
      <c r="BR247" t="s">
        <v>99</v>
      </c>
      <c r="BS247" t="s">
        <v>5020</v>
      </c>
      <c r="BT247" t="str">
        <f>HYPERLINK("https%3A%2F%2Fwww.webofscience.com%2Fwos%2Fwoscc%2Ffull-record%2FWOS:001060381100001","View Full Record in Web of Science")</f>
        <v>View Full Record in Web of Science</v>
      </c>
    </row>
    <row r="248" spans="1:72" x14ac:dyDescent="0.15">
      <c r="A248" t="s">
        <v>72</v>
      </c>
      <c r="B248" t="s">
        <v>5021</v>
      </c>
      <c r="C248" t="s">
        <v>74</v>
      </c>
      <c r="D248" t="s">
        <v>74</v>
      </c>
      <c r="E248" t="s">
        <v>74</v>
      </c>
      <c r="F248" t="s">
        <v>5022</v>
      </c>
      <c r="G248" t="s">
        <v>74</v>
      </c>
      <c r="H248" t="s">
        <v>74</v>
      </c>
      <c r="I248" t="s">
        <v>5023</v>
      </c>
      <c r="J248" t="s">
        <v>3538</v>
      </c>
      <c r="K248" t="s">
        <v>74</v>
      </c>
      <c r="L248" t="s">
        <v>74</v>
      </c>
      <c r="M248" t="s">
        <v>78</v>
      </c>
      <c r="N248" t="s">
        <v>338</v>
      </c>
      <c r="O248" t="s">
        <v>74</v>
      </c>
      <c r="P248" t="s">
        <v>74</v>
      </c>
      <c r="Q248" t="s">
        <v>74</v>
      </c>
      <c r="R248" t="s">
        <v>74</v>
      </c>
      <c r="S248" t="s">
        <v>74</v>
      </c>
      <c r="T248" t="s">
        <v>5024</v>
      </c>
      <c r="U248" t="s">
        <v>5025</v>
      </c>
      <c r="V248" t="s">
        <v>74</v>
      </c>
      <c r="W248" t="s">
        <v>5026</v>
      </c>
      <c r="X248" t="s">
        <v>5027</v>
      </c>
      <c r="Y248" t="s">
        <v>5028</v>
      </c>
      <c r="Z248" t="s">
        <v>5029</v>
      </c>
      <c r="AA248" t="s">
        <v>74</v>
      </c>
      <c r="AB248" t="s">
        <v>5030</v>
      </c>
      <c r="AC248" t="s">
        <v>5031</v>
      </c>
      <c r="AD248" t="s">
        <v>5032</v>
      </c>
      <c r="AE248" t="s">
        <v>5033</v>
      </c>
      <c r="AF248" t="s">
        <v>74</v>
      </c>
      <c r="AG248">
        <v>5</v>
      </c>
      <c r="AH248">
        <v>0</v>
      </c>
      <c r="AI248">
        <v>0</v>
      </c>
      <c r="AJ248">
        <v>0</v>
      </c>
      <c r="AK248">
        <v>0</v>
      </c>
      <c r="AL248" t="s">
        <v>87</v>
      </c>
      <c r="AM248" t="s">
        <v>88</v>
      </c>
      <c r="AN248" t="s">
        <v>89</v>
      </c>
      <c r="AO248" t="s">
        <v>3550</v>
      </c>
      <c r="AP248" t="s">
        <v>3551</v>
      </c>
      <c r="AQ248" t="s">
        <v>74</v>
      </c>
      <c r="AR248" t="s">
        <v>3538</v>
      </c>
      <c r="AS248" t="s">
        <v>3552</v>
      </c>
      <c r="AT248" t="s">
        <v>4820</v>
      </c>
      <c r="AU248">
        <v>2023</v>
      </c>
      <c r="AV248" t="s">
        <v>74</v>
      </c>
      <c r="AW248" t="s">
        <v>74</v>
      </c>
      <c r="AX248" t="s">
        <v>74</v>
      </c>
      <c r="AY248" t="s">
        <v>74</v>
      </c>
      <c r="AZ248" t="s">
        <v>74</v>
      </c>
      <c r="BA248" t="s">
        <v>74</v>
      </c>
      <c r="BB248" t="s">
        <v>74</v>
      </c>
      <c r="BC248" t="s">
        <v>74</v>
      </c>
      <c r="BD248" t="s">
        <v>74</v>
      </c>
      <c r="BE248" t="s">
        <v>5034</v>
      </c>
      <c r="BF248" t="str">
        <f>HYPERLINK("http://dx.doi.org/10.1111/trf.17535","http://dx.doi.org/10.1111/trf.17535")</f>
        <v>http://dx.doi.org/10.1111/trf.17535</v>
      </c>
      <c r="BG248" t="s">
        <v>74</v>
      </c>
      <c r="BH248" t="s">
        <v>407</v>
      </c>
      <c r="BI248">
        <v>3</v>
      </c>
      <c r="BJ248" t="s">
        <v>1625</v>
      </c>
      <c r="BK248" t="s">
        <v>119</v>
      </c>
      <c r="BL248" t="s">
        <v>1625</v>
      </c>
      <c r="BM248" t="s">
        <v>5035</v>
      </c>
      <c r="BN248">
        <v>37681585</v>
      </c>
      <c r="BO248" t="s">
        <v>74</v>
      </c>
      <c r="BP248" t="s">
        <v>74</v>
      </c>
      <c r="BQ248" t="s">
        <v>74</v>
      </c>
      <c r="BR248" t="s">
        <v>99</v>
      </c>
      <c r="BS248" t="s">
        <v>5036</v>
      </c>
      <c r="BT248" t="str">
        <f>HYPERLINK("https%3A%2F%2Fwww.webofscience.com%2Fwos%2Fwoscc%2Ffull-record%2FWOS:001064026100001","View Full Record in Web of Science")</f>
        <v>View Full Record in Web of Science</v>
      </c>
    </row>
    <row r="249" spans="1:72" x14ac:dyDescent="0.15">
      <c r="A249" t="s">
        <v>72</v>
      </c>
      <c r="B249" t="s">
        <v>5037</v>
      </c>
      <c r="C249" t="s">
        <v>74</v>
      </c>
      <c r="D249" t="s">
        <v>74</v>
      </c>
      <c r="E249" t="s">
        <v>74</v>
      </c>
      <c r="F249" t="s">
        <v>5038</v>
      </c>
      <c r="G249" t="s">
        <v>74</v>
      </c>
      <c r="H249" t="s">
        <v>74</v>
      </c>
      <c r="I249" t="s">
        <v>5039</v>
      </c>
      <c r="J249" t="s">
        <v>593</v>
      </c>
      <c r="K249" t="s">
        <v>74</v>
      </c>
      <c r="L249" t="s">
        <v>74</v>
      </c>
      <c r="M249" t="s">
        <v>78</v>
      </c>
      <c r="N249" t="s">
        <v>338</v>
      </c>
      <c r="O249" t="s">
        <v>74</v>
      </c>
      <c r="P249" t="s">
        <v>74</v>
      </c>
      <c r="Q249" t="s">
        <v>74</v>
      </c>
      <c r="R249" t="s">
        <v>74</v>
      </c>
      <c r="S249" t="s">
        <v>74</v>
      </c>
      <c r="T249" t="s">
        <v>5040</v>
      </c>
      <c r="U249" t="s">
        <v>5041</v>
      </c>
      <c r="V249" t="s">
        <v>5042</v>
      </c>
      <c r="W249" t="s">
        <v>5043</v>
      </c>
      <c r="X249" t="s">
        <v>5044</v>
      </c>
      <c r="Y249" t="s">
        <v>5045</v>
      </c>
      <c r="Z249" t="s">
        <v>5046</v>
      </c>
      <c r="AA249" t="s">
        <v>74</v>
      </c>
      <c r="AB249" t="s">
        <v>74</v>
      </c>
      <c r="AC249" t="s">
        <v>5047</v>
      </c>
      <c r="AD249" t="s">
        <v>5048</v>
      </c>
      <c r="AE249" t="s">
        <v>5049</v>
      </c>
      <c r="AF249" t="s">
        <v>74</v>
      </c>
      <c r="AG249">
        <v>64</v>
      </c>
      <c r="AH249">
        <v>0</v>
      </c>
      <c r="AI249">
        <v>0</v>
      </c>
      <c r="AJ249">
        <v>11</v>
      </c>
      <c r="AK249">
        <v>11</v>
      </c>
      <c r="AL249" t="s">
        <v>426</v>
      </c>
      <c r="AM249" t="s">
        <v>427</v>
      </c>
      <c r="AN249" t="s">
        <v>428</v>
      </c>
      <c r="AO249" t="s">
        <v>605</v>
      </c>
      <c r="AP249" t="s">
        <v>606</v>
      </c>
      <c r="AQ249" t="s">
        <v>74</v>
      </c>
      <c r="AR249" t="s">
        <v>593</v>
      </c>
      <c r="AS249" t="s">
        <v>607</v>
      </c>
      <c r="AT249" t="s">
        <v>4820</v>
      </c>
      <c r="AU249">
        <v>2023</v>
      </c>
      <c r="AV249" t="s">
        <v>74</v>
      </c>
      <c r="AW249" t="s">
        <v>74</v>
      </c>
      <c r="AX249" t="s">
        <v>74</v>
      </c>
      <c r="AY249" t="s">
        <v>74</v>
      </c>
      <c r="AZ249" t="s">
        <v>74</v>
      </c>
      <c r="BA249" t="s">
        <v>74</v>
      </c>
      <c r="BB249" t="s">
        <v>74</v>
      </c>
      <c r="BC249" t="s">
        <v>74</v>
      </c>
      <c r="BD249" t="s">
        <v>74</v>
      </c>
      <c r="BE249" t="s">
        <v>5050</v>
      </c>
      <c r="BF249" t="str">
        <f>HYPERLINK("http://dx.doi.org/10.1002/smll.202305978","http://dx.doi.org/10.1002/smll.202305978")</f>
        <v>http://dx.doi.org/10.1002/smll.202305978</v>
      </c>
      <c r="BG249" t="s">
        <v>74</v>
      </c>
      <c r="BH249" t="s">
        <v>407</v>
      </c>
      <c r="BI249">
        <v>8</v>
      </c>
      <c r="BJ249" t="s">
        <v>609</v>
      </c>
      <c r="BK249" t="s">
        <v>119</v>
      </c>
      <c r="BL249" t="s">
        <v>610</v>
      </c>
      <c r="BM249" t="s">
        <v>5051</v>
      </c>
      <c r="BN249">
        <v>37688323</v>
      </c>
      <c r="BO249" t="s">
        <v>74</v>
      </c>
      <c r="BP249" t="s">
        <v>74</v>
      </c>
      <c r="BQ249" t="s">
        <v>74</v>
      </c>
      <c r="BR249" t="s">
        <v>99</v>
      </c>
      <c r="BS249" t="s">
        <v>5052</v>
      </c>
      <c r="BT249" t="str">
        <f>HYPERLINK("https%3A%2F%2Fwww.webofscience.com%2Fwos%2Fwoscc%2Ffull-record%2FWOS:001060862300001","View Full Record in Web of Science")</f>
        <v>View Full Record in Web of Science</v>
      </c>
    </row>
    <row r="250" spans="1:72" x14ac:dyDescent="0.15">
      <c r="A250" t="s">
        <v>72</v>
      </c>
      <c r="B250" t="s">
        <v>5053</v>
      </c>
      <c r="C250" t="s">
        <v>74</v>
      </c>
      <c r="D250" t="s">
        <v>74</v>
      </c>
      <c r="E250" t="s">
        <v>74</v>
      </c>
      <c r="F250" t="s">
        <v>5054</v>
      </c>
      <c r="G250" t="s">
        <v>74</v>
      </c>
      <c r="H250" t="s">
        <v>74</v>
      </c>
      <c r="I250" t="s">
        <v>5055</v>
      </c>
      <c r="J250" t="s">
        <v>5056</v>
      </c>
      <c r="K250" t="s">
        <v>74</v>
      </c>
      <c r="L250" t="s">
        <v>74</v>
      </c>
      <c r="M250" t="s">
        <v>78</v>
      </c>
      <c r="N250" t="s">
        <v>338</v>
      </c>
      <c r="O250" t="s">
        <v>74</v>
      </c>
      <c r="P250" t="s">
        <v>74</v>
      </c>
      <c r="Q250" t="s">
        <v>74</v>
      </c>
      <c r="R250" t="s">
        <v>74</v>
      </c>
      <c r="S250" t="s">
        <v>74</v>
      </c>
      <c r="T250" t="s">
        <v>5057</v>
      </c>
      <c r="U250" t="s">
        <v>5058</v>
      </c>
      <c r="V250" t="s">
        <v>5059</v>
      </c>
      <c r="W250" t="s">
        <v>5060</v>
      </c>
      <c r="X250" t="s">
        <v>5061</v>
      </c>
      <c r="Y250" t="s">
        <v>5062</v>
      </c>
      <c r="Z250" t="s">
        <v>5063</v>
      </c>
      <c r="AA250" t="s">
        <v>74</v>
      </c>
      <c r="AB250" t="s">
        <v>5064</v>
      </c>
      <c r="AC250" t="s">
        <v>5065</v>
      </c>
      <c r="AD250" t="s">
        <v>5066</v>
      </c>
      <c r="AE250" t="s">
        <v>5067</v>
      </c>
      <c r="AF250" t="s">
        <v>74</v>
      </c>
      <c r="AG250">
        <v>35</v>
      </c>
      <c r="AH250">
        <v>0</v>
      </c>
      <c r="AI250">
        <v>0</v>
      </c>
      <c r="AJ250">
        <v>0</v>
      </c>
      <c r="AK250">
        <v>0</v>
      </c>
      <c r="AL250" t="s">
        <v>87</v>
      </c>
      <c r="AM250" t="s">
        <v>88</v>
      </c>
      <c r="AN250" t="s">
        <v>89</v>
      </c>
      <c r="AO250" t="s">
        <v>5068</v>
      </c>
      <c r="AP250" t="s">
        <v>5069</v>
      </c>
      <c r="AQ250" t="s">
        <v>74</v>
      </c>
      <c r="AR250" t="s">
        <v>5070</v>
      </c>
      <c r="AS250" t="s">
        <v>5071</v>
      </c>
      <c r="AT250" t="s">
        <v>4820</v>
      </c>
      <c r="AU250">
        <v>2023</v>
      </c>
      <c r="AV250" t="s">
        <v>74</v>
      </c>
      <c r="AW250" t="s">
        <v>74</v>
      </c>
      <c r="AX250" t="s">
        <v>74</v>
      </c>
      <c r="AY250" t="s">
        <v>74</v>
      </c>
      <c r="AZ250" t="s">
        <v>74</v>
      </c>
      <c r="BA250" t="s">
        <v>74</v>
      </c>
      <c r="BB250" t="s">
        <v>74</v>
      </c>
      <c r="BC250" t="s">
        <v>74</v>
      </c>
      <c r="BD250" t="s">
        <v>74</v>
      </c>
      <c r="BE250" t="s">
        <v>5072</v>
      </c>
      <c r="BF250" t="str">
        <f>HYPERLINK("http://dx.doi.org/10.1002/path.6176","http://dx.doi.org/10.1002/path.6176")</f>
        <v>http://dx.doi.org/10.1002/path.6176</v>
      </c>
      <c r="BG250" t="s">
        <v>74</v>
      </c>
      <c r="BH250" t="s">
        <v>407</v>
      </c>
      <c r="BI250">
        <v>11</v>
      </c>
      <c r="BJ250" t="s">
        <v>1328</v>
      </c>
      <c r="BK250" t="s">
        <v>119</v>
      </c>
      <c r="BL250" t="s">
        <v>1328</v>
      </c>
      <c r="BM250" t="s">
        <v>5073</v>
      </c>
      <c r="BN250">
        <v>37681286</v>
      </c>
      <c r="BO250" t="s">
        <v>122</v>
      </c>
      <c r="BP250" t="s">
        <v>74</v>
      </c>
      <c r="BQ250" t="s">
        <v>74</v>
      </c>
      <c r="BR250" t="s">
        <v>99</v>
      </c>
      <c r="BS250" t="s">
        <v>5074</v>
      </c>
      <c r="BT250" t="str">
        <f>HYPERLINK("https%3A%2F%2Fwww.webofscience.com%2Fwos%2Fwoscc%2Ffull-record%2FWOS:001060284900001","View Full Record in Web of Science")</f>
        <v>View Full Record in Web of Science</v>
      </c>
    </row>
    <row r="251" spans="1:72" x14ac:dyDescent="0.15">
      <c r="A251" t="s">
        <v>72</v>
      </c>
      <c r="B251" t="s">
        <v>5075</v>
      </c>
      <c r="C251" t="s">
        <v>74</v>
      </c>
      <c r="D251" t="s">
        <v>74</v>
      </c>
      <c r="E251" t="s">
        <v>74</v>
      </c>
      <c r="F251" t="s">
        <v>5076</v>
      </c>
      <c r="G251" t="s">
        <v>74</v>
      </c>
      <c r="H251" t="s">
        <v>74</v>
      </c>
      <c r="I251" t="s">
        <v>5077</v>
      </c>
      <c r="J251" t="s">
        <v>4445</v>
      </c>
      <c r="K251" t="s">
        <v>74</v>
      </c>
      <c r="L251" t="s">
        <v>74</v>
      </c>
      <c r="M251" t="s">
        <v>78</v>
      </c>
      <c r="N251" t="s">
        <v>338</v>
      </c>
      <c r="O251" t="s">
        <v>74</v>
      </c>
      <c r="P251" t="s">
        <v>74</v>
      </c>
      <c r="Q251" t="s">
        <v>74</v>
      </c>
      <c r="R251" t="s">
        <v>74</v>
      </c>
      <c r="S251" t="s">
        <v>74</v>
      </c>
      <c r="T251" t="s">
        <v>5078</v>
      </c>
      <c r="U251" t="s">
        <v>5079</v>
      </c>
      <c r="V251" t="s">
        <v>5080</v>
      </c>
      <c r="W251" t="s">
        <v>5081</v>
      </c>
      <c r="X251" t="s">
        <v>5082</v>
      </c>
      <c r="Y251" t="s">
        <v>5083</v>
      </c>
      <c r="Z251" t="s">
        <v>5084</v>
      </c>
      <c r="AA251" t="s">
        <v>74</v>
      </c>
      <c r="AB251" t="s">
        <v>74</v>
      </c>
      <c r="AC251" t="s">
        <v>5085</v>
      </c>
      <c r="AD251" t="s">
        <v>5086</v>
      </c>
      <c r="AE251" t="s">
        <v>5087</v>
      </c>
      <c r="AF251" t="s">
        <v>74</v>
      </c>
      <c r="AG251">
        <v>45</v>
      </c>
      <c r="AH251">
        <v>0</v>
      </c>
      <c r="AI251">
        <v>0</v>
      </c>
      <c r="AJ251">
        <v>1</v>
      </c>
      <c r="AK251">
        <v>1</v>
      </c>
      <c r="AL251" t="s">
        <v>426</v>
      </c>
      <c r="AM251" t="s">
        <v>427</v>
      </c>
      <c r="AN251" t="s">
        <v>428</v>
      </c>
      <c r="AO251" t="s">
        <v>4455</v>
      </c>
      <c r="AP251" t="s">
        <v>4456</v>
      </c>
      <c r="AQ251" t="s">
        <v>74</v>
      </c>
      <c r="AR251" t="s">
        <v>4457</v>
      </c>
      <c r="AS251" t="s">
        <v>4458</v>
      </c>
      <c r="AT251" t="s">
        <v>4820</v>
      </c>
      <c r="AU251">
        <v>2023</v>
      </c>
      <c r="AV251" t="s">
        <v>74</v>
      </c>
      <c r="AW251" t="s">
        <v>74</v>
      </c>
      <c r="AX251" t="s">
        <v>74</v>
      </c>
      <c r="AY251" t="s">
        <v>74</v>
      </c>
      <c r="AZ251" t="s">
        <v>74</v>
      </c>
      <c r="BA251" t="s">
        <v>74</v>
      </c>
      <c r="BB251" t="s">
        <v>74</v>
      </c>
      <c r="BC251" t="s">
        <v>74</v>
      </c>
      <c r="BD251" t="s">
        <v>5088</v>
      </c>
      <c r="BE251" t="s">
        <v>5089</v>
      </c>
      <c r="BF251" t="str">
        <f>HYPERLINK("http://dx.doi.org/10.1002/ejic.202300476","http://dx.doi.org/10.1002/ejic.202300476")</f>
        <v>http://dx.doi.org/10.1002/ejic.202300476</v>
      </c>
      <c r="BG251" t="s">
        <v>74</v>
      </c>
      <c r="BH251" t="s">
        <v>407</v>
      </c>
      <c r="BI251">
        <v>7</v>
      </c>
      <c r="BJ251" t="s">
        <v>4460</v>
      </c>
      <c r="BK251" t="s">
        <v>119</v>
      </c>
      <c r="BL251" t="s">
        <v>524</v>
      </c>
      <c r="BM251" t="s">
        <v>5090</v>
      </c>
      <c r="BN251" t="s">
        <v>74</v>
      </c>
      <c r="BO251" t="s">
        <v>74</v>
      </c>
      <c r="BP251" t="s">
        <v>74</v>
      </c>
      <c r="BQ251" t="s">
        <v>74</v>
      </c>
      <c r="BR251" t="s">
        <v>99</v>
      </c>
      <c r="BS251" t="s">
        <v>5091</v>
      </c>
      <c r="BT251" t="str">
        <f>HYPERLINK("https%3A%2F%2Fwww.webofscience.com%2Fwos%2Fwoscc%2Ffull-record%2FWOS:001064023900001","View Full Record in Web of Science")</f>
        <v>View Full Record in Web of Science</v>
      </c>
    </row>
    <row r="252" spans="1:72" x14ac:dyDescent="0.15">
      <c r="A252" t="s">
        <v>72</v>
      </c>
      <c r="B252" t="s">
        <v>5092</v>
      </c>
      <c r="C252" t="s">
        <v>74</v>
      </c>
      <c r="D252" t="s">
        <v>74</v>
      </c>
      <c r="E252" t="s">
        <v>74</v>
      </c>
      <c r="F252" t="s">
        <v>5093</v>
      </c>
      <c r="G252" t="s">
        <v>74</v>
      </c>
      <c r="H252" t="s">
        <v>74</v>
      </c>
      <c r="I252" t="s">
        <v>5094</v>
      </c>
      <c r="J252" t="s">
        <v>5095</v>
      </c>
      <c r="K252" t="s">
        <v>74</v>
      </c>
      <c r="L252" t="s">
        <v>74</v>
      </c>
      <c r="M252" t="s">
        <v>78</v>
      </c>
      <c r="N252" t="s">
        <v>338</v>
      </c>
      <c r="O252" t="s">
        <v>74</v>
      </c>
      <c r="P252" t="s">
        <v>74</v>
      </c>
      <c r="Q252" t="s">
        <v>74</v>
      </c>
      <c r="R252" t="s">
        <v>74</v>
      </c>
      <c r="S252" t="s">
        <v>74</v>
      </c>
      <c r="T252" t="s">
        <v>5096</v>
      </c>
      <c r="U252" t="s">
        <v>5097</v>
      </c>
      <c r="V252" t="s">
        <v>5098</v>
      </c>
      <c r="W252" t="s">
        <v>5099</v>
      </c>
      <c r="X252" t="s">
        <v>5100</v>
      </c>
      <c r="Y252" t="s">
        <v>5101</v>
      </c>
      <c r="Z252" t="s">
        <v>5102</v>
      </c>
      <c r="AA252" t="s">
        <v>74</v>
      </c>
      <c r="AB252" t="s">
        <v>74</v>
      </c>
      <c r="AC252" t="s">
        <v>5103</v>
      </c>
      <c r="AD252" t="s">
        <v>5104</v>
      </c>
      <c r="AE252" t="s">
        <v>5105</v>
      </c>
      <c r="AF252" t="s">
        <v>74</v>
      </c>
      <c r="AG252">
        <v>48</v>
      </c>
      <c r="AH252">
        <v>0</v>
      </c>
      <c r="AI252">
        <v>0</v>
      </c>
      <c r="AJ252">
        <v>2</v>
      </c>
      <c r="AK252">
        <v>2</v>
      </c>
      <c r="AL252" t="s">
        <v>426</v>
      </c>
      <c r="AM252" t="s">
        <v>427</v>
      </c>
      <c r="AN252" t="s">
        <v>428</v>
      </c>
      <c r="AO252" t="s">
        <v>5106</v>
      </c>
      <c r="AP252" t="s">
        <v>5107</v>
      </c>
      <c r="AQ252" t="s">
        <v>74</v>
      </c>
      <c r="AR252" t="s">
        <v>5108</v>
      </c>
      <c r="AS252" t="s">
        <v>5109</v>
      </c>
      <c r="AT252" t="s">
        <v>4820</v>
      </c>
      <c r="AU252">
        <v>2023</v>
      </c>
      <c r="AV252" t="s">
        <v>74</v>
      </c>
      <c r="AW252" t="s">
        <v>74</v>
      </c>
      <c r="AX252" t="s">
        <v>74</v>
      </c>
      <c r="AY252" t="s">
        <v>74</v>
      </c>
      <c r="AZ252" t="s">
        <v>74</v>
      </c>
      <c r="BA252" t="s">
        <v>74</v>
      </c>
      <c r="BB252" t="s">
        <v>74</v>
      </c>
      <c r="BC252" t="s">
        <v>74</v>
      </c>
      <c r="BD252" t="s">
        <v>74</v>
      </c>
      <c r="BE252" t="s">
        <v>5110</v>
      </c>
      <c r="BF252" t="str">
        <f>HYPERLINK("http://dx.doi.org/10.1002/lpor.202300499","http://dx.doi.org/10.1002/lpor.202300499")</f>
        <v>http://dx.doi.org/10.1002/lpor.202300499</v>
      </c>
      <c r="BG252" t="s">
        <v>74</v>
      </c>
      <c r="BH252" t="s">
        <v>407</v>
      </c>
      <c r="BI252">
        <v>8</v>
      </c>
      <c r="BJ252" t="s">
        <v>5111</v>
      </c>
      <c r="BK252" t="s">
        <v>119</v>
      </c>
      <c r="BL252" t="s">
        <v>5112</v>
      </c>
      <c r="BM252" t="s">
        <v>5113</v>
      </c>
      <c r="BN252" t="s">
        <v>74</v>
      </c>
      <c r="BO252" t="s">
        <v>301</v>
      </c>
      <c r="BP252" t="s">
        <v>74</v>
      </c>
      <c r="BQ252" t="s">
        <v>74</v>
      </c>
      <c r="BR252" t="s">
        <v>99</v>
      </c>
      <c r="BS252" t="s">
        <v>5114</v>
      </c>
      <c r="BT252" t="str">
        <f>HYPERLINK("https%3A%2F%2Fwww.webofscience.com%2Fwos%2Fwoscc%2Ffull-record%2FWOS:001060377900001","View Full Record in Web of Science")</f>
        <v>View Full Record in Web of Science</v>
      </c>
    </row>
    <row r="253" spans="1:72" x14ac:dyDescent="0.15">
      <c r="A253" t="s">
        <v>72</v>
      </c>
      <c r="B253" t="s">
        <v>5115</v>
      </c>
      <c r="C253" t="s">
        <v>74</v>
      </c>
      <c r="D253" t="s">
        <v>74</v>
      </c>
      <c r="E253" t="s">
        <v>74</v>
      </c>
      <c r="F253" t="s">
        <v>5116</v>
      </c>
      <c r="G253" t="s">
        <v>74</v>
      </c>
      <c r="H253" t="s">
        <v>74</v>
      </c>
      <c r="I253" t="s">
        <v>5117</v>
      </c>
      <c r="J253" t="s">
        <v>2913</v>
      </c>
      <c r="K253" t="s">
        <v>74</v>
      </c>
      <c r="L253" t="s">
        <v>74</v>
      </c>
      <c r="M253" t="s">
        <v>78</v>
      </c>
      <c r="N253" t="s">
        <v>338</v>
      </c>
      <c r="O253" t="s">
        <v>74</v>
      </c>
      <c r="P253" t="s">
        <v>74</v>
      </c>
      <c r="Q253" t="s">
        <v>74</v>
      </c>
      <c r="R253" t="s">
        <v>74</v>
      </c>
      <c r="S253" t="s">
        <v>74</v>
      </c>
      <c r="T253" t="s">
        <v>5118</v>
      </c>
      <c r="U253" t="s">
        <v>5119</v>
      </c>
      <c r="V253" t="s">
        <v>5120</v>
      </c>
      <c r="W253" t="s">
        <v>5121</v>
      </c>
      <c r="X253" t="s">
        <v>5122</v>
      </c>
      <c r="Y253" t="s">
        <v>5123</v>
      </c>
      <c r="Z253" t="s">
        <v>5124</v>
      </c>
      <c r="AA253" t="s">
        <v>5125</v>
      </c>
      <c r="AB253" t="s">
        <v>5126</v>
      </c>
      <c r="AC253" t="s">
        <v>5127</v>
      </c>
      <c r="AD253" t="s">
        <v>5128</v>
      </c>
      <c r="AE253" t="s">
        <v>5129</v>
      </c>
      <c r="AF253" t="s">
        <v>74</v>
      </c>
      <c r="AG253">
        <v>83</v>
      </c>
      <c r="AH253">
        <v>0</v>
      </c>
      <c r="AI253">
        <v>0</v>
      </c>
      <c r="AJ253">
        <v>8</v>
      </c>
      <c r="AK253">
        <v>8</v>
      </c>
      <c r="AL253" t="s">
        <v>426</v>
      </c>
      <c r="AM253" t="s">
        <v>427</v>
      </c>
      <c r="AN253" t="s">
        <v>428</v>
      </c>
      <c r="AO253" t="s">
        <v>2925</v>
      </c>
      <c r="AP253" t="s">
        <v>2926</v>
      </c>
      <c r="AQ253" t="s">
        <v>74</v>
      </c>
      <c r="AR253" t="s">
        <v>2927</v>
      </c>
      <c r="AS253" t="s">
        <v>2928</v>
      </c>
      <c r="AT253" t="s">
        <v>4820</v>
      </c>
      <c r="AU253">
        <v>2023</v>
      </c>
      <c r="AV253" t="s">
        <v>74</v>
      </c>
      <c r="AW253" t="s">
        <v>74</v>
      </c>
      <c r="AX253" t="s">
        <v>74</v>
      </c>
      <c r="AY253" t="s">
        <v>74</v>
      </c>
      <c r="AZ253" t="s">
        <v>74</v>
      </c>
      <c r="BA253" t="s">
        <v>74</v>
      </c>
      <c r="BB253" t="s">
        <v>74</v>
      </c>
      <c r="BC253" t="s">
        <v>74</v>
      </c>
      <c r="BD253" t="s">
        <v>74</v>
      </c>
      <c r="BE253" t="s">
        <v>5130</v>
      </c>
      <c r="BF253" t="str">
        <f>HYPERLINK("http://dx.doi.org/10.1002/chem.202301885","http://dx.doi.org/10.1002/chem.202301885")</f>
        <v>http://dx.doi.org/10.1002/chem.202301885</v>
      </c>
      <c r="BG253" t="s">
        <v>74</v>
      </c>
      <c r="BH253" t="s">
        <v>407</v>
      </c>
      <c r="BI253">
        <v>11</v>
      </c>
      <c r="BJ253" t="s">
        <v>523</v>
      </c>
      <c r="BK253" t="s">
        <v>119</v>
      </c>
      <c r="BL253" t="s">
        <v>524</v>
      </c>
      <c r="BM253" t="s">
        <v>5131</v>
      </c>
      <c r="BN253">
        <v>37431981</v>
      </c>
      <c r="BO253" t="s">
        <v>74</v>
      </c>
      <c r="BP253" t="s">
        <v>74</v>
      </c>
      <c r="BQ253" t="s">
        <v>74</v>
      </c>
      <c r="BR253" t="s">
        <v>99</v>
      </c>
      <c r="BS253" t="s">
        <v>5132</v>
      </c>
      <c r="BT253" t="str">
        <f>HYPERLINK("https%3A%2F%2Fwww.webofscience.com%2Fwos%2Fwoscc%2Ffull-record%2FWOS:001060393400001","View Full Record in Web of Science")</f>
        <v>View Full Record in Web of Science</v>
      </c>
    </row>
    <row r="254" spans="1:72" x14ac:dyDescent="0.15">
      <c r="A254" t="s">
        <v>72</v>
      </c>
      <c r="B254" t="s">
        <v>5133</v>
      </c>
      <c r="C254" t="s">
        <v>74</v>
      </c>
      <c r="D254" t="s">
        <v>74</v>
      </c>
      <c r="E254" t="s">
        <v>74</v>
      </c>
      <c r="F254" t="s">
        <v>5134</v>
      </c>
      <c r="G254" t="s">
        <v>74</v>
      </c>
      <c r="H254" t="s">
        <v>74</v>
      </c>
      <c r="I254" t="s">
        <v>5135</v>
      </c>
      <c r="J254" t="s">
        <v>4850</v>
      </c>
      <c r="K254" t="s">
        <v>74</v>
      </c>
      <c r="L254" t="s">
        <v>74</v>
      </c>
      <c r="M254" t="s">
        <v>78</v>
      </c>
      <c r="N254" t="s">
        <v>338</v>
      </c>
      <c r="O254" t="s">
        <v>74</v>
      </c>
      <c r="P254" t="s">
        <v>74</v>
      </c>
      <c r="Q254" t="s">
        <v>74</v>
      </c>
      <c r="R254" t="s">
        <v>74</v>
      </c>
      <c r="S254" t="s">
        <v>74</v>
      </c>
      <c r="T254" t="s">
        <v>5136</v>
      </c>
      <c r="U254" t="s">
        <v>5137</v>
      </c>
      <c r="V254" t="s">
        <v>5138</v>
      </c>
      <c r="W254" t="s">
        <v>5139</v>
      </c>
      <c r="X254" t="s">
        <v>5140</v>
      </c>
      <c r="Y254" t="s">
        <v>5141</v>
      </c>
      <c r="Z254" t="s">
        <v>5142</v>
      </c>
      <c r="AA254" t="s">
        <v>74</v>
      </c>
      <c r="AB254" t="s">
        <v>5143</v>
      </c>
      <c r="AC254" t="s">
        <v>5144</v>
      </c>
      <c r="AD254" t="s">
        <v>5145</v>
      </c>
      <c r="AE254" t="s">
        <v>5146</v>
      </c>
      <c r="AF254" t="s">
        <v>74</v>
      </c>
      <c r="AG254">
        <v>30</v>
      </c>
      <c r="AH254">
        <v>0</v>
      </c>
      <c r="AI254">
        <v>0</v>
      </c>
      <c r="AJ254">
        <v>10</v>
      </c>
      <c r="AK254">
        <v>10</v>
      </c>
      <c r="AL254" t="s">
        <v>426</v>
      </c>
      <c r="AM254" t="s">
        <v>427</v>
      </c>
      <c r="AN254" t="s">
        <v>428</v>
      </c>
      <c r="AO254" t="s">
        <v>4860</v>
      </c>
      <c r="AP254" t="s">
        <v>4861</v>
      </c>
      <c r="AQ254" t="s">
        <v>74</v>
      </c>
      <c r="AR254" t="s">
        <v>4862</v>
      </c>
      <c r="AS254" t="s">
        <v>4863</v>
      </c>
      <c r="AT254" t="s">
        <v>4820</v>
      </c>
      <c r="AU254">
        <v>2023</v>
      </c>
      <c r="AV254" t="s">
        <v>74</v>
      </c>
      <c r="AW254" t="s">
        <v>74</v>
      </c>
      <c r="AX254" t="s">
        <v>74</v>
      </c>
      <c r="AY254" t="s">
        <v>74</v>
      </c>
      <c r="AZ254" t="s">
        <v>74</v>
      </c>
      <c r="BA254" t="s">
        <v>74</v>
      </c>
      <c r="BB254" t="s">
        <v>74</v>
      </c>
      <c r="BC254" t="s">
        <v>74</v>
      </c>
      <c r="BD254" t="s">
        <v>74</v>
      </c>
      <c r="BE254" t="s">
        <v>5147</v>
      </c>
      <c r="BF254" t="str">
        <f>HYPERLINK("http://dx.doi.org/10.1002/asia.202300432","http://dx.doi.org/10.1002/asia.202300432")</f>
        <v>http://dx.doi.org/10.1002/asia.202300432</v>
      </c>
      <c r="BG254" t="s">
        <v>74</v>
      </c>
      <c r="BH254" t="s">
        <v>407</v>
      </c>
      <c r="BI254">
        <v>9</v>
      </c>
      <c r="BJ254" t="s">
        <v>523</v>
      </c>
      <c r="BK254" t="s">
        <v>119</v>
      </c>
      <c r="BL254" t="s">
        <v>524</v>
      </c>
      <c r="BM254" t="s">
        <v>5148</v>
      </c>
      <c r="BN254">
        <v>37424055</v>
      </c>
      <c r="BO254" t="s">
        <v>74</v>
      </c>
      <c r="BP254" t="s">
        <v>74</v>
      </c>
      <c r="BQ254" t="s">
        <v>74</v>
      </c>
      <c r="BR254" t="s">
        <v>99</v>
      </c>
      <c r="BS254" t="s">
        <v>5149</v>
      </c>
      <c r="BT254" t="str">
        <f>HYPERLINK("https%3A%2F%2Fwww.webofscience.com%2Fwos%2Fwoscc%2Ffull-record%2FWOS:001060372700001","View Full Record in Web of Science")</f>
        <v>View Full Record in Web of Science</v>
      </c>
    </row>
    <row r="255" spans="1:72" x14ac:dyDescent="0.15">
      <c r="A255" t="s">
        <v>72</v>
      </c>
      <c r="B255" t="s">
        <v>5150</v>
      </c>
      <c r="C255" t="s">
        <v>74</v>
      </c>
      <c r="D255" t="s">
        <v>74</v>
      </c>
      <c r="E255" t="s">
        <v>74</v>
      </c>
      <c r="F255" t="s">
        <v>5151</v>
      </c>
      <c r="G255" t="s">
        <v>74</v>
      </c>
      <c r="H255" t="s">
        <v>74</v>
      </c>
      <c r="I255" t="s">
        <v>5152</v>
      </c>
      <c r="J255" t="s">
        <v>5153</v>
      </c>
      <c r="K255" t="s">
        <v>74</v>
      </c>
      <c r="L255" t="s">
        <v>74</v>
      </c>
      <c r="M255" t="s">
        <v>78</v>
      </c>
      <c r="N255" t="s">
        <v>338</v>
      </c>
      <c r="O255" t="s">
        <v>74</v>
      </c>
      <c r="P255" t="s">
        <v>74</v>
      </c>
      <c r="Q255" t="s">
        <v>74</v>
      </c>
      <c r="R255" t="s">
        <v>74</v>
      </c>
      <c r="S255" t="s">
        <v>74</v>
      </c>
      <c r="T255" t="s">
        <v>5154</v>
      </c>
      <c r="U255" t="s">
        <v>74</v>
      </c>
      <c r="V255" t="s">
        <v>5155</v>
      </c>
      <c r="W255" t="s">
        <v>5156</v>
      </c>
      <c r="X255" t="s">
        <v>5157</v>
      </c>
      <c r="Y255" t="s">
        <v>5158</v>
      </c>
      <c r="Z255" t="s">
        <v>5159</v>
      </c>
      <c r="AA255" t="s">
        <v>74</v>
      </c>
      <c r="AB255" t="s">
        <v>74</v>
      </c>
      <c r="AC255" t="s">
        <v>74</v>
      </c>
      <c r="AD255" t="s">
        <v>74</v>
      </c>
      <c r="AE255" t="s">
        <v>74</v>
      </c>
      <c r="AF255" t="s">
        <v>74</v>
      </c>
      <c r="AG255">
        <v>16</v>
      </c>
      <c r="AH255">
        <v>0</v>
      </c>
      <c r="AI255">
        <v>0</v>
      </c>
      <c r="AJ255">
        <v>0</v>
      </c>
      <c r="AK255">
        <v>0</v>
      </c>
      <c r="AL255" t="s">
        <v>87</v>
      </c>
      <c r="AM255" t="s">
        <v>88</v>
      </c>
      <c r="AN255" t="s">
        <v>89</v>
      </c>
      <c r="AO255" t="s">
        <v>5160</v>
      </c>
      <c r="AP255" t="s">
        <v>5161</v>
      </c>
      <c r="AQ255" t="s">
        <v>74</v>
      </c>
      <c r="AR255" t="s">
        <v>5162</v>
      </c>
      <c r="AS255" t="s">
        <v>5163</v>
      </c>
      <c r="AT255" t="s">
        <v>5164</v>
      </c>
      <c r="AU255">
        <v>2023</v>
      </c>
      <c r="AV255" t="s">
        <v>74</v>
      </c>
      <c r="AW255" t="s">
        <v>74</v>
      </c>
      <c r="AX255" t="s">
        <v>74</v>
      </c>
      <c r="AY255" t="s">
        <v>74</v>
      </c>
      <c r="AZ255" t="s">
        <v>74</v>
      </c>
      <c r="BA255" t="s">
        <v>74</v>
      </c>
      <c r="BB255" t="s">
        <v>74</v>
      </c>
      <c r="BC255" t="s">
        <v>74</v>
      </c>
      <c r="BD255" t="s">
        <v>74</v>
      </c>
      <c r="BE255" t="s">
        <v>5165</v>
      </c>
      <c r="BF255" t="str">
        <f>HYPERLINK("http://dx.doi.org/10.1111/jopr.13758","http://dx.doi.org/10.1111/jopr.13758")</f>
        <v>http://dx.doi.org/10.1111/jopr.13758</v>
      </c>
      <c r="BG255" t="s">
        <v>74</v>
      </c>
      <c r="BH255" t="s">
        <v>407</v>
      </c>
      <c r="BI255">
        <v>6</v>
      </c>
      <c r="BJ255" t="s">
        <v>314</v>
      </c>
      <c r="BK255" t="s">
        <v>119</v>
      </c>
      <c r="BL255" t="s">
        <v>314</v>
      </c>
      <c r="BM255" t="s">
        <v>5166</v>
      </c>
      <c r="BN255">
        <v>37634077</v>
      </c>
      <c r="BO255" t="s">
        <v>74</v>
      </c>
      <c r="BP255" t="s">
        <v>74</v>
      </c>
      <c r="BQ255" t="s">
        <v>74</v>
      </c>
      <c r="BR255" t="s">
        <v>99</v>
      </c>
      <c r="BS255" t="s">
        <v>5167</v>
      </c>
      <c r="BT255" t="str">
        <f>HYPERLINK("https%3A%2F%2Fwww.webofscience.com%2Fwos%2Fwoscc%2Ffull-record%2FWOS:001059970000001","View Full Record in Web of Science")</f>
        <v>View Full Record in Web of Science</v>
      </c>
    </row>
    <row r="256" spans="1:72" x14ac:dyDescent="0.15">
      <c r="A256" t="s">
        <v>72</v>
      </c>
      <c r="B256" t="s">
        <v>5168</v>
      </c>
      <c r="C256" t="s">
        <v>74</v>
      </c>
      <c r="D256" t="s">
        <v>74</v>
      </c>
      <c r="E256" t="s">
        <v>74</v>
      </c>
      <c r="F256" t="s">
        <v>5169</v>
      </c>
      <c r="G256" t="s">
        <v>74</v>
      </c>
      <c r="H256" t="s">
        <v>74</v>
      </c>
      <c r="I256" t="s">
        <v>5170</v>
      </c>
      <c r="J256" t="s">
        <v>5171</v>
      </c>
      <c r="K256" t="s">
        <v>74</v>
      </c>
      <c r="L256" t="s">
        <v>74</v>
      </c>
      <c r="M256" t="s">
        <v>78</v>
      </c>
      <c r="N256" t="s">
        <v>1297</v>
      </c>
      <c r="O256" t="s">
        <v>74</v>
      </c>
      <c r="P256" t="s">
        <v>74</v>
      </c>
      <c r="Q256" t="s">
        <v>74</v>
      </c>
      <c r="R256" t="s">
        <v>74</v>
      </c>
      <c r="S256" t="s">
        <v>74</v>
      </c>
      <c r="T256" t="s">
        <v>74</v>
      </c>
      <c r="U256" t="s">
        <v>74</v>
      </c>
      <c r="V256" t="s">
        <v>74</v>
      </c>
      <c r="W256" t="s">
        <v>5172</v>
      </c>
      <c r="X256" t="s">
        <v>5173</v>
      </c>
      <c r="Y256" t="s">
        <v>5174</v>
      </c>
      <c r="Z256" t="s">
        <v>5175</v>
      </c>
      <c r="AA256" t="s">
        <v>5176</v>
      </c>
      <c r="AB256" t="s">
        <v>5177</v>
      </c>
      <c r="AC256" t="s">
        <v>1708</v>
      </c>
      <c r="AD256" t="s">
        <v>1708</v>
      </c>
      <c r="AE256" t="s">
        <v>1708</v>
      </c>
      <c r="AF256" t="s">
        <v>74</v>
      </c>
      <c r="AG256">
        <v>9</v>
      </c>
      <c r="AH256">
        <v>0</v>
      </c>
      <c r="AI256">
        <v>0</v>
      </c>
      <c r="AJ256">
        <v>0</v>
      </c>
      <c r="AK256">
        <v>0</v>
      </c>
      <c r="AL256" t="s">
        <v>87</v>
      </c>
      <c r="AM256" t="s">
        <v>88</v>
      </c>
      <c r="AN256" t="s">
        <v>89</v>
      </c>
      <c r="AO256" t="s">
        <v>5178</v>
      </c>
      <c r="AP256" t="s">
        <v>5179</v>
      </c>
      <c r="AQ256" t="s">
        <v>74</v>
      </c>
      <c r="AR256" t="s">
        <v>5171</v>
      </c>
      <c r="AS256" t="s">
        <v>5180</v>
      </c>
      <c r="AT256" t="s">
        <v>5164</v>
      </c>
      <c r="AU256">
        <v>2023</v>
      </c>
      <c r="AV256" t="s">
        <v>74</v>
      </c>
      <c r="AW256" t="s">
        <v>74</v>
      </c>
      <c r="AX256" t="s">
        <v>74</v>
      </c>
      <c r="AY256" t="s">
        <v>74</v>
      </c>
      <c r="AZ256" t="s">
        <v>74</v>
      </c>
      <c r="BA256" t="s">
        <v>74</v>
      </c>
      <c r="BB256" t="s">
        <v>74</v>
      </c>
      <c r="BC256" t="s">
        <v>74</v>
      </c>
      <c r="BD256" t="s">
        <v>74</v>
      </c>
      <c r="BE256" t="s">
        <v>5181</v>
      </c>
      <c r="BF256" t="str">
        <f>HYPERLINK("http://dx.doi.org/10.1111/all.15887","http://dx.doi.org/10.1111/all.15887")</f>
        <v>http://dx.doi.org/10.1111/all.15887</v>
      </c>
      <c r="BG256" t="s">
        <v>74</v>
      </c>
      <c r="BH256" t="s">
        <v>407</v>
      </c>
      <c r="BI256">
        <v>3</v>
      </c>
      <c r="BJ256" t="s">
        <v>5182</v>
      </c>
      <c r="BK256" t="s">
        <v>119</v>
      </c>
      <c r="BL256" t="s">
        <v>5182</v>
      </c>
      <c r="BM256" t="s">
        <v>5183</v>
      </c>
      <c r="BN256">
        <v>37680074</v>
      </c>
      <c r="BO256" t="s">
        <v>301</v>
      </c>
      <c r="BP256" t="s">
        <v>74</v>
      </c>
      <c r="BQ256" t="s">
        <v>74</v>
      </c>
      <c r="BR256" t="s">
        <v>99</v>
      </c>
      <c r="BS256" t="s">
        <v>5184</v>
      </c>
      <c r="BT256" t="str">
        <f>HYPERLINK("https%3A%2F%2Fwww.webofscience.com%2Fwos%2Fwoscc%2Ffull-record%2FWOS:001063899500001","View Full Record in Web of Science")</f>
        <v>View Full Record in Web of Science</v>
      </c>
    </row>
    <row r="257" spans="1:72" x14ac:dyDescent="0.15">
      <c r="A257" t="s">
        <v>72</v>
      </c>
      <c r="B257" t="s">
        <v>5185</v>
      </c>
      <c r="C257" t="s">
        <v>74</v>
      </c>
      <c r="D257" t="s">
        <v>74</v>
      </c>
      <c r="E257" t="s">
        <v>74</v>
      </c>
      <c r="F257" t="s">
        <v>5186</v>
      </c>
      <c r="G257" t="s">
        <v>74</v>
      </c>
      <c r="H257" t="s">
        <v>74</v>
      </c>
      <c r="I257" t="s">
        <v>5187</v>
      </c>
      <c r="J257" t="s">
        <v>3936</v>
      </c>
      <c r="K257" t="s">
        <v>74</v>
      </c>
      <c r="L257" t="s">
        <v>74</v>
      </c>
      <c r="M257" t="s">
        <v>78</v>
      </c>
      <c r="N257" t="s">
        <v>338</v>
      </c>
      <c r="O257" t="s">
        <v>74</v>
      </c>
      <c r="P257" t="s">
        <v>74</v>
      </c>
      <c r="Q257" t="s">
        <v>74</v>
      </c>
      <c r="R257" t="s">
        <v>74</v>
      </c>
      <c r="S257" t="s">
        <v>74</v>
      </c>
      <c r="T257" t="s">
        <v>5188</v>
      </c>
      <c r="U257" t="s">
        <v>5189</v>
      </c>
      <c r="V257" t="s">
        <v>5190</v>
      </c>
      <c r="W257" t="s">
        <v>5191</v>
      </c>
      <c r="X257" t="s">
        <v>5192</v>
      </c>
      <c r="Y257" t="s">
        <v>5193</v>
      </c>
      <c r="Z257" t="s">
        <v>5194</v>
      </c>
      <c r="AA257" t="s">
        <v>74</v>
      </c>
      <c r="AB257" t="s">
        <v>74</v>
      </c>
      <c r="AC257" t="s">
        <v>5195</v>
      </c>
      <c r="AD257" t="s">
        <v>5195</v>
      </c>
      <c r="AE257" t="s">
        <v>5195</v>
      </c>
      <c r="AF257" t="s">
        <v>74</v>
      </c>
      <c r="AG257">
        <v>34</v>
      </c>
      <c r="AH257">
        <v>0</v>
      </c>
      <c r="AI257">
        <v>0</v>
      </c>
      <c r="AJ257">
        <v>1</v>
      </c>
      <c r="AK257">
        <v>1</v>
      </c>
      <c r="AL257" t="s">
        <v>87</v>
      </c>
      <c r="AM257" t="s">
        <v>88</v>
      </c>
      <c r="AN257" t="s">
        <v>89</v>
      </c>
      <c r="AO257" t="s">
        <v>3947</v>
      </c>
      <c r="AP257" t="s">
        <v>3948</v>
      </c>
      <c r="AQ257" t="s">
        <v>74</v>
      </c>
      <c r="AR257" t="s">
        <v>3949</v>
      </c>
      <c r="AS257" t="s">
        <v>3950</v>
      </c>
      <c r="AT257" t="s">
        <v>5164</v>
      </c>
      <c r="AU257">
        <v>2023</v>
      </c>
      <c r="AV257" t="s">
        <v>74</v>
      </c>
      <c r="AW257" t="s">
        <v>74</v>
      </c>
      <c r="AX257" t="s">
        <v>74</v>
      </c>
      <c r="AY257" t="s">
        <v>74</v>
      </c>
      <c r="AZ257" t="s">
        <v>74</v>
      </c>
      <c r="BA257" t="s">
        <v>74</v>
      </c>
      <c r="BB257" t="s">
        <v>74</v>
      </c>
      <c r="BC257" t="s">
        <v>74</v>
      </c>
      <c r="BD257" t="s">
        <v>74</v>
      </c>
      <c r="BE257" t="s">
        <v>5196</v>
      </c>
      <c r="BF257" t="str">
        <f>HYPERLINK("http://dx.doi.org/10.1002/pc.27721","http://dx.doi.org/10.1002/pc.27721")</f>
        <v>http://dx.doi.org/10.1002/pc.27721</v>
      </c>
      <c r="BG257" t="s">
        <v>74</v>
      </c>
      <c r="BH257" t="s">
        <v>407</v>
      </c>
      <c r="BI257">
        <v>12</v>
      </c>
      <c r="BJ257" t="s">
        <v>3952</v>
      </c>
      <c r="BK257" t="s">
        <v>119</v>
      </c>
      <c r="BL257" t="s">
        <v>3953</v>
      </c>
      <c r="BM257" t="s">
        <v>5197</v>
      </c>
      <c r="BN257" t="s">
        <v>74</v>
      </c>
      <c r="BO257" t="s">
        <v>301</v>
      </c>
      <c r="BP257" t="s">
        <v>74</v>
      </c>
      <c r="BQ257" t="s">
        <v>74</v>
      </c>
      <c r="BR257" t="s">
        <v>99</v>
      </c>
      <c r="BS257" t="s">
        <v>5198</v>
      </c>
      <c r="BT257" t="str">
        <f>HYPERLINK("https%3A%2F%2Fwww.webofscience.com%2Fwos%2Fwoscc%2Ffull-record%2FWOS:001063013400001","View Full Record in Web of Science")</f>
        <v>View Full Record in Web of Science</v>
      </c>
    </row>
    <row r="258" spans="1:72" x14ac:dyDescent="0.15">
      <c r="A258" t="s">
        <v>72</v>
      </c>
      <c r="B258" t="s">
        <v>5199</v>
      </c>
      <c r="C258" t="s">
        <v>74</v>
      </c>
      <c r="D258" t="s">
        <v>74</v>
      </c>
      <c r="E258" t="s">
        <v>74</v>
      </c>
      <c r="F258" t="s">
        <v>5200</v>
      </c>
      <c r="G258" t="s">
        <v>74</v>
      </c>
      <c r="H258" t="s">
        <v>74</v>
      </c>
      <c r="I258" t="s">
        <v>5201</v>
      </c>
      <c r="J258" t="s">
        <v>439</v>
      </c>
      <c r="K258" t="s">
        <v>74</v>
      </c>
      <c r="L258" t="s">
        <v>74</v>
      </c>
      <c r="M258" t="s">
        <v>78</v>
      </c>
      <c r="N258" t="s">
        <v>338</v>
      </c>
      <c r="O258" t="s">
        <v>74</v>
      </c>
      <c r="P258" t="s">
        <v>74</v>
      </c>
      <c r="Q258" t="s">
        <v>74</v>
      </c>
      <c r="R258" t="s">
        <v>74</v>
      </c>
      <c r="S258" t="s">
        <v>74</v>
      </c>
      <c r="T258" t="s">
        <v>5202</v>
      </c>
      <c r="U258" t="s">
        <v>5203</v>
      </c>
      <c r="V258" t="s">
        <v>5204</v>
      </c>
      <c r="W258" t="s">
        <v>5205</v>
      </c>
      <c r="X258" t="s">
        <v>5206</v>
      </c>
      <c r="Y258" t="s">
        <v>5207</v>
      </c>
      <c r="Z258" t="s">
        <v>5208</v>
      </c>
      <c r="AA258" t="s">
        <v>74</v>
      </c>
      <c r="AB258" t="s">
        <v>74</v>
      </c>
      <c r="AC258" t="s">
        <v>5209</v>
      </c>
      <c r="AD258" t="s">
        <v>5210</v>
      </c>
      <c r="AE258" t="s">
        <v>5211</v>
      </c>
      <c r="AF258" t="s">
        <v>74</v>
      </c>
      <c r="AG258">
        <v>32</v>
      </c>
      <c r="AH258">
        <v>0</v>
      </c>
      <c r="AI258">
        <v>0</v>
      </c>
      <c r="AJ258">
        <v>0</v>
      </c>
      <c r="AK258">
        <v>0</v>
      </c>
      <c r="AL258" t="s">
        <v>87</v>
      </c>
      <c r="AM258" t="s">
        <v>88</v>
      </c>
      <c r="AN258" t="s">
        <v>89</v>
      </c>
      <c r="AO258" t="s">
        <v>447</v>
      </c>
      <c r="AP258" t="s">
        <v>448</v>
      </c>
      <c r="AQ258" t="s">
        <v>74</v>
      </c>
      <c r="AR258" t="s">
        <v>449</v>
      </c>
      <c r="AS258" t="s">
        <v>450</v>
      </c>
      <c r="AT258" t="s">
        <v>5164</v>
      </c>
      <c r="AU258">
        <v>2023</v>
      </c>
      <c r="AV258" t="s">
        <v>74</v>
      </c>
      <c r="AW258" t="s">
        <v>74</v>
      </c>
      <c r="AX258" t="s">
        <v>74</v>
      </c>
      <c r="AY258" t="s">
        <v>74</v>
      </c>
      <c r="AZ258" t="s">
        <v>74</v>
      </c>
      <c r="BA258" t="s">
        <v>74</v>
      </c>
      <c r="BB258" t="s">
        <v>74</v>
      </c>
      <c r="BC258" t="s">
        <v>74</v>
      </c>
      <c r="BD258" t="s">
        <v>74</v>
      </c>
      <c r="BE258" t="s">
        <v>5212</v>
      </c>
      <c r="BF258" t="str">
        <f>HYPERLINK("http://dx.doi.org/10.1111/apa.16957","http://dx.doi.org/10.1111/apa.16957")</f>
        <v>http://dx.doi.org/10.1111/apa.16957</v>
      </c>
      <c r="BG258" t="s">
        <v>74</v>
      </c>
      <c r="BH258" t="s">
        <v>407</v>
      </c>
      <c r="BI258">
        <v>9</v>
      </c>
      <c r="BJ258" t="s">
        <v>453</v>
      </c>
      <c r="BK258" t="s">
        <v>119</v>
      </c>
      <c r="BL258" t="s">
        <v>453</v>
      </c>
      <c r="BM258" t="s">
        <v>5213</v>
      </c>
      <c r="BN258">
        <v>37675588</v>
      </c>
      <c r="BO258" t="s">
        <v>122</v>
      </c>
      <c r="BP258" t="s">
        <v>74</v>
      </c>
      <c r="BQ258" t="s">
        <v>74</v>
      </c>
      <c r="BR258" t="s">
        <v>99</v>
      </c>
      <c r="BS258" t="s">
        <v>5214</v>
      </c>
      <c r="BT258" t="str">
        <f>HYPERLINK("https%3A%2F%2Fwww.webofscience.com%2Fwos%2Fwoscc%2Ffull-record%2FWOS:001062846900001","View Full Record in Web of Science")</f>
        <v>View Full Record in Web of Science</v>
      </c>
    </row>
    <row r="259" spans="1:72" x14ac:dyDescent="0.15">
      <c r="A259" t="s">
        <v>72</v>
      </c>
      <c r="B259" t="s">
        <v>5215</v>
      </c>
      <c r="C259" t="s">
        <v>74</v>
      </c>
      <c r="D259" t="s">
        <v>74</v>
      </c>
      <c r="E259" t="s">
        <v>74</v>
      </c>
      <c r="F259" t="s">
        <v>5216</v>
      </c>
      <c r="G259" t="s">
        <v>74</v>
      </c>
      <c r="H259" t="s">
        <v>74</v>
      </c>
      <c r="I259" t="s">
        <v>5217</v>
      </c>
      <c r="J259" t="s">
        <v>5218</v>
      </c>
      <c r="K259" t="s">
        <v>74</v>
      </c>
      <c r="L259" t="s">
        <v>74</v>
      </c>
      <c r="M259" t="s">
        <v>78</v>
      </c>
      <c r="N259" t="s">
        <v>594</v>
      </c>
      <c r="O259" t="s">
        <v>74</v>
      </c>
      <c r="P259" t="s">
        <v>74</v>
      </c>
      <c r="Q259" t="s">
        <v>74</v>
      </c>
      <c r="R259" t="s">
        <v>74</v>
      </c>
      <c r="S259" t="s">
        <v>74</v>
      </c>
      <c r="T259" t="s">
        <v>5219</v>
      </c>
      <c r="U259" t="s">
        <v>5220</v>
      </c>
      <c r="V259" t="s">
        <v>5221</v>
      </c>
      <c r="W259" t="s">
        <v>5222</v>
      </c>
      <c r="X259" t="s">
        <v>5223</v>
      </c>
      <c r="Y259" t="s">
        <v>5224</v>
      </c>
      <c r="Z259" t="s">
        <v>5225</v>
      </c>
      <c r="AA259" t="s">
        <v>74</v>
      </c>
      <c r="AB259" t="s">
        <v>74</v>
      </c>
      <c r="AC259" t="s">
        <v>5226</v>
      </c>
      <c r="AD259" t="s">
        <v>5227</v>
      </c>
      <c r="AE259" t="s">
        <v>5228</v>
      </c>
      <c r="AF259" t="s">
        <v>74</v>
      </c>
      <c r="AG259">
        <v>222</v>
      </c>
      <c r="AH259">
        <v>0</v>
      </c>
      <c r="AI259">
        <v>0</v>
      </c>
      <c r="AJ259">
        <v>0</v>
      </c>
      <c r="AK259">
        <v>0</v>
      </c>
      <c r="AL259" t="s">
        <v>87</v>
      </c>
      <c r="AM259" t="s">
        <v>88</v>
      </c>
      <c r="AN259" t="s">
        <v>89</v>
      </c>
      <c r="AO259" t="s">
        <v>5229</v>
      </c>
      <c r="AP259" t="s">
        <v>5230</v>
      </c>
      <c r="AQ259" t="s">
        <v>74</v>
      </c>
      <c r="AR259" t="s">
        <v>5231</v>
      </c>
      <c r="AS259" t="s">
        <v>5232</v>
      </c>
      <c r="AT259" t="s">
        <v>5164</v>
      </c>
      <c r="AU259">
        <v>2023</v>
      </c>
      <c r="AV259" t="s">
        <v>74</v>
      </c>
      <c r="AW259" t="s">
        <v>74</v>
      </c>
      <c r="AX259" t="s">
        <v>74</v>
      </c>
      <c r="AY259" t="s">
        <v>74</v>
      </c>
      <c r="AZ259" t="s">
        <v>74</v>
      </c>
      <c r="BA259" t="s">
        <v>74</v>
      </c>
      <c r="BB259" t="s">
        <v>74</v>
      </c>
      <c r="BC259" t="s">
        <v>74</v>
      </c>
      <c r="BD259" t="s">
        <v>74</v>
      </c>
      <c r="BE259" t="s">
        <v>5233</v>
      </c>
      <c r="BF259" t="str">
        <f>HYPERLINK("http://dx.doi.org/10.1111/imr.13271","http://dx.doi.org/10.1111/imr.13271")</f>
        <v>http://dx.doi.org/10.1111/imr.13271</v>
      </c>
      <c r="BG259" t="s">
        <v>74</v>
      </c>
      <c r="BH259" t="s">
        <v>407</v>
      </c>
      <c r="BI259">
        <v>13</v>
      </c>
      <c r="BJ259" t="s">
        <v>5234</v>
      </c>
      <c r="BK259" t="s">
        <v>119</v>
      </c>
      <c r="BL259" t="s">
        <v>5234</v>
      </c>
      <c r="BM259" t="s">
        <v>5235</v>
      </c>
      <c r="BN259">
        <v>37679959</v>
      </c>
      <c r="BO259" t="s">
        <v>74</v>
      </c>
      <c r="BP259" t="s">
        <v>74</v>
      </c>
      <c r="BQ259" t="s">
        <v>74</v>
      </c>
      <c r="BR259" t="s">
        <v>99</v>
      </c>
      <c r="BS259" t="s">
        <v>5236</v>
      </c>
      <c r="BT259" t="str">
        <f>HYPERLINK("https%3A%2F%2Fwww.webofscience.com%2Fwos%2Fwoscc%2Ffull-record%2FWOS:001060107800001","View Full Record in Web of Science")</f>
        <v>View Full Record in Web of Science</v>
      </c>
    </row>
    <row r="260" spans="1:72" x14ac:dyDescent="0.15">
      <c r="A260" t="s">
        <v>72</v>
      </c>
      <c r="B260" t="s">
        <v>5237</v>
      </c>
      <c r="C260" t="s">
        <v>74</v>
      </c>
      <c r="D260" t="s">
        <v>74</v>
      </c>
      <c r="E260" t="s">
        <v>74</v>
      </c>
      <c r="F260" t="s">
        <v>5238</v>
      </c>
      <c r="G260" t="s">
        <v>74</v>
      </c>
      <c r="H260" t="s">
        <v>74</v>
      </c>
      <c r="I260" t="s">
        <v>5239</v>
      </c>
      <c r="J260" t="s">
        <v>3936</v>
      </c>
      <c r="K260" t="s">
        <v>74</v>
      </c>
      <c r="L260" t="s">
        <v>74</v>
      </c>
      <c r="M260" t="s">
        <v>78</v>
      </c>
      <c r="N260" t="s">
        <v>594</v>
      </c>
      <c r="O260" t="s">
        <v>74</v>
      </c>
      <c r="P260" t="s">
        <v>74</v>
      </c>
      <c r="Q260" t="s">
        <v>74</v>
      </c>
      <c r="R260" t="s">
        <v>74</v>
      </c>
      <c r="S260" t="s">
        <v>74</v>
      </c>
      <c r="T260" t="s">
        <v>5240</v>
      </c>
      <c r="U260" t="s">
        <v>5241</v>
      </c>
      <c r="V260" t="s">
        <v>5242</v>
      </c>
      <c r="W260" t="s">
        <v>5243</v>
      </c>
      <c r="X260" t="s">
        <v>5244</v>
      </c>
      <c r="Y260" t="s">
        <v>5245</v>
      </c>
      <c r="Z260" t="s">
        <v>5246</v>
      </c>
      <c r="AA260" t="s">
        <v>74</v>
      </c>
      <c r="AB260" t="s">
        <v>74</v>
      </c>
      <c r="AC260" t="s">
        <v>74</v>
      </c>
      <c r="AD260" t="s">
        <v>74</v>
      </c>
      <c r="AE260" t="s">
        <v>74</v>
      </c>
      <c r="AF260" t="s">
        <v>74</v>
      </c>
      <c r="AG260">
        <v>183</v>
      </c>
      <c r="AH260">
        <v>0</v>
      </c>
      <c r="AI260">
        <v>0</v>
      </c>
      <c r="AJ260">
        <v>7</v>
      </c>
      <c r="AK260">
        <v>7</v>
      </c>
      <c r="AL260" t="s">
        <v>87</v>
      </c>
      <c r="AM260" t="s">
        <v>88</v>
      </c>
      <c r="AN260" t="s">
        <v>89</v>
      </c>
      <c r="AO260" t="s">
        <v>3947</v>
      </c>
      <c r="AP260" t="s">
        <v>3948</v>
      </c>
      <c r="AQ260" t="s">
        <v>74</v>
      </c>
      <c r="AR260" t="s">
        <v>3949</v>
      </c>
      <c r="AS260" t="s">
        <v>3950</v>
      </c>
      <c r="AT260" t="s">
        <v>5164</v>
      </c>
      <c r="AU260">
        <v>2023</v>
      </c>
      <c r="AV260" t="s">
        <v>74</v>
      </c>
      <c r="AW260" t="s">
        <v>74</v>
      </c>
      <c r="AX260" t="s">
        <v>74</v>
      </c>
      <c r="AY260" t="s">
        <v>74</v>
      </c>
      <c r="AZ260" t="s">
        <v>74</v>
      </c>
      <c r="BA260" t="s">
        <v>74</v>
      </c>
      <c r="BB260" t="s">
        <v>74</v>
      </c>
      <c r="BC260" t="s">
        <v>74</v>
      </c>
      <c r="BD260" t="s">
        <v>74</v>
      </c>
      <c r="BE260" t="s">
        <v>5247</v>
      </c>
      <c r="BF260" t="str">
        <f>HYPERLINK("http://dx.doi.org/10.1002/pc.27706","http://dx.doi.org/10.1002/pc.27706")</f>
        <v>http://dx.doi.org/10.1002/pc.27706</v>
      </c>
      <c r="BG260" t="s">
        <v>74</v>
      </c>
      <c r="BH260" t="s">
        <v>407</v>
      </c>
      <c r="BI260">
        <v>37</v>
      </c>
      <c r="BJ260" t="s">
        <v>3952</v>
      </c>
      <c r="BK260" t="s">
        <v>119</v>
      </c>
      <c r="BL260" t="s">
        <v>3953</v>
      </c>
      <c r="BM260" t="s">
        <v>5248</v>
      </c>
      <c r="BN260" t="s">
        <v>74</v>
      </c>
      <c r="BO260" t="s">
        <v>74</v>
      </c>
      <c r="BP260" t="s">
        <v>74</v>
      </c>
      <c r="BQ260" t="s">
        <v>74</v>
      </c>
      <c r="BR260" t="s">
        <v>99</v>
      </c>
      <c r="BS260" t="s">
        <v>5249</v>
      </c>
      <c r="BT260" t="str">
        <f>HYPERLINK("https%3A%2F%2Fwww.webofscience.com%2Fwos%2Fwoscc%2Ffull-record%2FWOS:001059947000001","View Full Record in Web of Science")</f>
        <v>View Full Record in Web of Science</v>
      </c>
    </row>
    <row r="261" spans="1:72" x14ac:dyDescent="0.15">
      <c r="A261" t="s">
        <v>72</v>
      </c>
      <c r="B261" t="s">
        <v>5250</v>
      </c>
      <c r="C261" t="s">
        <v>74</v>
      </c>
      <c r="D261" t="s">
        <v>74</v>
      </c>
      <c r="E261" t="s">
        <v>74</v>
      </c>
      <c r="F261" t="s">
        <v>5251</v>
      </c>
      <c r="G261" t="s">
        <v>74</v>
      </c>
      <c r="H261" t="s">
        <v>74</v>
      </c>
      <c r="I261" t="s">
        <v>5252</v>
      </c>
      <c r="J261" t="s">
        <v>5253</v>
      </c>
      <c r="K261" t="s">
        <v>74</v>
      </c>
      <c r="L261" t="s">
        <v>74</v>
      </c>
      <c r="M261" t="s">
        <v>78</v>
      </c>
      <c r="N261" t="s">
        <v>338</v>
      </c>
      <c r="O261" t="s">
        <v>74</v>
      </c>
      <c r="P261" t="s">
        <v>74</v>
      </c>
      <c r="Q261" t="s">
        <v>74</v>
      </c>
      <c r="R261" t="s">
        <v>74</v>
      </c>
      <c r="S261" t="s">
        <v>74</v>
      </c>
      <c r="T261" t="s">
        <v>5254</v>
      </c>
      <c r="U261" t="s">
        <v>5255</v>
      </c>
      <c r="V261" t="s">
        <v>5256</v>
      </c>
      <c r="W261" t="s">
        <v>5257</v>
      </c>
      <c r="X261" t="s">
        <v>5258</v>
      </c>
      <c r="Y261" t="s">
        <v>5259</v>
      </c>
      <c r="Z261" t="s">
        <v>5260</v>
      </c>
      <c r="AA261" t="s">
        <v>5261</v>
      </c>
      <c r="AB261" t="s">
        <v>5262</v>
      </c>
      <c r="AC261" t="s">
        <v>5263</v>
      </c>
      <c r="AD261" t="s">
        <v>5264</v>
      </c>
      <c r="AE261" t="s">
        <v>5265</v>
      </c>
      <c r="AF261" t="s">
        <v>74</v>
      </c>
      <c r="AG261">
        <v>35</v>
      </c>
      <c r="AH261">
        <v>0</v>
      </c>
      <c r="AI261">
        <v>0</v>
      </c>
      <c r="AJ261">
        <v>0</v>
      </c>
      <c r="AK261">
        <v>0</v>
      </c>
      <c r="AL261" t="s">
        <v>87</v>
      </c>
      <c r="AM261" t="s">
        <v>88</v>
      </c>
      <c r="AN261" t="s">
        <v>89</v>
      </c>
      <c r="AO261" t="s">
        <v>5266</v>
      </c>
      <c r="AP261" t="s">
        <v>5267</v>
      </c>
      <c r="AQ261" t="s">
        <v>74</v>
      </c>
      <c r="AR261" t="s">
        <v>5268</v>
      </c>
      <c r="AS261" t="s">
        <v>5269</v>
      </c>
      <c r="AT261" t="s">
        <v>5164</v>
      </c>
      <c r="AU261">
        <v>2023</v>
      </c>
      <c r="AV261" t="s">
        <v>74</v>
      </c>
      <c r="AW261" t="s">
        <v>74</v>
      </c>
      <c r="AX261" t="s">
        <v>74</v>
      </c>
      <c r="AY261" t="s">
        <v>74</v>
      </c>
      <c r="AZ261" t="s">
        <v>74</v>
      </c>
      <c r="BA261" t="s">
        <v>74</v>
      </c>
      <c r="BB261" t="s">
        <v>74</v>
      </c>
      <c r="BC261" t="s">
        <v>74</v>
      </c>
      <c r="BD261" t="s">
        <v>74</v>
      </c>
      <c r="BE261" t="s">
        <v>5270</v>
      </c>
      <c r="BF261" t="str">
        <f>HYPERLINK("http://dx.doi.org/10.1002/mrm.29812","http://dx.doi.org/10.1002/mrm.29812")</f>
        <v>http://dx.doi.org/10.1002/mrm.29812</v>
      </c>
      <c r="BG261" t="s">
        <v>74</v>
      </c>
      <c r="BH261" t="s">
        <v>407</v>
      </c>
      <c r="BI261">
        <v>14</v>
      </c>
      <c r="BJ261" t="s">
        <v>1290</v>
      </c>
      <c r="BK261" t="s">
        <v>119</v>
      </c>
      <c r="BL261" t="s">
        <v>1290</v>
      </c>
      <c r="BM261" t="s">
        <v>5271</v>
      </c>
      <c r="BN261">
        <v>37677043</v>
      </c>
      <c r="BO261" t="s">
        <v>122</v>
      </c>
      <c r="BP261" t="s">
        <v>74</v>
      </c>
      <c r="BQ261" t="s">
        <v>74</v>
      </c>
      <c r="BR261" t="s">
        <v>99</v>
      </c>
      <c r="BS261" t="s">
        <v>5272</v>
      </c>
      <c r="BT261" t="str">
        <f>HYPERLINK("https%3A%2F%2Fwww.webofscience.com%2Fwos%2Fwoscc%2Ffull-record%2FWOS:001063248700001","View Full Record in Web of Science")</f>
        <v>View Full Record in Web of Science</v>
      </c>
    </row>
    <row r="262" spans="1:72" x14ac:dyDescent="0.15">
      <c r="A262" t="s">
        <v>72</v>
      </c>
      <c r="B262" t="s">
        <v>5273</v>
      </c>
      <c r="C262" t="s">
        <v>74</v>
      </c>
      <c r="D262" t="s">
        <v>74</v>
      </c>
      <c r="E262" t="s">
        <v>74</v>
      </c>
      <c r="F262" t="s">
        <v>5274</v>
      </c>
      <c r="G262" t="s">
        <v>74</v>
      </c>
      <c r="H262" t="s">
        <v>74</v>
      </c>
      <c r="I262" t="s">
        <v>5275</v>
      </c>
      <c r="J262" t="s">
        <v>5276</v>
      </c>
      <c r="K262" t="s">
        <v>74</v>
      </c>
      <c r="L262" t="s">
        <v>74</v>
      </c>
      <c r="M262" t="s">
        <v>78</v>
      </c>
      <c r="N262" t="s">
        <v>338</v>
      </c>
      <c r="O262" t="s">
        <v>74</v>
      </c>
      <c r="P262" t="s">
        <v>74</v>
      </c>
      <c r="Q262" t="s">
        <v>74</v>
      </c>
      <c r="R262" t="s">
        <v>74</v>
      </c>
      <c r="S262" t="s">
        <v>74</v>
      </c>
      <c r="T262" t="s">
        <v>5277</v>
      </c>
      <c r="U262" t="s">
        <v>5278</v>
      </c>
      <c r="V262" t="s">
        <v>5279</v>
      </c>
      <c r="W262" t="s">
        <v>5280</v>
      </c>
      <c r="X262" t="s">
        <v>5281</v>
      </c>
      <c r="Y262" t="s">
        <v>5282</v>
      </c>
      <c r="Z262" t="s">
        <v>5283</v>
      </c>
      <c r="AA262" t="s">
        <v>5284</v>
      </c>
      <c r="AB262" t="s">
        <v>5285</v>
      </c>
      <c r="AC262" t="s">
        <v>74</v>
      </c>
      <c r="AD262" t="s">
        <v>74</v>
      </c>
      <c r="AE262" t="s">
        <v>74</v>
      </c>
      <c r="AF262" t="s">
        <v>74</v>
      </c>
      <c r="AG262">
        <v>70</v>
      </c>
      <c r="AH262">
        <v>0</v>
      </c>
      <c r="AI262">
        <v>0</v>
      </c>
      <c r="AJ262">
        <v>0</v>
      </c>
      <c r="AK262">
        <v>0</v>
      </c>
      <c r="AL262" t="s">
        <v>87</v>
      </c>
      <c r="AM262" t="s">
        <v>88</v>
      </c>
      <c r="AN262" t="s">
        <v>89</v>
      </c>
      <c r="AO262" t="s">
        <v>5286</v>
      </c>
      <c r="AP262" t="s">
        <v>5287</v>
      </c>
      <c r="AQ262" t="s">
        <v>74</v>
      </c>
      <c r="AR262" t="s">
        <v>5288</v>
      </c>
      <c r="AS262" t="s">
        <v>5289</v>
      </c>
      <c r="AT262" t="s">
        <v>5164</v>
      </c>
      <c r="AU262">
        <v>2023</v>
      </c>
      <c r="AV262" t="s">
        <v>74</v>
      </c>
      <c r="AW262" t="s">
        <v>74</v>
      </c>
      <c r="AX262" t="s">
        <v>74</v>
      </c>
      <c r="AY262" t="s">
        <v>74</v>
      </c>
      <c r="AZ262" t="s">
        <v>74</v>
      </c>
      <c r="BA262" t="s">
        <v>74</v>
      </c>
      <c r="BB262" t="s">
        <v>74</v>
      </c>
      <c r="BC262" t="s">
        <v>74</v>
      </c>
      <c r="BD262" t="s">
        <v>74</v>
      </c>
      <c r="BE262" t="s">
        <v>5290</v>
      </c>
      <c r="BF262" t="str">
        <f>HYPERLINK("http://dx.doi.org/10.1111/1750-3841.16736","http://dx.doi.org/10.1111/1750-3841.16736")</f>
        <v>http://dx.doi.org/10.1111/1750-3841.16736</v>
      </c>
      <c r="BG262" t="s">
        <v>74</v>
      </c>
      <c r="BH262" t="s">
        <v>407</v>
      </c>
      <c r="BI262">
        <v>14</v>
      </c>
      <c r="BJ262" t="s">
        <v>433</v>
      </c>
      <c r="BK262" t="s">
        <v>119</v>
      </c>
      <c r="BL262" t="s">
        <v>433</v>
      </c>
      <c r="BM262" t="s">
        <v>5291</v>
      </c>
      <c r="BN262">
        <v>37676084</v>
      </c>
      <c r="BO262" t="s">
        <v>74</v>
      </c>
      <c r="BP262" t="s">
        <v>74</v>
      </c>
      <c r="BQ262" t="s">
        <v>74</v>
      </c>
      <c r="BR262" t="s">
        <v>99</v>
      </c>
      <c r="BS262" t="s">
        <v>5292</v>
      </c>
      <c r="BT262" t="str">
        <f>HYPERLINK("https%3A%2F%2Fwww.webofscience.com%2Fwos%2Fwoscc%2Ffull-record%2FWOS:001063350100001","View Full Record in Web of Science")</f>
        <v>View Full Record in Web of Science</v>
      </c>
    </row>
    <row r="263" spans="1:72" x14ac:dyDescent="0.15">
      <c r="A263" t="s">
        <v>72</v>
      </c>
      <c r="B263" t="s">
        <v>5293</v>
      </c>
      <c r="C263" t="s">
        <v>74</v>
      </c>
      <c r="D263" t="s">
        <v>74</v>
      </c>
      <c r="E263" t="s">
        <v>74</v>
      </c>
      <c r="F263" t="s">
        <v>5294</v>
      </c>
      <c r="G263" t="s">
        <v>74</v>
      </c>
      <c r="H263" t="s">
        <v>74</v>
      </c>
      <c r="I263" t="s">
        <v>5295</v>
      </c>
      <c r="J263" t="s">
        <v>3794</v>
      </c>
      <c r="K263" t="s">
        <v>74</v>
      </c>
      <c r="L263" t="s">
        <v>74</v>
      </c>
      <c r="M263" t="s">
        <v>78</v>
      </c>
      <c r="N263" t="s">
        <v>338</v>
      </c>
      <c r="O263" t="s">
        <v>74</v>
      </c>
      <c r="P263" t="s">
        <v>74</v>
      </c>
      <c r="Q263" t="s">
        <v>74</v>
      </c>
      <c r="R263" t="s">
        <v>74</v>
      </c>
      <c r="S263" t="s">
        <v>74</v>
      </c>
      <c r="T263" t="s">
        <v>5296</v>
      </c>
      <c r="U263" t="s">
        <v>5297</v>
      </c>
      <c r="V263" t="s">
        <v>5298</v>
      </c>
      <c r="W263" t="s">
        <v>5299</v>
      </c>
      <c r="X263" t="s">
        <v>5300</v>
      </c>
      <c r="Y263" t="s">
        <v>5301</v>
      </c>
      <c r="Z263" t="s">
        <v>5302</v>
      </c>
      <c r="AA263" t="s">
        <v>74</v>
      </c>
      <c r="AB263" t="s">
        <v>74</v>
      </c>
      <c r="AC263" t="s">
        <v>5303</v>
      </c>
      <c r="AD263" t="s">
        <v>5303</v>
      </c>
      <c r="AE263" t="s">
        <v>5304</v>
      </c>
      <c r="AF263" t="s">
        <v>74</v>
      </c>
      <c r="AG263">
        <v>61</v>
      </c>
      <c r="AH263">
        <v>0</v>
      </c>
      <c r="AI263">
        <v>0</v>
      </c>
      <c r="AJ263">
        <v>2</v>
      </c>
      <c r="AK263">
        <v>2</v>
      </c>
      <c r="AL263" t="s">
        <v>87</v>
      </c>
      <c r="AM263" t="s">
        <v>88</v>
      </c>
      <c r="AN263" t="s">
        <v>89</v>
      </c>
      <c r="AO263" t="s">
        <v>3802</v>
      </c>
      <c r="AP263" t="s">
        <v>3803</v>
      </c>
      <c r="AQ263" t="s">
        <v>74</v>
      </c>
      <c r="AR263" t="s">
        <v>3794</v>
      </c>
      <c r="AS263" t="s">
        <v>3804</v>
      </c>
      <c r="AT263" t="s">
        <v>5164</v>
      </c>
      <c r="AU263">
        <v>2023</v>
      </c>
      <c r="AV263" t="s">
        <v>74</v>
      </c>
      <c r="AW263" t="s">
        <v>74</v>
      </c>
      <c r="AX263" t="s">
        <v>74</v>
      </c>
      <c r="AY263" t="s">
        <v>74</v>
      </c>
      <c r="AZ263" t="s">
        <v>74</v>
      </c>
      <c r="BA263" t="s">
        <v>74</v>
      </c>
      <c r="BB263" t="s">
        <v>74</v>
      </c>
      <c r="BC263" t="s">
        <v>74</v>
      </c>
      <c r="BD263" t="s">
        <v>74</v>
      </c>
      <c r="BE263" t="s">
        <v>5305</v>
      </c>
      <c r="BF263" t="str">
        <f>HYPERLINK("http://dx.doi.org/10.1111/btp.13260","http://dx.doi.org/10.1111/btp.13260")</f>
        <v>http://dx.doi.org/10.1111/btp.13260</v>
      </c>
      <c r="BG263" t="s">
        <v>74</v>
      </c>
      <c r="BH263" t="s">
        <v>407</v>
      </c>
      <c r="BI263">
        <v>12</v>
      </c>
      <c r="BJ263" t="s">
        <v>3316</v>
      </c>
      <c r="BK263" t="s">
        <v>119</v>
      </c>
      <c r="BL263" t="s">
        <v>3317</v>
      </c>
      <c r="BM263" t="s">
        <v>5306</v>
      </c>
      <c r="BN263" t="s">
        <v>74</v>
      </c>
      <c r="BO263" t="s">
        <v>74</v>
      </c>
      <c r="BP263" t="s">
        <v>74</v>
      </c>
      <c r="BQ263" t="s">
        <v>74</v>
      </c>
      <c r="BR263" t="s">
        <v>99</v>
      </c>
      <c r="BS263" t="s">
        <v>5307</v>
      </c>
      <c r="BT263" t="str">
        <f>HYPERLINK("https%3A%2F%2Fwww.webofscience.com%2Fwos%2Fwoscc%2Ffull-record%2FWOS:001060098100001","View Full Record in Web of Science")</f>
        <v>View Full Record in Web of Science</v>
      </c>
    </row>
    <row r="264" spans="1:72" x14ac:dyDescent="0.15">
      <c r="A264" t="s">
        <v>72</v>
      </c>
      <c r="B264" t="s">
        <v>5308</v>
      </c>
      <c r="C264" t="s">
        <v>74</v>
      </c>
      <c r="D264" t="s">
        <v>74</v>
      </c>
      <c r="E264" t="s">
        <v>74</v>
      </c>
      <c r="F264" t="s">
        <v>5309</v>
      </c>
      <c r="G264" t="s">
        <v>74</v>
      </c>
      <c r="H264" t="s">
        <v>74</v>
      </c>
      <c r="I264" t="s">
        <v>5310</v>
      </c>
      <c r="J264" t="s">
        <v>4696</v>
      </c>
      <c r="K264" t="s">
        <v>74</v>
      </c>
      <c r="L264" t="s">
        <v>74</v>
      </c>
      <c r="M264" t="s">
        <v>78</v>
      </c>
      <c r="N264" t="s">
        <v>338</v>
      </c>
      <c r="O264" t="s">
        <v>74</v>
      </c>
      <c r="P264" t="s">
        <v>74</v>
      </c>
      <c r="Q264" t="s">
        <v>74</v>
      </c>
      <c r="R264" t="s">
        <v>74</v>
      </c>
      <c r="S264" t="s">
        <v>74</v>
      </c>
      <c r="T264" t="s">
        <v>5311</v>
      </c>
      <c r="U264" t="s">
        <v>5312</v>
      </c>
      <c r="V264" t="s">
        <v>5313</v>
      </c>
      <c r="W264" t="s">
        <v>5314</v>
      </c>
      <c r="X264" t="s">
        <v>5315</v>
      </c>
      <c r="Y264" t="s">
        <v>5316</v>
      </c>
      <c r="Z264" t="s">
        <v>5317</v>
      </c>
      <c r="AA264" t="s">
        <v>5318</v>
      </c>
      <c r="AB264" t="s">
        <v>5319</v>
      </c>
      <c r="AC264" t="s">
        <v>5320</v>
      </c>
      <c r="AD264" t="s">
        <v>5321</v>
      </c>
      <c r="AE264" t="s">
        <v>5322</v>
      </c>
      <c r="AF264" t="s">
        <v>74</v>
      </c>
      <c r="AG264">
        <v>38</v>
      </c>
      <c r="AH264">
        <v>0</v>
      </c>
      <c r="AI264">
        <v>0</v>
      </c>
      <c r="AJ264">
        <v>0</v>
      </c>
      <c r="AK264">
        <v>0</v>
      </c>
      <c r="AL264" t="s">
        <v>87</v>
      </c>
      <c r="AM264" t="s">
        <v>88</v>
      </c>
      <c r="AN264" t="s">
        <v>89</v>
      </c>
      <c r="AO264" t="s">
        <v>4705</v>
      </c>
      <c r="AP264" t="s">
        <v>74</v>
      </c>
      <c r="AQ264" t="s">
        <v>74</v>
      </c>
      <c r="AR264" t="s">
        <v>4706</v>
      </c>
      <c r="AS264" t="s">
        <v>4707</v>
      </c>
      <c r="AT264" t="s">
        <v>5164</v>
      </c>
      <c r="AU264">
        <v>2023</v>
      </c>
      <c r="AV264" t="s">
        <v>74</v>
      </c>
      <c r="AW264" t="s">
        <v>74</v>
      </c>
      <c r="AX264" t="s">
        <v>74</v>
      </c>
      <c r="AY264" t="s">
        <v>74</v>
      </c>
      <c r="AZ264" t="s">
        <v>74</v>
      </c>
      <c r="BA264" t="s">
        <v>74</v>
      </c>
      <c r="BB264" t="s">
        <v>74</v>
      </c>
      <c r="BC264" t="s">
        <v>74</v>
      </c>
      <c r="BD264" t="s">
        <v>74</v>
      </c>
      <c r="BE264" t="s">
        <v>5323</v>
      </c>
      <c r="BF264" t="str">
        <f>HYPERLINK("http://dx.doi.org/10.1002/fsn3.3668","http://dx.doi.org/10.1002/fsn3.3668")</f>
        <v>http://dx.doi.org/10.1002/fsn3.3668</v>
      </c>
      <c r="BG264" t="s">
        <v>74</v>
      </c>
      <c r="BH264" t="s">
        <v>407</v>
      </c>
      <c r="BI264">
        <v>11</v>
      </c>
      <c r="BJ264" t="s">
        <v>433</v>
      </c>
      <c r="BK264" t="s">
        <v>119</v>
      </c>
      <c r="BL264" t="s">
        <v>433</v>
      </c>
      <c r="BM264" t="s">
        <v>5324</v>
      </c>
      <c r="BN264" t="s">
        <v>74</v>
      </c>
      <c r="BO264" t="s">
        <v>74</v>
      </c>
      <c r="BP264" t="s">
        <v>74</v>
      </c>
      <c r="BQ264" t="s">
        <v>74</v>
      </c>
      <c r="BR264" t="s">
        <v>99</v>
      </c>
      <c r="BS264" t="s">
        <v>5325</v>
      </c>
      <c r="BT264" t="str">
        <f>HYPERLINK("https%3A%2F%2Fwww.webofscience.com%2Fwos%2Fwoscc%2Ffull-record%2FWOS:001063899000001","View Full Record in Web of Science")</f>
        <v>View Full Record in Web of Science</v>
      </c>
    </row>
    <row r="265" spans="1:72" x14ac:dyDescent="0.15">
      <c r="A265" t="s">
        <v>72</v>
      </c>
      <c r="B265" t="s">
        <v>5326</v>
      </c>
      <c r="C265" t="s">
        <v>74</v>
      </c>
      <c r="D265" t="s">
        <v>74</v>
      </c>
      <c r="E265" t="s">
        <v>74</v>
      </c>
      <c r="F265" t="s">
        <v>5327</v>
      </c>
      <c r="G265" t="s">
        <v>74</v>
      </c>
      <c r="H265" t="s">
        <v>74</v>
      </c>
      <c r="I265" t="s">
        <v>5328</v>
      </c>
      <c r="J265" t="s">
        <v>5329</v>
      </c>
      <c r="K265" t="s">
        <v>74</v>
      </c>
      <c r="L265" t="s">
        <v>74</v>
      </c>
      <c r="M265" t="s">
        <v>78</v>
      </c>
      <c r="N265" t="s">
        <v>338</v>
      </c>
      <c r="O265" t="s">
        <v>74</v>
      </c>
      <c r="P265" t="s">
        <v>74</v>
      </c>
      <c r="Q265" t="s">
        <v>74</v>
      </c>
      <c r="R265" t="s">
        <v>74</v>
      </c>
      <c r="S265" t="s">
        <v>74</v>
      </c>
      <c r="T265" t="s">
        <v>5330</v>
      </c>
      <c r="U265" t="s">
        <v>5331</v>
      </c>
      <c r="V265" t="s">
        <v>5332</v>
      </c>
      <c r="W265" t="s">
        <v>5333</v>
      </c>
      <c r="X265" t="s">
        <v>5334</v>
      </c>
      <c r="Y265" t="s">
        <v>5335</v>
      </c>
      <c r="Z265" t="s">
        <v>5336</v>
      </c>
      <c r="AA265" t="s">
        <v>74</v>
      </c>
      <c r="AB265" t="s">
        <v>74</v>
      </c>
      <c r="AC265" t="s">
        <v>5337</v>
      </c>
      <c r="AD265" t="s">
        <v>5338</v>
      </c>
      <c r="AE265" t="s">
        <v>5339</v>
      </c>
      <c r="AF265" t="s">
        <v>74</v>
      </c>
      <c r="AG265">
        <v>48</v>
      </c>
      <c r="AH265">
        <v>0</v>
      </c>
      <c r="AI265">
        <v>0</v>
      </c>
      <c r="AJ265">
        <v>1</v>
      </c>
      <c r="AK265">
        <v>1</v>
      </c>
      <c r="AL265" t="s">
        <v>87</v>
      </c>
      <c r="AM265" t="s">
        <v>88</v>
      </c>
      <c r="AN265" t="s">
        <v>89</v>
      </c>
      <c r="AO265" t="s">
        <v>5340</v>
      </c>
      <c r="AP265" t="s">
        <v>74</v>
      </c>
      <c r="AQ265" t="s">
        <v>74</v>
      </c>
      <c r="AR265" t="s">
        <v>5341</v>
      </c>
      <c r="AS265" t="s">
        <v>5342</v>
      </c>
      <c r="AT265" t="s">
        <v>5164</v>
      </c>
      <c r="AU265">
        <v>2023</v>
      </c>
      <c r="AV265" t="s">
        <v>74</v>
      </c>
      <c r="AW265" t="s">
        <v>74</v>
      </c>
      <c r="AX265" t="s">
        <v>74</v>
      </c>
      <c r="AY265" t="s">
        <v>74</v>
      </c>
      <c r="AZ265" t="s">
        <v>74</v>
      </c>
      <c r="BA265" t="s">
        <v>74</v>
      </c>
      <c r="BB265" t="s">
        <v>74</v>
      </c>
      <c r="BC265" t="s">
        <v>74</v>
      </c>
      <c r="BD265" t="s">
        <v>74</v>
      </c>
      <c r="BE265" t="s">
        <v>5343</v>
      </c>
      <c r="BF265" t="str">
        <f>HYPERLINK("http://dx.doi.org/10.1002/bdr2.2244","http://dx.doi.org/10.1002/bdr2.2244")</f>
        <v>http://dx.doi.org/10.1002/bdr2.2244</v>
      </c>
      <c r="BG265" t="s">
        <v>74</v>
      </c>
      <c r="BH265" t="s">
        <v>407</v>
      </c>
      <c r="BI265">
        <v>16</v>
      </c>
      <c r="BJ265" t="s">
        <v>5344</v>
      </c>
      <c r="BK265" t="s">
        <v>119</v>
      </c>
      <c r="BL265" t="s">
        <v>5344</v>
      </c>
      <c r="BM265" t="s">
        <v>5345</v>
      </c>
      <c r="BN265">
        <v>37675882</v>
      </c>
      <c r="BO265" t="s">
        <v>74</v>
      </c>
      <c r="BP265" t="s">
        <v>74</v>
      </c>
      <c r="BQ265" t="s">
        <v>74</v>
      </c>
      <c r="BR265" t="s">
        <v>99</v>
      </c>
      <c r="BS265" t="s">
        <v>5346</v>
      </c>
      <c r="BT265" t="str">
        <f>HYPERLINK("https%3A%2F%2Fwww.webofscience.com%2Fwos%2Fwoscc%2Ffull-record%2FWOS:001063347000001","View Full Record in Web of Science")</f>
        <v>View Full Record in Web of Science</v>
      </c>
    </row>
    <row r="266" spans="1:72" x14ac:dyDescent="0.15">
      <c r="A266" t="s">
        <v>72</v>
      </c>
      <c r="B266" t="s">
        <v>5347</v>
      </c>
      <c r="C266" t="s">
        <v>74</v>
      </c>
      <c r="D266" t="s">
        <v>74</v>
      </c>
      <c r="E266" t="s">
        <v>74</v>
      </c>
      <c r="F266" t="s">
        <v>5348</v>
      </c>
      <c r="G266" t="s">
        <v>74</v>
      </c>
      <c r="H266" t="s">
        <v>74</v>
      </c>
      <c r="I266" t="s">
        <v>5349</v>
      </c>
      <c r="J266" t="s">
        <v>5350</v>
      </c>
      <c r="K266" t="s">
        <v>74</v>
      </c>
      <c r="L266" t="s">
        <v>74</v>
      </c>
      <c r="M266" t="s">
        <v>78</v>
      </c>
      <c r="N266" t="s">
        <v>338</v>
      </c>
      <c r="O266" t="s">
        <v>74</v>
      </c>
      <c r="P266" t="s">
        <v>74</v>
      </c>
      <c r="Q266" t="s">
        <v>74</v>
      </c>
      <c r="R266" t="s">
        <v>74</v>
      </c>
      <c r="S266" t="s">
        <v>74</v>
      </c>
      <c r="T266" t="s">
        <v>5351</v>
      </c>
      <c r="U266" t="s">
        <v>5352</v>
      </c>
      <c r="V266" t="s">
        <v>5353</v>
      </c>
      <c r="W266" t="s">
        <v>5354</v>
      </c>
      <c r="X266" t="s">
        <v>5355</v>
      </c>
      <c r="Y266" t="s">
        <v>5356</v>
      </c>
      <c r="Z266" t="s">
        <v>5357</v>
      </c>
      <c r="AA266" t="s">
        <v>5358</v>
      </c>
      <c r="AB266" t="s">
        <v>5359</v>
      </c>
      <c r="AC266" t="s">
        <v>5360</v>
      </c>
      <c r="AD266" t="s">
        <v>5361</v>
      </c>
      <c r="AE266" t="s">
        <v>5362</v>
      </c>
      <c r="AF266" t="s">
        <v>74</v>
      </c>
      <c r="AG266">
        <v>67</v>
      </c>
      <c r="AH266">
        <v>0</v>
      </c>
      <c r="AI266">
        <v>0</v>
      </c>
      <c r="AJ266">
        <v>0</v>
      </c>
      <c r="AK266">
        <v>0</v>
      </c>
      <c r="AL266" t="s">
        <v>426</v>
      </c>
      <c r="AM266" t="s">
        <v>427</v>
      </c>
      <c r="AN266" t="s">
        <v>428</v>
      </c>
      <c r="AO266" t="s">
        <v>5363</v>
      </c>
      <c r="AP266" t="s">
        <v>5364</v>
      </c>
      <c r="AQ266" t="s">
        <v>74</v>
      </c>
      <c r="AR266" t="s">
        <v>5365</v>
      </c>
      <c r="AS266" t="s">
        <v>5366</v>
      </c>
      <c r="AT266" t="s">
        <v>5164</v>
      </c>
      <c r="AU266">
        <v>2023</v>
      </c>
      <c r="AV266" t="s">
        <v>74</v>
      </c>
      <c r="AW266" t="s">
        <v>74</v>
      </c>
      <c r="AX266" t="s">
        <v>74</v>
      </c>
      <c r="AY266" t="s">
        <v>74</v>
      </c>
      <c r="AZ266" t="s">
        <v>74</v>
      </c>
      <c r="BA266" t="s">
        <v>74</v>
      </c>
      <c r="BB266" t="s">
        <v>74</v>
      </c>
      <c r="BC266" t="s">
        <v>74</v>
      </c>
      <c r="BD266" t="s">
        <v>5367</v>
      </c>
      <c r="BE266" t="s">
        <v>5368</v>
      </c>
      <c r="BF266" t="str">
        <f>HYPERLINK("http://dx.doi.org/10.1002/jbio.202300171","http://dx.doi.org/10.1002/jbio.202300171")</f>
        <v>http://dx.doi.org/10.1002/jbio.202300171</v>
      </c>
      <c r="BG266" t="s">
        <v>74</v>
      </c>
      <c r="BH266" t="s">
        <v>407</v>
      </c>
      <c r="BI266">
        <v>11</v>
      </c>
      <c r="BJ266" t="s">
        <v>5369</v>
      </c>
      <c r="BK266" t="s">
        <v>119</v>
      </c>
      <c r="BL266" t="s">
        <v>5370</v>
      </c>
      <c r="BM266" t="s">
        <v>5371</v>
      </c>
      <c r="BN266">
        <v>37643223</v>
      </c>
      <c r="BO266" t="s">
        <v>74</v>
      </c>
      <c r="BP266" t="s">
        <v>74</v>
      </c>
      <c r="BQ266" t="s">
        <v>74</v>
      </c>
      <c r="BR266" t="s">
        <v>99</v>
      </c>
      <c r="BS266" t="s">
        <v>5372</v>
      </c>
      <c r="BT266" t="str">
        <f>HYPERLINK("https%3A%2F%2Fwww.webofscience.com%2Fwos%2Fwoscc%2Ffull-record%2FWOS:001063898800001","View Full Record in Web of Science")</f>
        <v>View Full Record in Web of Science</v>
      </c>
    </row>
    <row r="267" spans="1:72" x14ac:dyDescent="0.15">
      <c r="A267" t="s">
        <v>72</v>
      </c>
      <c r="B267" t="s">
        <v>5373</v>
      </c>
      <c r="C267" t="s">
        <v>74</v>
      </c>
      <c r="D267" t="s">
        <v>74</v>
      </c>
      <c r="E267" t="s">
        <v>74</v>
      </c>
      <c r="F267" t="s">
        <v>5374</v>
      </c>
      <c r="G267" t="s">
        <v>74</v>
      </c>
      <c r="H267" t="s">
        <v>74</v>
      </c>
      <c r="I267" t="s">
        <v>5375</v>
      </c>
      <c r="J267" t="s">
        <v>5376</v>
      </c>
      <c r="K267" t="s">
        <v>74</v>
      </c>
      <c r="L267" t="s">
        <v>74</v>
      </c>
      <c r="M267" t="s">
        <v>78</v>
      </c>
      <c r="N267" t="s">
        <v>338</v>
      </c>
      <c r="O267" t="s">
        <v>74</v>
      </c>
      <c r="P267" t="s">
        <v>74</v>
      </c>
      <c r="Q267" t="s">
        <v>74</v>
      </c>
      <c r="R267" t="s">
        <v>74</v>
      </c>
      <c r="S267" t="s">
        <v>74</v>
      </c>
      <c r="T267" t="s">
        <v>5377</v>
      </c>
      <c r="U267" t="s">
        <v>5378</v>
      </c>
      <c r="V267" t="s">
        <v>5379</v>
      </c>
      <c r="W267" t="s">
        <v>5380</v>
      </c>
      <c r="X267" t="s">
        <v>5381</v>
      </c>
      <c r="Y267" t="s">
        <v>5382</v>
      </c>
      <c r="Z267" t="s">
        <v>5383</v>
      </c>
      <c r="AA267" t="s">
        <v>74</v>
      </c>
      <c r="AB267" t="s">
        <v>74</v>
      </c>
      <c r="AC267" t="s">
        <v>74</v>
      </c>
      <c r="AD267" t="s">
        <v>74</v>
      </c>
      <c r="AE267" t="s">
        <v>74</v>
      </c>
      <c r="AF267" t="s">
        <v>74</v>
      </c>
      <c r="AG267">
        <v>55</v>
      </c>
      <c r="AH267">
        <v>0</v>
      </c>
      <c r="AI267">
        <v>0</v>
      </c>
      <c r="AJ267">
        <v>0</v>
      </c>
      <c r="AK267">
        <v>0</v>
      </c>
      <c r="AL267" t="s">
        <v>87</v>
      </c>
      <c r="AM267" t="s">
        <v>88</v>
      </c>
      <c r="AN267" t="s">
        <v>89</v>
      </c>
      <c r="AO267" t="s">
        <v>5384</v>
      </c>
      <c r="AP267" t="s">
        <v>5385</v>
      </c>
      <c r="AQ267" t="s">
        <v>74</v>
      </c>
      <c r="AR267" t="s">
        <v>5386</v>
      </c>
      <c r="AS267" t="s">
        <v>5387</v>
      </c>
      <c r="AT267" t="s">
        <v>5164</v>
      </c>
      <c r="AU267">
        <v>2023</v>
      </c>
      <c r="AV267" t="s">
        <v>74</v>
      </c>
      <c r="AW267" t="s">
        <v>74</v>
      </c>
      <c r="AX267" t="s">
        <v>74</v>
      </c>
      <c r="AY267" t="s">
        <v>74</v>
      </c>
      <c r="AZ267" t="s">
        <v>74</v>
      </c>
      <c r="BA267" t="s">
        <v>74</v>
      </c>
      <c r="BB267" t="s">
        <v>74</v>
      </c>
      <c r="BC267" t="s">
        <v>74</v>
      </c>
      <c r="BD267" t="s">
        <v>74</v>
      </c>
      <c r="BE267" t="s">
        <v>5388</v>
      </c>
      <c r="BF267" t="str">
        <f>HYPERLINK("http://dx.doi.org/10.1111/ffe.14145","http://dx.doi.org/10.1111/ffe.14145")</f>
        <v>http://dx.doi.org/10.1111/ffe.14145</v>
      </c>
      <c r="BG267" t="s">
        <v>74</v>
      </c>
      <c r="BH267" t="s">
        <v>407</v>
      </c>
      <c r="BI267">
        <v>14</v>
      </c>
      <c r="BJ267" t="s">
        <v>5389</v>
      </c>
      <c r="BK267" t="s">
        <v>119</v>
      </c>
      <c r="BL267" t="s">
        <v>5390</v>
      </c>
      <c r="BM267" t="s">
        <v>5391</v>
      </c>
      <c r="BN267" t="s">
        <v>74</v>
      </c>
      <c r="BO267" t="s">
        <v>74</v>
      </c>
      <c r="BP267" t="s">
        <v>74</v>
      </c>
      <c r="BQ267" t="s">
        <v>74</v>
      </c>
      <c r="BR267" t="s">
        <v>99</v>
      </c>
      <c r="BS267" t="s">
        <v>5392</v>
      </c>
      <c r="BT267" t="str">
        <f>HYPERLINK("https%3A%2F%2Fwww.webofscience.com%2Fwos%2Fwoscc%2Ffull-record%2FWOS:001059946700001","View Full Record in Web of Science")</f>
        <v>View Full Record in Web of Science</v>
      </c>
    </row>
    <row r="268" spans="1:72" x14ac:dyDescent="0.15">
      <c r="A268" t="s">
        <v>72</v>
      </c>
      <c r="B268" t="s">
        <v>5393</v>
      </c>
      <c r="C268" t="s">
        <v>74</v>
      </c>
      <c r="D268" t="s">
        <v>74</v>
      </c>
      <c r="E268" t="s">
        <v>74</v>
      </c>
      <c r="F268" t="s">
        <v>5394</v>
      </c>
      <c r="G268" t="s">
        <v>74</v>
      </c>
      <c r="H268" t="s">
        <v>74</v>
      </c>
      <c r="I268" t="s">
        <v>5395</v>
      </c>
      <c r="J268" t="s">
        <v>4585</v>
      </c>
      <c r="K268" t="s">
        <v>74</v>
      </c>
      <c r="L268" t="s">
        <v>74</v>
      </c>
      <c r="M268" t="s">
        <v>78</v>
      </c>
      <c r="N268" t="s">
        <v>338</v>
      </c>
      <c r="O268" t="s">
        <v>74</v>
      </c>
      <c r="P268" t="s">
        <v>74</v>
      </c>
      <c r="Q268" t="s">
        <v>74</v>
      </c>
      <c r="R268" t="s">
        <v>74</v>
      </c>
      <c r="S268" t="s">
        <v>74</v>
      </c>
      <c r="T268" t="s">
        <v>5396</v>
      </c>
      <c r="U268" t="s">
        <v>5397</v>
      </c>
      <c r="V268" t="s">
        <v>5398</v>
      </c>
      <c r="W268" t="s">
        <v>5399</v>
      </c>
      <c r="X268" t="s">
        <v>5400</v>
      </c>
      <c r="Y268" t="s">
        <v>5401</v>
      </c>
      <c r="Z268" t="s">
        <v>5402</v>
      </c>
      <c r="AA268" t="s">
        <v>74</v>
      </c>
      <c r="AB268" t="s">
        <v>74</v>
      </c>
      <c r="AC268" t="s">
        <v>5403</v>
      </c>
      <c r="AD268" t="s">
        <v>5404</v>
      </c>
      <c r="AE268" t="s">
        <v>5405</v>
      </c>
      <c r="AF268" t="s">
        <v>74</v>
      </c>
      <c r="AG268">
        <v>39</v>
      </c>
      <c r="AH268">
        <v>0</v>
      </c>
      <c r="AI268">
        <v>0</v>
      </c>
      <c r="AJ268">
        <v>1</v>
      </c>
      <c r="AK268">
        <v>1</v>
      </c>
      <c r="AL268" t="s">
        <v>87</v>
      </c>
      <c r="AM268" t="s">
        <v>88</v>
      </c>
      <c r="AN268" t="s">
        <v>89</v>
      </c>
      <c r="AO268" t="s">
        <v>4596</v>
      </c>
      <c r="AP268" t="s">
        <v>4597</v>
      </c>
      <c r="AQ268" t="s">
        <v>74</v>
      </c>
      <c r="AR268" t="s">
        <v>4598</v>
      </c>
      <c r="AS268" t="s">
        <v>4599</v>
      </c>
      <c r="AT268" t="s">
        <v>5164</v>
      </c>
      <c r="AU268">
        <v>2023</v>
      </c>
      <c r="AV268" t="s">
        <v>74</v>
      </c>
      <c r="AW268" t="s">
        <v>74</v>
      </c>
      <c r="AX268" t="s">
        <v>74</v>
      </c>
      <c r="AY268" t="s">
        <v>74</v>
      </c>
      <c r="AZ268" t="s">
        <v>74</v>
      </c>
      <c r="BA268" t="s">
        <v>74</v>
      </c>
      <c r="BB268" t="s">
        <v>74</v>
      </c>
      <c r="BC268" t="s">
        <v>74</v>
      </c>
      <c r="BD268" t="s">
        <v>74</v>
      </c>
      <c r="BE268" t="s">
        <v>5406</v>
      </c>
      <c r="BF268" t="str">
        <f>HYPERLINK("http://dx.doi.org/10.1111/gtc.13065","http://dx.doi.org/10.1111/gtc.13065")</f>
        <v>http://dx.doi.org/10.1111/gtc.13065</v>
      </c>
      <c r="BG268" t="s">
        <v>74</v>
      </c>
      <c r="BH268" t="s">
        <v>407</v>
      </c>
      <c r="BI268">
        <v>13</v>
      </c>
      <c r="BJ268" t="s">
        <v>4601</v>
      </c>
      <c r="BK268" t="s">
        <v>119</v>
      </c>
      <c r="BL268" t="s">
        <v>4601</v>
      </c>
      <c r="BM268" t="s">
        <v>5407</v>
      </c>
      <c r="BN268">
        <v>37680073</v>
      </c>
      <c r="BO268" t="s">
        <v>74</v>
      </c>
      <c r="BP268" t="s">
        <v>74</v>
      </c>
      <c r="BQ268" t="s">
        <v>74</v>
      </c>
      <c r="BR268" t="s">
        <v>99</v>
      </c>
      <c r="BS268" t="s">
        <v>5408</v>
      </c>
      <c r="BT268" t="str">
        <f>HYPERLINK("https%3A%2F%2Fwww.webofscience.com%2Fwos%2Fwoscc%2Ffull-record%2FWOS:001070019200001","View Full Record in Web of Science")</f>
        <v>View Full Record in Web of Science</v>
      </c>
    </row>
    <row r="269" spans="1:72" x14ac:dyDescent="0.15">
      <c r="A269" t="s">
        <v>72</v>
      </c>
      <c r="B269" t="s">
        <v>5409</v>
      </c>
      <c r="C269" t="s">
        <v>74</v>
      </c>
      <c r="D269" t="s">
        <v>74</v>
      </c>
      <c r="E269" t="s">
        <v>74</v>
      </c>
      <c r="F269" t="s">
        <v>5410</v>
      </c>
      <c r="G269" t="s">
        <v>74</v>
      </c>
      <c r="H269" t="s">
        <v>74</v>
      </c>
      <c r="I269" t="s">
        <v>5411</v>
      </c>
      <c r="J269" t="s">
        <v>2913</v>
      </c>
      <c r="K269" t="s">
        <v>74</v>
      </c>
      <c r="L269" t="s">
        <v>74</v>
      </c>
      <c r="M269" t="s">
        <v>78</v>
      </c>
      <c r="N269" t="s">
        <v>594</v>
      </c>
      <c r="O269" t="s">
        <v>74</v>
      </c>
      <c r="P269" t="s">
        <v>74</v>
      </c>
      <c r="Q269" t="s">
        <v>74</v>
      </c>
      <c r="R269" t="s">
        <v>74</v>
      </c>
      <c r="S269" t="s">
        <v>74</v>
      </c>
      <c r="T269" t="s">
        <v>5412</v>
      </c>
      <c r="U269" t="s">
        <v>5413</v>
      </c>
      <c r="V269" t="s">
        <v>5414</v>
      </c>
      <c r="W269" t="s">
        <v>5415</v>
      </c>
      <c r="X269" t="s">
        <v>5416</v>
      </c>
      <c r="Y269" t="s">
        <v>5417</v>
      </c>
      <c r="Z269" t="s">
        <v>5418</v>
      </c>
      <c r="AA269" t="s">
        <v>5419</v>
      </c>
      <c r="AB269" t="s">
        <v>5420</v>
      </c>
      <c r="AC269" t="s">
        <v>5421</v>
      </c>
      <c r="AD269" t="s">
        <v>5422</v>
      </c>
      <c r="AE269" t="s">
        <v>5423</v>
      </c>
      <c r="AF269" t="s">
        <v>74</v>
      </c>
      <c r="AG269">
        <v>206</v>
      </c>
      <c r="AH269">
        <v>0</v>
      </c>
      <c r="AI269">
        <v>0</v>
      </c>
      <c r="AJ269">
        <v>3</v>
      </c>
      <c r="AK269">
        <v>3</v>
      </c>
      <c r="AL269" t="s">
        <v>426</v>
      </c>
      <c r="AM269" t="s">
        <v>427</v>
      </c>
      <c r="AN269" t="s">
        <v>428</v>
      </c>
      <c r="AO269" t="s">
        <v>2925</v>
      </c>
      <c r="AP269" t="s">
        <v>2926</v>
      </c>
      <c r="AQ269" t="s">
        <v>74</v>
      </c>
      <c r="AR269" t="s">
        <v>2927</v>
      </c>
      <c r="AS269" t="s">
        <v>2928</v>
      </c>
      <c r="AT269" t="s">
        <v>5164</v>
      </c>
      <c r="AU269">
        <v>2023</v>
      </c>
      <c r="AV269" t="s">
        <v>74</v>
      </c>
      <c r="AW269" t="s">
        <v>74</v>
      </c>
      <c r="AX269" t="s">
        <v>74</v>
      </c>
      <c r="AY269" t="s">
        <v>74</v>
      </c>
      <c r="AZ269" t="s">
        <v>74</v>
      </c>
      <c r="BA269" t="s">
        <v>74</v>
      </c>
      <c r="BB269" t="s">
        <v>74</v>
      </c>
      <c r="BC269" t="s">
        <v>74</v>
      </c>
      <c r="BD269" t="s">
        <v>74</v>
      </c>
      <c r="BE269" t="s">
        <v>5424</v>
      </c>
      <c r="BF269" t="str">
        <f>HYPERLINK("http://dx.doi.org/10.1002/chem.202301961","http://dx.doi.org/10.1002/chem.202301961")</f>
        <v>http://dx.doi.org/10.1002/chem.202301961</v>
      </c>
      <c r="BG269" t="s">
        <v>74</v>
      </c>
      <c r="BH269" t="s">
        <v>407</v>
      </c>
      <c r="BI269">
        <v>38</v>
      </c>
      <c r="BJ269" t="s">
        <v>523</v>
      </c>
      <c r="BK269" t="s">
        <v>119</v>
      </c>
      <c r="BL269" t="s">
        <v>524</v>
      </c>
      <c r="BM269" t="s">
        <v>5425</v>
      </c>
      <c r="BN269">
        <v>37463071</v>
      </c>
      <c r="BO269" t="s">
        <v>74</v>
      </c>
      <c r="BP269" t="s">
        <v>74</v>
      </c>
      <c r="BQ269" t="s">
        <v>74</v>
      </c>
      <c r="BR269" t="s">
        <v>99</v>
      </c>
      <c r="BS269" t="s">
        <v>5426</v>
      </c>
      <c r="BT269" t="str">
        <f>HYPERLINK("https%3A%2F%2Fwww.webofscience.com%2Fwos%2Fwoscc%2Ffull-record%2FWOS:001063384700001","View Full Record in Web of Science")</f>
        <v>View Full Record in Web of Science</v>
      </c>
    </row>
    <row r="270" spans="1:72" x14ac:dyDescent="0.15">
      <c r="A270" t="s">
        <v>72</v>
      </c>
      <c r="B270" t="s">
        <v>5427</v>
      </c>
      <c r="C270" t="s">
        <v>74</v>
      </c>
      <c r="D270" t="s">
        <v>74</v>
      </c>
      <c r="E270" t="s">
        <v>74</v>
      </c>
      <c r="F270" t="s">
        <v>5428</v>
      </c>
      <c r="G270" t="s">
        <v>74</v>
      </c>
      <c r="H270" t="s">
        <v>74</v>
      </c>
      <c r="I270" t="s">
        <v>5429</v>
      </c>
      <c r="J270" t="s">
        <v>5430</v>
      </c>
      <c r="K270" t="s">
        <v>74</v>
      </c>
      <c r="L270" t="s">
        <v>74</v>
      </c>
      <c r="M270" t="s">
        <v>78</v>
      </c>
      <c r="N270" t="s">
        <v>2743</v>
      </c>
      <c r="O270" t="s">
        <v>74</v>
      </c>
      <c r="P270" t="s">
        <v>74</v>
      </c>
      <c r="Q270" t="s">
        <v>74</v>
      </c>
      <c r="R270" t="s">
        <v>74</v>
      </c>
      <c r="S270" t="s">
        <v>74</v>
      </c>
      <c r="T270" t="s">
        <v>74</v>
      </c>
      <c r="U270" t="s">
        <v>74</v>
      </c>
      <c r="V270" t="s">
        <v>74</v>
      </c>
      <c r="W270" t="s">
        <v>5431</v>
      </c>
      <c r="X270" t="s">
        <v>5432</v>
      </c>
      <c r="Y270" t="s">
        <v>5433</v>
      </c>
      <c r="Z270" t="s">
        <v>5434</v>
      </c>
      <c r="AA270" t="s">
        <v>5435</v>
      </c>
      <c r="AB270" t="s">
        <v>5436</v>
      </c>
      <c r="AC270" t="s">
        <v>5437</v>
      </c>
      <c r="AD270" t="s">
        <v>5437</v>
      </c>
      <c r="AE270" t="s">
        <v>5438</v>
      </c>
      <c r="AF270" t="s">
        <v>74</v>
      </c>
      <c r="AG270">
        <v>5</v>
      </c>
      <c r="AH270">
        <v>0</v>
      </c>
      <c r="AI270">
        <v>0</v>
      </c>
      <c r="AJ270">
        <v>0</v>
      </c>
      <c r="AK270">
        <v>0</v>
      </c>
      <c r="AL270" t="s">
        <v>87</v>
      </c>
      <c r="AM270" t="s">
        <v>88</v>
      </c>
      <c r="AN270" t="s">
        <v>89</v>
      </c>
      <c r="AO270" t="s">
        <v>5439</v>
      </c>
      <c r="AP270" t="s">
        <v>5440</v>
      </c>
      <c r="AQ270" t="s">
        <v>74</v>
      </c>
      <c r="AR270" t="s">
        <v>5441</v>
      </c>
      <c r="AS270" t="s">
        <v>5442</v>
      </c>
      <c r="AT270" t="s">
        <v>5164</v>
      </c>
      <c r="AU270">
        <v>2023</v>
      </c>
      <c r="AV270" t="s">
        <v>74</v>
      </c>
      <c r="AW270" t="s">
        <v>74</v>
      </c>
      <c r="AX270" t="s">
        <v>74</v>
      </c>
      <c r="AY270" t="s">
        <v>74</v>
      </c>
      <c r="AZ270" t="s">
        <v>74</v>
      </c>
      <c r="BA270" t="s">
        <v>74</v>
      </c>
      <c r="BB270" t="s">
        <v>74</v>
      </c>
      <c r="BC270" t="s">
        <v>74</v>
      </c>
      <c r="BD270" t="s">
        <v>74</v>
      </c>
      <c r="BE270" t="s">
        <v>5443</v>
      </c>
      <c r="BF270" t="str">
        <f>HYPERLINK("http://dx.doi.org/10.1002/ccd.30824","http://dx.doi.org/10.1002/ccd.30824")</f>
        <v>http://dx.doi.org/10.1002/ccd.30824</v>
      </c>
      <c r="BG270" t="s">
        <v>74</v>
      </c>
      <c r="BH270" t="s">
        <v>407</v>
      </c>
      <c r="BI270">
        <v>3</v>
      </c>
      <c r="BJ270" t="s">
        <v>1849</v>
      </c>
      <c r="BK270" t="s">
        <v>119</v>
      </c>
      <c r="BL270" t="s">
        <v>1850</v>
      </c>
      <c r="BM270" t="s">
        <v>5444</v>
      </c>
      <c r="BN270">
        <v>37675980</v>
      </c>
      <c r="BO270" t="s">
        <v>74</v>
      </c>
      <c r="BP270" t="s">
        <v>74</v>
      </c>
      <c r="BQ270" t="s">
        <v>74</v>
      </c>
      <c r="BR270" t="s">
        <v>99</v>
      </c>
      <c r="BS270" t="s">
        <v>5445</v>
      </c>
      <c r="BT270" t="str">
        <f>HYPERLINK("https%3A%2F%2Fwww.webofscience.com%2Fwos%2Fwoscc%2Ffull-record%2FWOS:001063062500001","View Full Record in Web of Science")</f>
        <v>View Full Record in Web of Science</v>
      </c>
    </row>
    <row r="271" spans="1:72" x14ac:dyDescent="0.15">
      <c r="A271" t="s">
        <v>72</v>
      </c>
      <c r="B271" t="s">
        <v>5446</v>
      </c>
      <c r="C271" t="s">
        <v>74</v>
      </c>
      <c r="D271" t="s">
        <v>74</v>
      </c>
      <c r="E271" t="s">
        <v>74</v>
      </c>
      <c r="F271" t="s">
        <v>5447</v>
      </c>
      <c r="G271" t="s">
        <v>74</v>
      </c>
      <c r="H271" t="s">
        <v>74</v>
      </c>
      <c r="I271" t="s">
        <v>5448</v>
      </c>
      <c r="J271" t="s">
        <v>1503</v>
      </c>
      <c r="K271" t="s">
        <v>74</v>
      </c>
      <c r="L271" t="s">
        <v>74</v>
      </c>
      <c r="M271" t="s">
        <v>78</v>
      </c>
      <c r="N271" t="s">
        <v>338</v>
      </c>
      <c r="O271" t="s">
        <v>74</v>
      </c>
      <c r="P271" t="s">
        <v>74</v>
      </c>
      <c r="Q271" t="s">
        <v>74</v>
      </c>
      <c r="R271" t="s">
        <v>74</v>
      </c>
      <c r="S271" t="s">
        <v>74</v>
      </c>
      <c r="T271" t="s">
        <v>5449</v>
      </c>
      <c r="U271" t="s">
        <v>5450</v>
      </c>
      <c r="V271" t="s">
        <v>5451</v>
      </c>
      <c r="W271" t="s">
        <v>5452</v>
      </c>
      <c r="X271" t="s">
        <v>5453</v>
      </c>
      <c r="Y271" t="s">
        <v>5454</v>
      </c>
      <c r="Z271" t="s">
        <v>5455</v>
      </c>
      <c r="AA271" t="s">
        <v>74</v>
      </c>
      <c r="AB271" t="s">
        <v>74</v>
      </c>
      <c r="AC271" t="s">
        <v>74</v>
      </c>
      <c r="AD271" t="s">
        <v>74</v>
      </c>
      <c r="AE271" t="s">
        <v>74</v>
      </c>
      <c r="AF271" t="s">
        <v>74</v>
      </c>
      <c r="AG271">
        <v>29</v>
      </c>
      <c r="AH271">
        <v>0</v>
      </c>
      <c r="AI271">
        <v>0</v>
      </c>
      <c r="AJ271">
        <v>1</v>
      </c>
      <c r="AK271">
        <v>1</v>
      </c>
      <c r="AL271" t="s">
        <v>87</v>
      </c>
      <c r="AM271" t="s">
        <v>88</v>
      </c>
      <c r="AN271" t="s">
        <v>89</v>
      </c>
      <c r="AO271" t="s">
        <v>1512</v>
      </c>
      <c r="AP271" t="s">
        <v>1513</v>
      </c>
      <c r="AQ271" t="s">
        <v>74</v>
      </c>
      <c r="AR271" t="s">
        <v>1514</v>
      </c>
      <c r="AS271" t="s">
        <v>1515</v>
      </c>
      <c r="AT271" t="s">
        <v>5164</v>
      </c>
      <c r="AU271">
        <v>2023</v>
      </c>
      <c r="AV271" t="s">
        <v>74</v>
      </c>
      <c r="AW271" t="s">
        <v>74</v>
      </c>
      <c r="AX271" t="s">
        <v>74</v>
      </c>
      <c r="AY271" t="s">
        <v>74</v>
      </c>
      <c r="AZ271" t="s">
        <v>74</v>
      </c>
      <c r="BA271" t="s">
        <v>74</v>
      </c>
      <c r="BB271" t="s">
        <v>74</v>
      </c>
      <c r="BC271" t="s">
        <v>74</v>
      </c>
      <c r="BD271" t="s">
        <v>74</v>
      </c>
      <c r="BE271" t="s">
        <v>5456</v>
      </c>
      <c r="BF271" t="str">
        <f>HYPERLINK("http://dx.doi.org/10.1002/qre.3440","http://dx.doi.org/10.1002/qre.3440")</f>
        <v>http://dx.doi.org/10.1002/qre.3440</v>
      </c>
      <c r="BG271" t="s">
        <v>74</v>
      </c>
      <c r="BH271" t="s">
        <v>407</v>
      </c>
      <c r="BI271">
        <v>15</v>
      </c>
      <c r="BJ271" t="s">
        <v>1517</v>
      </c>
      <c r="BK271" t="s">
        <v>119</v>
      </c>
      <c r="BL271" t="s">
        <v>1518</v>
      </c>
      <c r="BM271" t="s">
        <v>5457</v>
      </c>
      <c r="BN271" t="s">
        <v>74</v>
      </c>
      <c r="BO271" t="s">
        <v>74</v>
      </c>
      <c r="BP271" t="s">
        <v>74</v>
      </c>
      <c r="BQ271" t="s">
        <v>74</v>
      </c>
      <c r="BR271" t="s">
        <v>99</v>
      </c>
      <c r="BS271" t="s">
        <v>5458</v>
      </c>
      <c r="BT271" t="str">
        <f>HYPERLINK("https%3A%2F%2Fwww.webofscience.com%2Fwos%2Fwoscc%2Ffull-record%2FWOS:001059812200001","View Full Record in Web of Science")</f>
        <v>View Full Record in Web of Science</v>
      </c>
    </row>
    <row r="272" spans="1:72" x14ac:dyDescent="0.15">
      <c r="A272" t="s">
        <v>72</v>
      </c>
      <c r="B272" t="s">
        <v>5459</v>
      </c>
      <c r="C272" t="s">
        <v>74</v>
      </c>
      <c r="D272" t="s">
        <v>74</v>
      </c>
      <c r="E272" t="s">
        <v>74</v>
      </c>
      <c r="F272" t="s">
        <v>5460</v>
      </c>
      <c r="G272" t="s">
        <v>74</v>
      </c>
      <c r="H272" t="s">
        <v>74</v>
      </c>
      <c r="I272" t="s">
        <v>5461</v>
      </c>
      <c r="J272" t="s">
        <v>5462</v>
      </c>
      <c r="K272" t="s">
        <v>74</v>
      </c>
      <c r="L272" t="s">
        <v>74</v>
      </c>
      <c r="M272" t="s">
        <v>78</v>
      </c>
      <c r="N272" t="s">
        <v>338</v>
      </c>
      <c r="O272" t="s">
        <v>74</v>
      </c>
      <c r="P272" t="s">
        <v>74</v>
      </c>
      <c r="Q272" t="s">
        <v>74</v>
      </c>
      <c r="R272" t="s">
        <v>74</v>
      </c>
      <c r="S272" t="s">
        <v>74</v>
      </c>
      <c r="T272" t="s">
        <v>74</v>
      </c>
      <c r="U272" t="s">
        <v>74</v>
      </c>
      <c r="V272" t="s">
        <v>5463</v>
      </c>
      <c r="W272" t="s">
        <v>5464</v>
      </c>
      <c r="X272" t="s">
        <v>5465</v>
      </c>
      <c r="Y272" t="s">
        <v>5466</v>
      </c>
      <c r="Z272" t="s">
        <v>5467</v>
      </c>
      <c r="AA272" t="s">
        <v>74</v>
      </c>
      <c r="AB272" t="s">
        <v>74</v>
      </c>
      <c r="AC272" t="s">
        <v>5468</v>
      </c>
      <c r="AD272" t="s">
        <v>5469</v>
      </c>
      <c r="AE272" t="s">
        <v>5470</v>
      </c>
      <c r="AF272" t="s">
        <v>74</v>
      </c>
      <c r="AG272">
        <v>35</v>
      </c>
      <c r="AH272">
        <v>0</v>
      </c>
      <c r="AI272">
        <v>0</v>
      </c>
      <c r="AJ272">
        <v>0</v>
      </c>
      <c r="AK272">
        <v>0</v>
      </c>
      <c r="AL272" t="s">
        <v>87</v>
      </c>
      <c r="AM272" t="s">
        <v>88</v>
      </c>
      <c r="AN272" t="s">
        <v>89</v>
      </c>
      <c r="AO272" t="s">
        <v>5471</v>
      </c>
      <c r="AP272" t="s">
        <v>5472</v>
      </c>
      <c r="AQ272" t="s">
        <v>74</v>
      </c>
      <c r="AR272" t="s">
        <v>5473</v>
      </c>
      <c r="AS272" t="s">
        <v>5474</v>
      </c>
      <c r="AT272" t="s">
        <v>5164</v>
      </c>
      <c r="AU272">
        <v>2023</v>
      </c>
      <c r="AV272" t="s">
        <v>74</v>
      </c>
      <c r="AW272" t="s">
        <v>74</v>
      </c>
      <c r="AX272" t="s">
        <v>74</v>
      </c>
      <c r="AY272" t="s">
        <v>74</v>
      </c>
      <c r="AZ272" t="s">
        <v>74</v>
      </c>
      <c r="BA272" t="s">
        <v>74</v>
      </c>
      <c r="BB272" t="s">
        <v>74</v>
      </c>
      <c r="BC272" t="s">
        <v>74</v>
      </c>
      <c r="BD272" t="s">
        <v>74</v>
      </c>
      <c r="BE272" t="s">
        <v>5475</v>
      </c>
      <c r="BF272" t="str">
        <f>HYPERLINK("http://dx.doi.org/10.1111/cote.12719","http://dx.doi.org/10.1111/cote.12719")</f>
        <v>http://dx.doi.org/10.1111/cote.12719</v>
      </c>
      <c r="BG272" t="s">
        <v>74</v>
      </c>
      <c r="BH272" t="s">
        <v>407</v>
      </c>
      <c r="BI272">
        <v>18</v>
      </c>
      <c r="BJ272" t="s">
        <v>5476</v>
      </c>
      <c r="BK272" t="s">
        <v>119</v>
      </c>
      <c r="BL272" t="s">
        <v>5477</v>
      </c>
      <c r="BM272" t="s">
        <v>5478</v>
      </c>
      <c r="BN272" t="s">
        <v>74</v>
      </c>
      <c r="BO272" t="s">
        <v>301</v>
      </c>
      <c r="BP272" t="s">
        <v>74</v>
      </c>
      <c r="BQ272" t="s">
        <v>74</v>
      </c>
      <c r="BR272" t="s">
        <v>99</v>
      </c>
      <c r="BS272" t="s">
        <v>5479</v>
      </c>
      <c r="BT272" t="str">
        <f>HYPERLINK("https%3A%2F%2Fwww.webofscience.com%2Fwos%2Fwoscc%2Ffull-record%2FWOS:001060514900001","View Full Record in Web of Science")</f>
        <v>View Full Record in Web of Science</v>
      </c>
    </row>
    <row r="273" spans="1:72" x14ac:dyDescent="0.15">
      <c r="A273" t="s">
        <v>72</v>
      </c>
      <c r="B273" t="s">
        <v>5480</v>
      </c>
      <c r="C273" t="s">
        <v>74</v>
      </c>
      <c r="D273" t="s">
        <v>74</v>
      </c>
      <c r="E273" t="s">
        <v>74</v>
      </c>
      <c r="F273" t="s">
        <v>5481</v>
      </c>
      <c r="G273" t="s">
        <v>74</v>
      </c>
      <c r="H273" t="s">
        <v>74</v>
      </c>
      <c r="I273" t="s">
        <v>5482</v>
      </c>
      <c r="J273" t="s">
        <v>2524</v>
      </c>
      <c r="K273" t="s">
        <v>74</v>
      </c>
      <c r="L273" t="s">
        <v>74</v>
      </c>
      <c r="M273" t="s">
        <v>78</v>
      </c>
      <c r="N273" t="s">
        <v>2743</v>
      </c>
      <c r="O273" t="s">
        <v>74</v>
      </c>
      <c r="P273" t="s">
        <v>74</v>
      </c>
      <c r="Q273" t="s">
        <v>74</v>
      </c>
      <c r="R273" t="s">
        <v>74</v>
      </c>
      <c r="S273" t="s">
        <v>74</v>
      </c>
      <c r="T273" t="s">
        <v>74</v>
      </c>
      <c r="U273" t="s">
        <v>5483</v>
      </c>
      <c r="V273" t="s">
        <v>74</v>
      </c>
      <c r="W273" t="s">
        <v>5484</v>
      </c>
      <c r="X273" t="s">
        <v>5485</v>
      </c>
      <c r="Y273" t="s">
        <v>5486</v>
      </c>
      <c r="Z273" t="s">
        <v>5487</v>
      </c>
      <c r="AA273" t="s">
        <v>5488</v>
      </c>
      <c r="AB273" t="s">
        <v>5489</v>
      </c>
      <c r="AC273" t="s">
        <v>5490</v>
      </c>
      <c r="AD273" t="s">
        <v>5490</v>
      </c>
      <c r="AE273" t="s">
        <v>5490</v>
      </c>
      <c r="AF273" t="s">
        <v>74</v>
      </c>
      <c r="AG273">
        <v>5</v>
      </c>
      <c r="AH273">
        <v>0</v>
      </c>
      <c r="AI273">
        <v>0</v>
      </c>
      <c r="AJ273">
        <v>0</v>
      </c>
      <c r="AK273">
        <v>0</v>
      </c>
      <c r="AL273" t="s">
        <v>87</v>
      </c>
      <c r="AM273" t="s">
        <v>88</v>
      </c>
      <c r="AN273" t="s">
        <v>89</v>
      </c>
      <c r="AO273" t="s">
        <v>2536</v>
      </c>
      <c r="AP273" t="s">
        <v>2537</v>
      </c>
      <c r="AQ273" t="s">
        <v>74</v>
      </c>
      <c r="AR273" t="s">
        <v>2538</v>
      </c>
      <c r="AS273" t="s">
        <v>2539</v>
      </c>
      <c r="AT273" t="s">
        <v>5164</v>
      </c>
      <c r="AU273">
        <v>2023</v>
      </c>
      <c r="AV273" t="s">
        <v>74</v>
      </c>
      <c r="AW273" t="s">
        <v>74</v>
      </c>
      <c r="AX273" t="s">
        <v>74</v>
      </c>
      <c r="AY273" t="s">
        <v>74</v>
      </c>
      <c r="AZ273" t="s">
        <v>74</v>
      </c>
      <c r="BA273" t="s">
        <v>74</v>
      </c>
      <c r="BB273" t="s">
        <v>74</v>
      </c>
      <c r="BC273" t="s">
        <v>74</v>
      </c>
      <c r="BD273" t="s">
        <v>74</v>
      </c>
      <c r="BE273" t="s">
        <v>5491</v>
      </c>
      <c r="BF273" t="str">
        <f>HYPERLINK("http://dx.doi.org/10.1111/1346-8138.16958","http://dx.doi.org/10.1111/1346-8138.16958")</f>
        <v>http://dx.doi.org/10.1111/1346-8138.16958</v>
      </c>
      <c r="BG273" t="s">
        <v>74</v>
      </c>
      <c r="BH273" t="s">
        <v>407</v>
      </c>
      <c r="BI273">
        <v>3</v>
      </c>
      <c r="BJ273" t="s">
        <v>2541</v>
      </c>
      <c r="BK273" t="s">
        <v>119</v>
      </c>
      <c r="BL273" t="s">
        <v>2541</v>
      </c>
      <c r="BM273" t="s">
        <v>5492</v>
      </c>
      <c r="BN273">
        <v>37680083</v>
      </c>
      <c r="BO273" t="s">
        <v>74</v>
      </c>
      <c r="BP273" t="s">
        <v>74</v>
      </c>
      <c r="BQ273" t="s">
        <v>74</v>
      </c>
      <c r="BR273" t="s">
        <v>99</v>
      </c>
      <c r="BS273" t="s">
        <v>5493</v>
      </c>
      <c r="BT273" t="str">
        <f>HYPERLINK("https%3A%2F%2Fwww.webofscience.com%2Fwos%2Fwoscc%2Ffull-record%2FWOS:001063899800001","View Full Record in Web of Science")</f>
        <v>View Full Record in Web of Science</v>
      </c>
    </row>
    <row r="274" spans="1:72" x14ac:dyDescent="0.15">
      <c r="A274" t="s">
        <v>72</v>
      </c>
      <c r="B274" t="s">
        <v>5494</v>
      </c>
      <c r="C274" t="s">
        <v>74</v>
      </c>
      <c r="D274" t="s">
        <v>74</v>
      </c>
      <c r="E274" t="s">
        <v>74</v>
      </c>
      <c r="F274" t="s">
        <v>5495</v>
      </c>
      <c r="G274" t="s">
        <v>74</v>
      </c>
      <c r="H274" t="s">
        <v>74</v>
      </c>
      <c r="I274" t="s">
        <v>5496</v>
      </c>
      <c r="J274" t="s">
        <v>459</v>
      </c>
      <c r="K274" t="s">
        <v>74</v>
      </c>
      <c r="L274" t="s">
        <v>74</v>
      </c>
      <c r="M274" t="s">
        <v>78</v>
      </c>
      <c r="N274" t="s">
        <v>338</v>
      </c>
      <c r="O274" t="s">
        <v>74</v>
      </c>
      <c r="P274" t="s">
        <v>74</v>
      </c>
      <c r="Q274" t="s">
        <v>74</v>
      </c>
      <c r="R274" t="s">
        <v>74</v>
      </c>
      <c r="S274" t="s">
        <v>74</v>
      </c>
      <c r="T274" t="s">
        <v>5497</v>
      </c>
      <c r="U274" t="s">
        <v>5498</v>
      </c>
      <c r="V274" t="s">
        <v>5499</v>
      </c>
      <c r="W274" t="s">
        <v>5500</v>
      </c>
      <c r="X274" t="s">
        <v>5501</v>
      </c>
      <c r="Y274" t="s">
        <v>5502</v>
      </c>
      <c r="Z274" t="s">
        <v>5503</v>
      </c>
      <c r="AA274" t="s">
        <v>74</v>
      </c>
      <c r="AB274" t="s">
        <v>74</v>
      </c>
      <c r="AC274" t="s">
        <v>5504</v>
      </c>
      <c r="AD274" t="s">
        <v>5505</v>
      </c>
      <c r="AE274" t="s">
        <v>5506</v>
      </c>
      <c r="AF274" t="s">
        <v>74</v>
      </c>
      <c r="AG274">
        <v>58</v>
      </c>
      <c r="AH274">
        <v>0</v>
      </c>
      <c r="AI274">
        <v>0</v>
      </c>
      <c r="AJ274">
        <v>0</v>
      </c>
      <c r="AK274">
        <v>0</v>
      </c>
      <c r="AL274" t="s">
        <v>87</v>
      </c>
      <c r="AM274" t="s">
        <v>88</v>
      </c>
      <c r="AN274" t="s">
        <v>89</v>
      </c>
      <c r="AO274" t="s">
        <v>470</v>
      </c>
      <c r="AP274" t="s">
        <v>471</v>
      </c>
      <c r="AQ274" t="s">
        <v>74</v>
      </c>
      <c r="AR274" t="s">
        <v>472</v>
      </c>
      <c r="AS274" t="s">
        <v>473</v>
      </c>
      <c r="AT274" t="s">
        <v>5164</v>
      </c>
      <c r="AU274">
        <v>2023</v>
      </c>
      <c r="AV274" t="s">
        <v>74</v>
      </c>
      <c r="AW274" t="s">
        <v>74</v>
      </c>
      <c r="AX274" t="s">
        <v>74</v>
      </c>
      <c r="AY274" t="s">
        <v>74</v>
      </c>
      <c r="AZ274" t="s">
        <v>74</v>
      </c>
      <c r="BA274" t="s">
        <v>74</v>
      </c>
      <c r="BB274" t="s">
        <v>74</v>
      </c>
      <c r="BC274" t="s">
        <v>74</v>
      </c>
      <c r="BD274" t="s">
        <v>74</v>
      </c>
      <c r="BE274" t="s">
        <v>5507</v>
      </c>
      <c r="BF274" t="str">
        <f>HYPERLINK("http://dx.doi.org/10.1002/jctb.7492","http://dx.doi.org/10.1002/jctb.7492")</f>
        <v>http://dx.doi.org/10.1002/jctb.7492</v>
      </c>
      <c r="BG274" t="s">
        <v>74</v>
      </c>
      <c r="BH274" t="s">
        <v>407</v>
      </c>
      <c r="BI274">
        <v>9</v>
      </c>
      <c r="BJ274" t="s">
        <v>475</v>
      </c>
      <c r="BK274" t="s">
        <v>119</v>
      </c>
      <c r="BL274" t="s">
        <v>476</v>
      </c>
      <c r="BM274" t="s">
        <v>5508</v>
      </c>
      <c r="BN274" t="s">
        <v>74</v>
      </c>
      <c r="BO274" t="s">
        <v>122</v>
      </c>
      <c r="BP274" t="s">
        <v>74</v>
      </c>
      <c r="BQ274" t="s">
        <v>74</v>
      </c>
      <c r="BR274" t="s">
        <v>99</v>
      </c>
      <c r="BS274" t="s">
        <v>5509</v>
      </c>
      <c r="BT274" t="str">
        <f>HYPERLINK("https%3A%2F%2Fwww.webofscience.com%2Fwos%2Fwoscc%2Ffull-record%2FWOS:001063272400001","View Full Record in Web of Science")</f>
        <v>View Full Record in Web of Science</v>
      </c>
    </row>
    <row r="275" spans="1:72" x14ac:dyDescent="0.15">
      <c r="A275" t="s">
        <v>72</v>
      </c>
      <c r="B275" t="s">
        <v>5510</v>
      </c>
      <c r="C275" t="s">
        <v>74</v>
      </c>
      <c r="D275" t="s">
        <v>74</v>
      </c>
      <c r="E275" t="s">
        <v>74</v>
      </c>
      <c r="F275" t="s">
        <v>5511</v>
      </c>
      <c r="G275" t="s">
        <v>74</v>
      </c>
      <c r="H275" t="s">
        <v>74</v>
      </c>
      <c r="I275" t="s">
        <v>5512</v>
      </c>
      <c r="J275" t="s">
        <v>5513</v>
      </c>
      <c r="K275" t="s">
        <v>74</v>
      </c>
      <c r="L275" t="s">
        <v>74</v>
      </c>
      <c r="M275" t="s">
        <v>78</v>
      </c>
      <c r="N275" t="s">
        <v>2743</v>
      </c>
      <c r="O275" t="s">
        <v>74</v>
      </c>
      <c r="P275" t="s">
        <v>74</v>
      </c>
      <c r="Q275" t="s">
        <v>74</v>
      </c>
      <c r="R275" t="s">
        <v>74</v>
      </c>
      <c r="S275" t="s">
        <v>74</v>
      </c>
      <c r="T275" t="s">
        <v>74</v>
      </c>
      <c r="U275" t="s">
        <v>74</v>
      </c>
      <c r="V275" t="s">
        <v>74</v>
      </c>
      <c r="W275" t="s">
        <v>5514</v>
      </c>
      <c r="X275" t="s">
        <v>5515</v>
      </c>
      <c r="Y275" t="s">
        <v>5516</v>
      </c>
      <c r="Z275" t="s">
        <v>5517</v>
      </c>
      <c r="AA275" t="s">
        <v>74</v>
      </c>
      <c r="AB275" t="s">
        <v>74</v>
      </c>
      <c r="AC275" t="s">
        <v>74</v>
      </c>
      <c r="AD275" t="s">
        <v>74</v>
      </c>
      <c r="AE275" t="s">
        <v>74</v>
      </c>
      <c r="AF275" t="s">
        <v>74</v>
      </c>
      <c r="AG275">
        <v>7</v>
      </c>
      <c r="AH275">
        <v>0</v>
      </c>
      <c r="AI275">
        <v>0</v>
      </c>
      <c r="AJ275">
        <v>0</v>
      </c>
      <c r="AK275">
        <v>0</v>
      </c>
      <c r="AL275" t="s">
        <v>87</v>
      </c>
      <c r="AM275" t="s">
        <v>88</v>
      </c>
      <c r="AN275" t="s">
        <v>89</v>
      </c>
      <c r="AO275" t="s">
        <v>5518</v>
      </c>
      <c r="AP275" t="s">
        <v>5519</v>
      </c>
      <c r="AQ275" t="s">
        <v>74</v>
      </c>
      <c r="AR275" t="s">
        <v>5520</v>
      </c>
      <c r="AS275" t="s">
        <v>5521</v>
      </c>
      <c r="AT275" t="s">
        <v>5522</v>
      </c>
      <c r="AU275">
        <v>2023</v>
      </c>
      <c r="AV275" t="s">
        <v>74</v>
      </c>
      <c r="AW275" t="s">
        <v>74</v>
      </c>
      <c r="AX275" t="s">
        <v>74</v>
      </c>
      <c r="AY275" t="s">
        <v>74</v>
      </c>
      <c r="AZ275" t="s">
        <v>74</v>
      </c>
      <c r="BA275" t="s">
        <v>74</v>
      </c>
      <c r="BB275" t="s">
        <v>74</v>
      </c>
      <c r="BC275" t="s">
        <v>74</v>
      </c>
      <c r="BD275" t="s">
        <v>74</v>
      </c>
      <c r="BE275" t="s">
        <v>5523</v>
      </c>
      <c r="BF275" t="str">
        <f>HYPERLINK("http://dx.doi.org/10.1002/ejhf.3015","http://dx.doi.org/10.1002/ejhf.3015")</f>
        <v>http://dx.doi.org/10.1002/ejhf.3015</v>
      </c>
      <c r="BG275" t="s">
        <v>74</v>
      </c>
      <c r="BH275" t="s">
        <v>407</v>
      </c>
      <c r="BI275">
        <v>1</v>
      </c>
      <c r="BJ275" t="s">
        <v>1849</v>
      </c>
      <c r="BK275" t="s">
        <v>119</v>
      </c>
      <c r="BL275" t="s">
        <v>1850</v>
      </c>
      <c r="BM275" t="s">
        <v>5524</v>
      </c>
      <c r="BN275">
        <v>37634947</v>
      </c>
      <c r="BO275" t="s">
        <v>74</v>
      </c>
      <c r="BP275" t="s">
        <v>74</v>
      </c>
      <c r="BQ275" t="s">
        <v>74</v>
      </c>
      <c r="BR275" t="s">
        <v>99</v>
      </c>
      <c r="BS275" t="s">
        <v>5525</v>
      </c>
      <c r="BT275" t="str">
        <f>HYPERLINK("https%3A%2F%2Fwww.webofscience.com%2Fwos%2Fwoscc%2Ffull-record%2FWOS:001062815300001","View Full Record in Web of Science")</f>
        <v>View Full Record in Web of Science</v>
      </c>
    </row>
    <row r="276" spans="1:72" x14ac:dyDescent="0.15">
      <c r="A276" t="s">
        <v>72</v>
      </c>
      <c r="B276" t="s">
        <v>5526</v>
      </c>
      <c r="C276" t="s">
        <v>74</v>
      </c>
      <c r="D276" t="s">
        <v>74</v>
      </c>
      <c r="E276" t="s">
        <v>74</v>
      </c>
      <c r="F276" t="s">
        <v>5527</v>
      </c>
      <c r="G276" t="s">
        <v>74</v>
      </c>
      <c r="H276" t="s">
        <v>74</v>
      </c>
      <c r="I276" t="s">
        <v>5528</v>
      </c>
      <c r="J276" t="s">
        <v>5529</v>
      </c>
      <c r="K276" t="s">
        <v>74</v>
      </c>
      <c r="L276" t="s">
        <v>74</v>
      </c>
      <c r="M276" t="s">
        <v>78</v>
      </c>
      <c r="N276" t="s">
        <v>338</v>
      </c>
      <c r="O276" t="s">
        <v>74</v>
      </c>
      <c r="P276" t="s">
        <v>74</v>
      </c>
      <c r="Q276" t="s">
        <v>74</v>
      </c>
      <c r="R276" t="s">
        <v>74</v>
      </c>
      <c r="S276" t="s">
        <v>74</v>
      </c>
      <c r="T276" t="s">
        <v>5530</v>
      </c>
      <c r="U276" t="s">
        <v>5531</v>
      </c>
      <c r="V276" t="s">
        <v>5532</v>
      </c>
      <c r="W276" t="s">
        <v>5533</v>
      </c>
      <c r="X276" t="s">
        <v>5534</v>
      </c>
      <c r="Y276" t="s">
        <v>5535</v>
      </c>
      <c r="Z276" t="s">
        <v>5536</v>
      </c>
      <c r="AA276" t="s">
        <v>74</v>
      </c>
      <c r="AB276" t="s">
        <v>74</v>
      </c>
      <c r="AC276" t="s">
        <v>5537</v>
      </c>
      <c r="AD276" t="s">
        <v>5538</v>
      </c>
      <c r="AE276" t="s">
        <v>5539</v>
      </c>
      <c r="AF276" t="s">
        <v>74</v>
      </c>
      <c r="AG276">
        <v>39</v>
      </c>
      <c r="AH276">
        <v>0</v>
      </c>
      <c r="AI276">
        <v>0</v>
      </c>
      <c r="AJ276">
        <v>0</v>
      </c>
      <c r="AK276">
        <v>0</v>
      </c>
      <c r="AL276" t="s">
        <v>87</v>
      </c>
      <c r="AM276" t="s">
        <v>88</v>
      </c>
      <c r="AN276" t="s">
        <v>89</v>
      </c>
      <c r="AO276" t="s">
        <v>5540</v>
      </c>
      <c r="AP276" t="s">
        <v>5541</v>
      </c>
      <c r="AQ276" t="s">
        <v>74</v>
      </c>
      <c r="AR276" t="s">
        <v>5542</v>
      </c>
      <c r="AS276" t="s">
        <v>5543</v>
      </c>
      <c r="AT276" t="s">
        <v>5522</v>
      </c>
      <c r="AU276">
        <v>2023</v>
      </c>
      <c r="AV276" t="s">
        <v>74</v>
      </c>
      <c r="AW276" t="s">
        <v>74</v>
      </c>
      <c r="AX276" t="s">
        <v>74</v>
      </c>
      <c r="AY276" t="s">
        <v>74</v>
      </c>
      <c r="AZ276" t="s">
        <v>74</v>
      </c>
      <c r="BA276" t="s">
        <v>74</v>
      </c>
      <c r="BB276" t="s">
        <v>74</v>
      </c>
      <c r="BC276" t="s">
        <v>74</v>
      </c>
      <c r="BD276" t="s">
        <v>74</v>
      </c>
      <c r="BE276" t="s">
        <v>5544</v>
      </c>
      <c r="BF276" t="str">
        <f>HYPERLINK("http://dx.doi.org/10.1111/1747-0080.12837","http://dx.doi.org/10.1111/1747-0080.12837")</f>
        <v>http://dx.doi.org/10.1111/1747-0080.12837</v>
      </c>
      <c r="BG276" t="s">
        <v>74</v>
      </c>
      <c r="BH276" t="s">
        <v>407</v>
      </c>
      <c r="BI276">
        <v>12</v>
      </c>
      <c r="BJ276" t="s">
        <v>5545</v>
      </c>
      <c r="BK276" t="s">
        <v>119</v>
      </c>
      <c r="BL276" t="s">
        <v>5545</v>
      </c>
      <c r="BM276" t="s">
        <v>5546</v>
      </c>
      <c r="BN276">
        <v>37674377</v>
      </c>
      <c r="BO276" t="s">
        <v>122</v>
      </c>
      <c r="BP276" t="s">
        <v>74</v>
      </c>
      <c r="BQ276" t="s">
        <v>74</v>
      </c>
      <c r="BR276" t="s">
        <v>99</v>
      </c>
      <c r="BS276" t="s">
        <v>5547</v>
      </c>
      <c r="BT276" t="str">
        <f>HYPERLINK("https%3A%2F%2Fwww.webofscience.com%2Fwos%2Fwoscc%2Ffull-record%2FWOS:001063120800001","View Full Record in Web of Science")</f>
        <v>View Full Record in Web of Science</v>
      </c>
    </row>
    <row r="277" spans="1:72" x14ac:dyDescent="0.15">
      <c r="A277" t="s">
        <v>72</v>
      </c>
      <c r="B277" t="s">
        <v>5548</v>
      </c>
      <c r="C277" t="s">
        <v>74</v>
      </c>
      <c r="D277" t="s">
        <v>74</v>
      </c>
      <c r="E277" t="s">
        <v>74</v>
      </c>
      <c r="F277" t="s">
        <v>5549</v>
      </c>
      <c r="G277" t="s">
        <v>74</v>
      </c>
      <c r="H277" t="s">
        <v>74</v>
      </c>
      <c r="I277" t="s">
        <v>5550</v>
      </c>
      <c r="J277" t="s">
        <v>5551</v>
      </c>
      <c r="K277" t="s">
        <v>74</v>
      </c>
      <c r="L277" t="s">
        <v>74</v>
      </c>
      <c r="M277" t="s">
        <v>78</v>
      </c>
      <c r="N277" t="s">
        <v>338</v>
      </c>
      <c r="O277" t="s">
        <v>74</v>
      </c>
      <c r="P277" t="s">
        <v>74</v>
      </c>
      <c r="Q277" t="s">
        <v>74</v>
      </c>
      <c r="R277" t="s">
        <v>74</v>
      </c>
      <c r="S277" t="s">
        <v>74</v>
      </c>
      <c r="T277" t="s">
        <v>5552</v>
      </c>
      <c r="U277" t="s">
        <v>5553</v>
      </c>
      <c r="V277" t="s">
        <v>5554</v>
      </c>
      <c r="W277" t="s">
        <v>5555</v>
      </c>
      <c r="X277" t="s">
        <v>5556</v>
      </c>
      <c r="Y277" t="s">
        <v>5557</v>
      </c>
      <c r="Z277" t="s">
        <v>5558</v>
      </c>
      <c r="AA277" t="s">
        <v>74</v>
      </c>
      <c r="AB277" t="s">
        <v>5559</v>
      </c>
      <c r="AC277" t="s">
        <v>5560</v>
      </c>
      <c r="AD277" t="s">
        <v>5560</v>
      </c>
      <c r="AE277" t="s">
        <v>5561</v>
      </c>
      <c r="AF277" t="s">
        <v>74</v>
      </c>
      <c r="AG277">
        <v>17</v>
      </c>
      <c r="AH277">
        <v>0</v>
      </c>
      <c r="AI277">
        <v>0</v>
      </c>
      <c r="AJ277">
        <v>0</v>
      </c>
      <c r="AK277">
        <v>0</v>
      </c>
      <c r="AL277" t="s">
        <v>87</v>
      </c>
      <c r="AM277" t="s">
        <v>88</v>
      </c>
      <c r="AN277" t="s">
        <v>89</v>
      </c>
      <c r="AO277" t="s">
        <v>5562</v>
      </c>
      <c r="AP277" t="s">
        <v>5563</v>
      </c>
      <c r="AQ277" t="s">
        <v>74</v>
      </c>
      <c r="AR277" t="s">
        <v>5564</v>
      </c>
      <c r="AS277" t="s">
        <v>5565</v>
      </c>
      <c r="AT277" t="s">
        <v>5522</v>
      </c>
      <c r="AU277">
        <v>2023</v>
      </c>
      <c r="AV277" t="s">
        <v>74</v>
      </c>
      <c r="AW277" t="s">
        <v>74</v>
      </c>
      <c r="AX277" t="s">
        <v>74</v>
      </c>
      <c r="AY277" t="s">
        <v>74</v>
      </c>
      <c r="AZ277" t="s">
        <v>74</v>
      </c>
      <c r="BA277" t="s">
        <v>74</v>
      </c>
      <c r="BB277" t="s">
        <v>74</v>
      </c>
      <c r="BC277" t="s">
        <v>74</v>
      </c>
      <c r="BD277" t="s">
        <v>74</v>
      </c>
      <c r="BE277" t="s">
        <v>5566</v>
      </c>
      <c r="BF277" t="str">
        <f>HYPERLINK("http://dx.doi.org/10.1111/1759-7714.15102","http://dx.doi.org/10.1111/1759-7714.15102")</f>
        <v>http://dx.doi.org/10.1111/1759-7714.15102</v>
      </c>
      <c r="BG277" t="s">
        <v>74</v>
      </c>
      <c r="BH277" t="s">
        <v>407</v>
      </c>
      <c r="BI277">
        <v>5</v>
      </c>
      <c r="BJ277" t="s">
        <v>5567</v>
      </c>
      <c r="BK277" t="s">
        <v>119</v>
      </c>
      <c r="BL277" t="s">
        <v>5567</v>
      </c>
      <c r="BM277" t="s">
        <v>5568</v>
      </c>
      <c r="BN277">
        <v>37674354</v>
      </c>
      <c r="BO277" t="s">
        <v>74</v>
      </c>
      <c r="BP277" t="s">
        <v>74</v>
      </c>
      <c r="BQ277" t="s">
        <v>74</v>
      </c>
      <c r="BR277" t="s">
        <v>99</v>
      </c>
      <c r="BS277" t="s">
        <v>5569</v>
      </c>
      <c r="BT277" t="str">
        <f>HYPERLINK("https%3A%2F%2Fwww.webofscience.com%2Fwos%2Fwoscc%2Ffull-record%2FWOS:001062769100001","View Full Record in Web of Science")</f>
        <v>View Full Record in Web of Science</v>
      </c>
    </row>
    <row r="278" spans="1:72" x14ac:dyDescent="0.15">
      <c r="A278" t="s">
        <v>72</v>
      </c>
      <c r="B278" t="s">
        <v>5570</v>
      </c>
      <c r="C278" t="s">
        <v>74</v>
      </c>
      <c r="D278" t="s">
        <v>74</v>
      </c>
      <c r="E278" t="s">
        <v>74</v>
      </c>
      <c r="F278" t="s">
        <v>5571</v>
      </c>
      <c r="G278" t="s">
        <v>74</v>
      </c>
      <c r="H278" t="s">
        <v>74</v>
      </c>
      <c r="I278" t="s">
        <v>5572</v>
      </c>
      <c r="J278" t="s">
        <v>5573</v>
      </c>
      <c r="K278" t="s">
        <v>74</v>
      </c>
      <c r="L278" t="s">
        <v>74</v>
      </c>
      <c r="M278" t="s">
        <v>78</v>
      </c>
      <c r="N278" t="s">
        <v>594</v>
      </c>
      <c r="O278" t="s">
        <v>74</v>
      </c>
      <c r="P278" t="s">
        <v>74</v>
      </c>
      <c r="Q278" t="s">
        <v>74</v>
      </c>
      <c r="R278" t="s">
        <v>74</v>
      </c>
      <c r="S278" t="s">
        <v>74</v>
      </c>
      <c r="T278" t="s">
        <v>5574</v>
      </c>
      <c r="U278" t="s">
        <v>5575</v>
      </c>
      <c r="V278" t="s">
        <v>5576</v>
      </c>
      <c r="W278" t="s">
        <v>5577</v>
      </c>
      <c r="X278" t="s">
        <v>5578</v>
      </c>
      <c r="Y278" t="s">
        <v>5579</v>
      </c>
      <c r="Z278" t="s">
        <v>5580</v>
      </c>
      <c r="AA278" t="s">
        <v>74</v>
      </c>
      <c r="AB278" t="s">
        <v>74</v>
      </c>
      <c r="AC278" t="s">
        <v>5581</v>
      </c>
      <c r="AD278" t="s">
        <v>5582</v>
      </c>
      <c r="AE278" t="s">
        <v>5583</v>
      </c>
      <c r="AF278" t="s">
        <v>74</v>
      </c>
      <c r="AG278">
        <v>316</v>
      </c>
      <c r="AH278">
        <v>0</v>
      </c>
      <c r="AI278">
        <v>0</v>
      </c>
      <c r="AJ278">
        <v>6</v>
      </c>
      <c r="AK278">
        <v>6</v>
      </c>
      <c r="AL278" t="s">
        <v>87</v>
      </c>
      <c r="AM278" t="s">
        <v>88</v>
      </c>
      <c r="AN278" t="s">
        <v>89</v>
      </c>
      <c r="AO278" t="s">
        <v>74</v>
      </c>
      <c r="AP278" t="s">
        <v>5584</v>
      </c>
      <c r="AQ278" t="s">
        <v>74</v>
      </c>
      <c r="AR278" t="s">
        <v>5573</v>
      </c>
      <c r="AS278" t="s">
        <v>5585</v>
      </c>
      <c r="AT278" t="s">
        <v>5522</v>
      </c>
      <c r="AU278">
        <v>2023</v>
      </c>
      <c r="AV278" t="s">
        <v>74</v>
      </c>
      <c r="AW278" t="s">
        <v>74</v>
      </c>
      <c r="AX278" t="s">
        <v>74</v>
      </c>
      <c r="AY278" t="s">
        <v>74</v>
      </c>
      <c r="AZ278" t="s">
        <v>74</v>
      </c>
      <c r="BA278" t="s">
        <v>74</v>
      </c>
      <c r="BB278" t="s">
        <v>74</v>
      </c>
      <c r="BC278" t="s">
        <v>74</v>
      </c>
      <c r="BD278" t="s">
        <v>5586</v>
      </c>
      <c r="BE278" t="s">
        <v>5587</v>
      </c>
      <c r="BF278" t="str">
        <f>HYPERLINK("http://dx.doi.org/10.1002/cey2.410","http://dx.doi.org/10.1002/cey2.410")</f>
        <v>http://dx.doi.org/10.1002/cey2.410</v>
      </c>
      <c r="BG278" t="s">
        <v>74</v>
      </c>
      <c r="BH278" t="s">
        <v>407</v>
      </c>
      <c r="BI278">
        <v>54</v>
      </c>
      <c r="BJ278" t="s">
        <v>5588</v>
      </c>
      <c r="BK278" t="s">
        <v>119</v>
      </c>
      <c r="BL278" t="s">
        <v>5589</v>
      </c>
      <c r="BM278" t="s">
        <v>5590</v>
      </c>
      <c r="BN278" t="s">
        <v>74</v>
      </c>
      <c r="BO278" t="s">
        <v>234</v>
      </c>
      <c r="BP278" t="s">
        <v>74</v>
      </c>
      <c r="BQ278" t="s">
        <v>74</v>
      </c>
      <c r="BR278" t="s">
        <v>99</v>
      </c>
      <c r="BS278" t="s">
        <v>5591</v>
      </c>
      <c r="BT278" t="str">
        <f>HYPERLINK("https%3A%2F%2Fwww.webofscience.com%2Fwos%2Fwoscc%2Ffull-record%2FWOS:001062391700001","View Full Record in Web of Science")</f>
        <v>View Full Record in Web of Science</v>
      </c>
    </row>
    <row r="279" spans="1:72" x14ac:dyDescent="0.15">
      <c r="A279" t="s">
        <v>72</v>
      </c>
      <c r="B279" t="s">
        <v>5592</v>
      </c>
      <c r="C279" t="s">
        <v>74</v>
      </c>
      <c r="D279" t="s">
        <v>74</v>
      </c>
      <c r="E279" t="s">
        <v>74</v>
      </c>
      <c r="F279" t="s">
        <v>5593</v>
      </c>
      <c r="G279" t="s">
        <v>74</v>
      </c>
      <c r="H279" t="s">
        <v>74</v>
      </c>
      <c r="I279" t="s">
        <v>5594</v>
      </c>
      <c r="J279" t="s">
        <v>5595</v>
      </c>
      <c r="K279" t="s">
        <v>74</v>
      </c>
      <c r="L279" t="s">
        <v>74</v>
      </c>
      <c r="M279" t="s">
        <v>78</v>
      </c>
      <c r="N279" t="s">
        <v>338</v>
      </c>
      <c r="O279" t="s">
        <v>74</v>
      </c>
      <c r="P279" t="s">
        <v>74</v>
      </c>
      <c r="Q279" t="s">
        <v>74</v>
      </c>
      <c r="R279" t="s">
        <v>74</v>
      </c>
      <c r="S279" t="s">
        <v>74</v>
      </c>
      <c r="T279" t="s">
        <v>5596</v>
      </c>
      <c r="U279" t="s">
        <v>5597</v>
      </c>
      <c r="V279" t="s">
        <v>5598</v>
      </c>
      <c r="W279" t="s">
        <v>5599</v>
      </c>
      <c r="X279" t="s">
        <v>5600</v>
      </c>
      <c r="Y279" t="s">
        <v>5601</v>
      </c>
      <c r="Z279" t="s">
        <v>5602</v>
      </c>
      <c r="AA279" t="s">
        <v>5603</v>
      </c>
      <c r="AB279" t="s">
        <v>5604</v>
      </c>
      <c r="AC279" t="s">
        <v>5605</v>
      </c>
      <c r="AD279" t="s">
        <v>5606</v>
      </c>
      <c r="AE279" t="s">
        <v>5607</v>
      </c>
      <c r="AF279" t="s">
        <v>74</v>
      </c>
      <c r="AG279">
        <v>51</v>
      </c>
      <c r="AH279">
        <v>0</v>
      </c>
      <c r="AI279">
        <v>0</v>
      </c>
      <c r="AJ279">
        <v>0</v>
      </c>
      <c r="AK279">
        <v>0</v>
      </c>
      <c r="AL279" t="s">
        <v>426</v>
      </c>
      <c r="AM279" t="s">
        <v>427</v>
      </c>
      <c r="AN279" t="s">
        <v>428</v>
      </c>
      <c r="AO279" t="s">
        <v>5608</v>
      </c>
      <c r="AP279" t="s">
        <v>5609</v>
      </c>
      <c r="AQ279" t="s">
        <v>74</v>
      </c>
      <c r="AR279" t="s">
        <v>5610</v>
      </c>
      <c r="AS279" t="s">
        <v>5611</v>
      </c>
      <c r="AT279" t="s">
        <v>5522</v>
      </c>
      <c r="AU279">
        <v>2023</v>
      </c>
      <c r="AV279" t="s">
        <v>74</v>
      </c>
      <c r="AW279" t="s">
        <v>74</v>
      </c>
      <c r="AX279" t="s">
        <v>74</v>
      </c>
      <c r="AY279" t="s">
        <v>74</v>
      </c>
      <c r="AZ279" t="s">
        <v>74</v>
      </c>
      <c r="BA279" t="s">
        <v>74</v>
      </c>
      <c r="BB279" t="s">
        <v>74</v>
      </c>
      <c r="BC279" t="s">
        <v>74</v>
      </c>
      <c r="BD279" t="s">
        <v>74</v>
      </c>
      <c r="BE279" t="s">
        <v>5612</v>
      </c>
      <c r="BF279" t="str">
        <f>HYPERLINK("http://dx.doi.org/10.1002/minf.202300104","http://dx.doi.org/10.1002/minf.202300104")</f>
        <v>http://dx.doi.org/10.1002/minf.202300104</v>
      </c>
      <c r="BG279" t="s">
        <v>74</v>
      </c>
      <c r="BH279" t="s">
        <v>407</v>
      </c>
      <c r="BI279">
        <v>13</v>
      </c>
      <c r="BJ279" t="s">
        <v>5613</v>
      </c>
      <c r="BK279" t="s">
        <v>119</v>
      </c>
      <c r="BL279" t="s">
        <v>5614</v>
      </c>
      <c r="BM279" t="s">
        <v>5615</v>
      </c>
      <c r="BN279">
        <v>37672879</v>
      </c>
      <c r="BO279" t="s">
        <v>122</v>
      </c>
      <c r="BP279" t="s">
        <v>74</v>
      </c>
      <c r="BQ279" t="s">
        <v>74</v>
      </c>
      <c r="BR279" t="s">
        <v>99</v>
      </c>
      <c r="BS279" t="s">
        <v>5616</v>
      </c>
      <c r="BT279" t="str">
        <f>HYPERLINK("https%3A%2F%2Fwww.webofscience.com%2Fwos%2Fwoscc%2Ffull-record%2FWOS:001059264500001","View Full Record in Web of Science")</f>
        <v>View Full Record in Web of Science</v>
      </c>
    </row>
    <row r="280" spans="1:72" x14ac:dyDescent="0.15">
      <c r="A280" t="s">
        <v>72</v>
      </c>
      <c r="B280" t="s">
        <v>5617</v>
      </c>
      <c r="C280" t="s">
        <v>74</v>
      </c>
      <c r="D280" t="s">
        <v>74</v>
      </c>
      <c r="E280" t="s">
        <v>74</v>
      </c>
      <c r="F280" t="s">
        <v>5618</v>
      </c>
      <c r="G280" t="s">
        <v>74</v>
      </c>
      <c r="H280" t="s">
        <v>74</v>
      </c>
      <c r="I280" t="s">
        <v>5619</v>
      </c>
      <c r="J280" t="s">
        <v>1839</v>
      </c>
      <c r="K280" t="s">
        <v>74</v>
      </c>
      <c r="L280" t="s">
        <v>74</v>
      </c>
      <c r="M280" t="s">
        <v>78</v>
      </c>
      <c r="N280" t="s">
        <v>1297</v>
      </c>
      <c r="O280" t="s">
        <v>74</v>
      </c>
      <c r="P280" t="s">
        <v>74</v>
      </c>
      <c r="Q280" t="s">
        <v>74</v>
      </c>
      <c r="R280" t="s">
        <v>74</v>
      </c>
      <c r="S280" t="s">
        <v>74</v>
      </c>
      <c r="T280" t="s">
        <v>5620</v>
      </c>
      <c r="U280" t="s">
        <v>5621</v>
      </c>
      <c r="V280" t="s">
        <v>74</v>
      </c>
      <c r="W280" t="s">
        <v>5622</v>
      </c>
      <c r="X280" t="s">
        <v>5623</v>
      </c>
      <c r="Y280" t="s">
        <v>5624</v>
      </c>
      <c r="Z280" t="s">
        <v>5625</v>
      </c>
      <c r="AA280" t="s">
        <v>74</v>
      </c>
      <c r="AB280" t="s">
        <v>74</v>
      </c>
      <c r="AC280" t="s">
        <v>74</v>
      </c>
      <c r="AD280" t="s">
        <v>74</v>
      </c>
      <c r="AE280" t="s">
        <v>74</v>
      </c>
      <c r="AF280" t="s">
        <v>74</v>
      </c>
      <c r="AG280">
        <v>12</v>
      </c>
      <c r="AH280">
        <v>0</v>
      </c>
      <c r="AI280">
        <v>0</v>
      </c>
      <c r="AJ280">
        <v>0</v>
      </c>
      <c r="AK280">
        <v>0</v>
      </c>
      <c r="AL280" t="s">
        <v>87</v>
      </c>
      <c r="AM280" t="s">
        <v>88</v>
      </c>
      <c r="AN280" t="s">
        <v>89</v>
      </c>
      <c r="AO280" t="s">
        <v>1844</v>
      </c>
      <c r="AP280" t="s">
        <v>1845</v>
      </c>
      <c r="AQ280" t="s">
        <v>74</v>
      </c>
      <c r="AR280" t="s">
        <v>1846</v>
      </c>
      <c r="AS280" t="s">
        <v>1847</v>
      </c>
      <c r="AT280" t="s">
        <v>5522</v>
      </c>
      <c r="AU280">
        <v>2023</v>
      </c>
      <c r="AV280" t="s">
        <v>74</v>
      </c>
      <c r="AW280" t="s">
        <v>74</v>
      </c>
      <c r="AX280" t="s">
        <v>74</v>
      </c>
      <c r="AY280" t="s">
        <v>74</v>
      </c>
      <c r="AZ280" t="s">
        <v>74</v>
      </c>
      <c r="BA280" t="s">
        <v>74</v>
      </c>
      <c r="BB280" t="s">
        <v>74</v>
      </c>
      <c r="BC280" t="s">
        <v>74</v>
      </c>
      <c r="BD280" t="s">
        <v>74</v>
      </c>
      <c r="BE280" t="s">
        <v>5626</v>
      </c>
      <c r="BF280" t="str">
        <f>HYPERLINK("http://dx.doi.org/10.1111/jce.16049","http://dx.doi.org/10.1111/jce.16049")</f>
        <v>http://dx.doi.org/10.1111/jce.16049</v>
      </c>
      <c r="BG280" t="s">
        <v>74</v>
      </c>
      <c r="BH280" t="s">
        <v>407</v>
      </c>
      <c r="BI280">
        <v>2</v>
      </c>
      <c r="BJ280" t="s">
        <v>1849</v>
      </c>
      <c r="BK280" t="s">
        <v>119</v>
      </c>
      <c r="BL280" t="s">
        <v>1850</v>
      </c>
      <c r="BM280" t="s">
        <v>5627</v>
      </c>
      <c r="BN280">
        <v>37671690</v>
      </c>
      <c r="BO280" t="s">
        <v>74</v>
      </c>
      <c r="BP280" t="s">
        <v>74</v>
      </c>
      <c r="BQ280" t="s">
        <v>74</v>
      </c>
      <c r="BR280" t="s">
        <v>99</v>
      </c>
      <c r="BS280" t="s">
        <v>5628</v>
      </c>
      <c r="BT280" t="str">
        <f>HYPERLINK("https%3A%2F%2Fwww.webofscience.com%2Fwos%2Fwoscc%2Ffull-record%2FWOS:001062827800001","View Full Record in Web of Science")</f>
        <v>View Full Record in Web of Science</v>
      </c>
    </row>
    <row r="281" spans="1:72" x14ac:dyDescent="0.15">
      <c r="A281" t="s">
        <v>72</v>
      </c>
      <c r="B281" t="s">
        <v>5629</v>
      </c>
      <c r="C281" t="s">
        <v>74</v>
      </c>
      <c r="D281" t="s">
        <v>74</v>
      </c>
      <c r="E281" t="s">
        <v>74</v>
      </c>
      <c r="F281" t="s">
        <v>5630</v>
      </c>
      <c r="G281" t="s">
        <v>74</v>
      </c>
      <c r="H281" t="s">
        <v>74</v>
      </c>
      <c r="I281" t="s">
        <v>5631</v>
      </c>
      <c r="J281" t="s">
        <v>5632</v>
      </c>
      <c r="K281" t="s">
        <v>74</v>
      </c>
      <c r="L281" t="s">
        <v>74</v>
      </c>
      <c r="M281" t="s">
        <v>78</v>
      </c>
      <c r="N281" t="s">
        <v>338</v>
      </c>
      <c r="O281" t="s">
        <v>74</v>
      </c>
      <c r="P281" t="s">
        <v>74</v>
      </c>
      <c r="Q281" t="s">
        <v>74</v>
      </c>
      <c r="R281" t="s">
        <v>74</v>
      </c>
      <c r="S281" t="s">
        <v>74</v>
      </c>
      <c r="T281" t="s">
        <v>5633</v>
      </c>
      <c r="U281" t="s">
        <v>5634</v>
      </c>
      <c r="V281" t="s">
        <v>5635</v>
      </c>
      <c r="W281" t="s">
        <v>5636</v>
      </c>
      <c r="X281" t="s">
        <v>5637</v>
      </c>
      <c r="Y281" t="s">
        <v>5638</v>
      </c>
      <c r="Z281" t="s">
        <v>5639</v>
      </c>
      <c r="AA281" t="s">
        <v>74</v>
      </c>
      <c r="AB281" t="s">
        <v>5640</v>
      </c>
      <c r="AC281" t="s">
        <v>5641</v>
      </c>
      <c r="AD281" t="s">
        <v>5642</v>
      </c>
      <c r="AE281" t="s">
        <v>5643</v>
      </c>
      <c r="AF281" t="s">
        <v>74</v>
      </c>
      <c r="AG281">
        <v>48</v>
      </c>
      <c r="AH281">
        <v>0</v>
      </c>
      <c r="AI281">
        <v>0</v>
      </c>
      <c r="AJ281">
        <v>2</v>
      </c>
      <c r="AK281">
        <v>2</v>
      </c>
      <c r="AL281" t="s">
        <v>1100</v>
      </c>
      <c r="AM281" t="s">
        <v>1101</v>
      </c>
      <c r="AN281" t="s">
        <v>1102</v>
      </c>
      <c r="AO281" t="s">
        <v>5644</v>
      </c>
      <c r="AP281" t="s">
        <v>5645</v>
      </c>
      <c r="AQ281" t="s">
        <v>74</v>
      </c>
      <c r="AR281" t="s">
        <v>5646</v>
      </c>
      <c r="AS281" t="s">
        <v>5647</v>
      </c>
      <c r="AT281" t="s">
        <v>5522</v>
      </c>
      <c r="AU281">
        <v>2023</v>
      </c>
      <c r="AV281" t="s">
        <v>74</v>
      </c>
      <c r="AW281" t="s">
        <v>74</v>
      </c>
      <c r="AX281" t="s">
        <v>74</v>
      </c>
      <c r="AY281" t="s">
        <v>74</v>
      </c>
      <c r="AZ281" t="s">
        <v>74</v>
      </c>
      <c r="BA281" t="s">
        <v>74</v>
      </c>
      <c r="BB281" t="s">
        <v>74</v>
      </c>
      <c r="BC281" t="s">
        <v>74</v>
      </c>
      <c r="BD281" t="s">
        <v>74</v>
      </c>
      <c r="BE281" t="s">
        <v>5648</v>
      </c>
      <c r="BF281" t="str">
        <f>HYPERLINK("http://dx.doi.org/10.1002/ps.7701","http://dx.doi.org/10.1002/ps.7701")</f>
        <v>http://dx.doi.org/10.1002/ps.7701</v>
      </c>
      <c r="BG281" t="s">
        <v>74</v>
      </c>
      <c r="BH281" t="s">
        <v>407</v>
      </c>
      <c r="BI281">
        <v>13</v>
      </c>
      <c r="BJ281" t="s">
        <v>5649</v>
      </c>
      <c r="BK281" t="s">
        <v>119</v>
      </c>
      <c r="BL281" t="s">
        <v>5650</v>
      </c>
      <c r="BM281" t="s">
        <v>5651</v>
      </c>
      <c r="BN281">
        <v>37540766</v>
      </c>
      <c r="BO281" t="s">
        <v>74</v>
      </c>
      <c r="BP281" t="s">
        <v>74</v>
      </c>
      <c r="BQ281" t="s">
        <v>74</v>
      </c>
      <c r="BR281" t="s">
        <v>99</v>
      </c>
      <c r="BS281" t="s">
        <v>5652</v>
      </c>
      <c r="BT281" t="str">
        <f>HYPERLINK("https%3A%2F%2Fwww.webofscience.com%2Fwos%2Fwoscc%2Ffull-record%2FWOS:001062261200001","View Full Record in Web of Science")</f>
        <v>View Full Record in Web of Science</v>
      </c>
    </row>
    <row r="282" spans="1:72" x14ac:dyDescent="0.15">
      <c r="A282" t="s">
        <v>72</v>
      </c>
      <c r="B282" t="s">
        <v>5653</v>
      </c>
      <c r="C282" t="s">
        <v>74</v>
      </c>
      <c r="D282" t="s">
        <v>74</v>
      </c>
      <c r="E282" t="s">
        <v>74</v>
      </c>
      <c r="F282" t="s">
        <v>5654</v>
      </c>
      <c r="G282" t="s">
        <v>74</v>
      </c>
      <c r="H282" t="s">
        <v>74</v>
      </c>
      <c r="I282" t="s">
        <v>5655</v>
      </c>
      <c r="J282" t="s">
        <v>5656</v>
      </c>
      <c r="K282" t="s">
        <v>74</v>
      </c>
      <c r="L282" t="s">
        <v>74</v>
      </c>
      <c r="M282" t="s">
        <v>78</v>
      </c>
      <c r="N282" t="s">
        <v>1297</v>
      </c>
      <c r="O282" t="s">
        <v>74</v>
      </c>
      <c r="P282" t="s">
        <v>74</v>
      </c>
      <c r="Q282" t="s">
        <v>74</v>
      </c>
      <c r="R282" t="s">
        <v>74</v>
      </c>
      <c r="S282" t="s">
        <v>74</v>
      </c>
      <c r="T282" t="s">
        <v>74</v>
      </c>
      <c r="U282" t="s">
        <v>74</v>
      </c>
      <c r="V282" t="s">
        <v>74</v>
      </c>
      <c r="W282" t="s">
        <v>5657</v>
      </c>
      <c r="X282" t="s">
        <v>5658</v>
      </c>
      <c r="Y282" t="s">
        <v>5659</v>
      </c>
      <c r="Z282" t="s">
        <v>74</v>
      </c>
      <c r="AA282" t="s">
        <v>74</v>
      </c>
      <c r="AB282" t="s">
        <v>74</v>
      </c>
      <c r="AC282" t="s">
        <v>5660</v>
      </c>
      <c r="AD282" t="s">
        <v>5661</v>
      </c>
      <c r="AE282" t="s">
        <v>5662</v>
      </c>
      <c r="AF282" t="s">
        <v>74</v>
      </c>
      <c r="AG282">
        <v>0</v>
      </c>
      <c r="AH282">
        <v>0</v>
      </c>
      <c r="AI282">
        <v>0</v>
      </c>
      <c r="AJ282">
        <v>0</v>
      </c>
      <c r="AK282">
        <v>0</v>
      </c>
      <c r="AL282" t="s">
        <v>87</v>
      </c>
      <c r="AM282" t="s">
        <v>88</v>
      </c>
      <c r="AN282" t="s">
        <v>89</v>
      </c>
      <c r="AO282" t="s">
        <v>5663</v>
      </c>
      <c r="AP282" t="s">
        <v>5664</v>
      </c>
      <c r="AQ282" t="s">
        <v>74</v>
      </c>
      <c r="AR282" t="s">
        <v>5665</v>
      </c>
      <c r="AS282" t="s">
        <v>5666</v>
      </c>
      <c r="AT282" t="s">
        <v>5522</v>
      </c>
      <c r="AU282">
        <v>2023</v>
      </c>
      <c r="AV282" t="s">
        <v>74</v>
      </c>
      <c r="AW282" t="s">
        <v>74</v>
      </c>
      <c r="AX282" t="s">
        <v>74</v>
      </c>
      <c r="AY282" t="s">
        <v>74</v>
      </c>
      <c r="AZ282" t="s">
        <v>74</v>
      </c>
      <c r="BA282" t="s">
        <v>74</v>
      </c>
      <c r="BB282" t="s">
        <v>74</v>
      </c>
      <c r="BC282" t="s">
        <v>74</v>
      </c>
      <c r="BD282" t="s">
        <v>74</v>
      </c>
      <c r="BE282" t="s">
        <v>5667</v>
      </c>
      <c r="BF282" t="str">
        <f>HYPERLINK("http://dx.doi.org/10.1111/jmp.12672","http://dx.doi.org/10.1111/jmp.12672")</f>
        <v>http://dx.doi.org/10.1111/jmp.12672</v>
      </c>
      <c r="BG282" t="s">
        <v>74</v>
      </c>
      <c r="BH282" t="s">
        <v>407</v>
      </c>
      <c r="BI282">
        <v>1</v>
      </c>
      <c r="BJ282" t="s">
        <v>5668</v>
      </c>
      <c r="BK282" t="s">
        <v>119</v>
      </c>
      <c r="BL282" t="s">
        <v>5668</v>
      </c>
      <c r="BM282" t="s">
        <v>5669</v>
      </c>
      <c r="BN282">
        <v>37674272</v>
      </c>
      <c r="BO282" t="s">
        <v>74</v>
      </c>
      <c r="BP282" t="s">
        <v>74</v>
      </c>
      <c r="BQ282" t="s">
        <v>74</v>
      </c>
      <c r="BR282" t="s">
        <v>99</v>
      </c>
      <c r="BS282" t="s">
        <v>5670</v>
      </c>
      <c r="BT282" t="str">
        <f>HYPERLINK("https%3A%2F%2Fwww.webofscience.com%2Fwos%2Fwoscc%2Ffull-record%2FWOS:001064295900001","View Full Record in Web of Science")</f>
        <v>View Full Record in Web of Science</v>
      </c>
    </row>
    <row r="283" spans="1:72" x14ac:dyDescent="0.15">
      <c r="A283" t="s">
        <v>72</v>
      </c>
      <c r="B283" t="s">
        <v>5671</v>
      </c>
      <c r="C283" t="s">
        <v>74</v>
      </c>
      <c r="D283" t="s">
        <v>74</v>
      </c>
      <c r="E283" t="s">
        <v>74</v>
      </c>
      <c r="F283" t="s">
        <v>5672</v>
      </c>
      <c r="G283" t="s">
        <v>74</v>
      </c>
      <c r="H283" t="s">
        <v>74</v>
      </c>
      <c r="I283" t="s">
        <v>5673</v>
      </c>
      <c r="J283" t="s">
        <v>5674</v>
      </c>
      <c r="K283" t="s">
        <v>74</v>
      </c>
      <c r="L283" t="s">
        <v>74</v>
      </c>
      <c r="M283" t="s">
        <v>78</v>
      </c>
      <c r="N283" t="s">
        <v>338</v>
      </c>
      <c r="O283" t="s">
        <v>74</v>
      </c>
      <c r="P283" t="s">
        <v>74</v>
      </c>
      <c r="Q283" t="s">
        <v>74</v>
      </c>
      <c r="R283" t="s">
        <v>74</v>
      </c>
      <c r="S283" t="s">
        <v>74</v>
      </c>
      <c r="T283" t="s">
        <v>5675</v>
      </c>
      <c r="U283" t="s">
        <v>5676</v>
      </c>
      <c r="V283" t="s">
        <v>5677</v>
      </c>
      <c r="W283" t="s">
        <v>5678</v>
      </c>
      <c r="X283" t="s">
        <v>5679</v>
      </c>
      <c r="Y283" t="s">
        <v>5680</v>
      </c>
      <c r="Z283" t="s">
        <v>5681</v>
      </c>
      <c r="AA283" t="s">
        <v>74</v>
      </c>
      <c r="AB283" t="s">
        <v>5682</v>
      </c>
      <c r="AC283" t="s">
        <v>5683</v>
      </c>
      <c r="AD283" t="s">
        <v>5684</v>
      </c>
      <c r="AE283" t="s">
        <v>5685</v>
      </c>
      <c r="AF283" t="s">
        <v>74</v>
      </c>
      <c r="AG283">
        <v>45</v>
      </c>
      <c r="AH283">
        <v>0</v>
      </c>
      <c r="AI283">
        <v>0</v>
      </c>
      <c r="AJ283">
        <v>0</v>
      </c>
      <c r="AK283">
        <v>0</v>
      </c>
      <c r="AL283" t="s">
        <v>87</v>
      </c>
      <c r="AM283" t="s">
        <v>88</v>
      </c>
      <c r="AN283" t="s">
        <v>89</v>
      </c>
      <c r="AO283" t="s">
        <v>5686</v>
      </c>
      <c r="AP283" t="s">
        <v>5687</v>
      </c>
      <c r="AQ283" t="s">
        <v>74</v>
      </c>
      <c r="AR283" t="s">
        <v>5688</v>
      </c>
      <c r="AS283" t="s">
        <v>5689</v>
      </c>
      <c r="AT283" t="s">
        <v>5522</v>
      </c>
      <c r="AU283">
        <v>2023</v>
      </c>
      <c r="AV283" t="s">
        <v>74</v>
      </c>
      <c r="AW283" t="s">
        <v>74</v>
      </c>
      <c r="AX283" t="s">
        <v>74</v>
      </c>
      <c r="AY283" t="s">
        <v>74</v>
      </c>
      <c r="AZ283" t="s">
        <v>74</v>
      </c>
      <c r="BA283" t="s">
        <v>74</v>
      </c>
      <c r="BB283" t="s">
        <v>74</v>
      </c>
      <c r="BC283" t="s">
        <v>74</v>
      </c>
      <c r="BD283" t="s">
        <v>74</v>
      </c>
      <c r="BE283" t="s">
        <v>5690</v>
      </c>
      <c r="BF283" t="str">
        <f>HYPERLINK("http://dx.doi.org/10.1111/hepr.13962","http://dx.doi.org/10.1111/hepr.13962")</f>
        <v>http://dx.doi.org/10.1111/hepr.13962</v>
      </c>
      <c r="BG283" t="s">
        <v>74</v>
      </c>
      <c r="BH283" t="s">
        <v>407</v>
      </c>
      <c r="BI283">
        <v>11</v>
      </c>
      <c r="BJ283" t="s">
        <v>95</v>
      </c>
      <c r="BK283" t="s">
        <v>119</v>
      </c>
      <c r="BL283" t="s">
        <v>95</v>
      </c>
      <c r="BM283" t="s">
        <v>5691</v>
      </c>
      <c r="BN283">
        <v>37638483</v>
      </c>
      <c r="BO283" t="s">
        <v>74</v>
      </c>
      <c r="BP283" t="s">
        <v>74</v>
      </c>
      <c r="BQ283" t="s">
        <v>74</v>
      </c>
      <c r="BR283" t="s">
        <v>99</v>
      </c>
      <c r="BS283" t="s">
        <v>5692</v>
      </c>
      <c r="BT283" t="str">
        <f>HYPERLINK("https%3A%2F%2Fwww.webofscience.com%2Fwos%2Fwoscc%2Ffull-record%2FWOS:001062173900001","View Full Record in Web of Science")</f>
        <v>View Full Record in Web of Science</v>
      </c>
    </row>
    <row r="284" spans="1:72" x14ac:dyDescent="0.15">
      <c r="A284" t="s">
        <v>72</v>
      </c>
      <c r="B284" t="s">
        <v>5693</v>
      </c>
      <c r="C284" t="s">
        <v>74</v>
      </c>
      <c r="D284" t="s">
        <v>74</v>
      </c>
      <c r="E284" t="s">
        <v>74</v>
      </c>
      <c r="F284" t="s">
        <v>5694</v>
      </c>
      <c r="G284" t="s">
        <v>74</v>
      </c>
      <c r="H284" t="s">
        <v>74</v>
      </c>
      <c r="I284" t="s">
        <v>5695</v>
      </c>
      <c r="J284" t="s">
        <v>5696</v>
      </c>
      <c r="K284" t="s">
        <v>74</v>
      </c>
      <c r="L284" t="s">
        <v>74</v>
      </c>
      <c r="M284" t="s">
        <v>78</v>
      </c>
      <c r="N284" t="s">
        <v>338</v>
      </c>
      <c r="O284" t="s">
        <v>74</v>
      </c>
      <c r="P284" t="s">
        <v>74</v>
      </c>
      <c r="Q284" t="s">
        <v>74</v>
      </c>
      <c r="R284" t="s">
        <v>74</v>
      </c>
      <c r="S284" t="s">
        <v>74</v>
      </c>
      <c r="T284" t="s">
        <v>5697</v>
      </c>
      <c r="U284" t="s">
        <v>5698</v>
      </c>
      <c r="V284" t="s">
        <v>5699</v>
      </c>
      <c r="W284" t="s">
        <v>5700</v>
      </c>
      <c r="X284" t="s">
        <v>5701</v>
      </c>
      <c r="Y284" t="s">
        <v>5702</v>
      </c>
      <c r="Z284" t="s">
        <v>5703</v>
      </c>
      <c r="AA284" t="s">
        <v>74</v>
      </c>
      <c r="AB284" t="s">
        <v>5704</v>
      </c>
      <c r="AC284" t="s">
        <v>74</v>
      </c>
      <c r="AD284" t="s">
        <v>74</v>
      </c>
      <c r="AE284" t="s">
        <v>74</v>
      </c>
      <c r="AF284" t="s">
        <v>74</v>
      </c>
      <c r="AG284">
        <v>48</v>
      </c>
      <c r="AH284">
        <v>0</v>
      </c>
      <c r="AI284">
        <v>0</v>
      </c>
      <c r="AJ284">
        <v>0</v>
      </c>
      <c r="AK284">
        <v>0</v>
      </c>
      <c r="AL284" t="s">
        <v>87</v>
      </c>
      <c r="AM284" t="s">
        <v>88</v>
      </c>
      <c r="AN284" t="s">
        <v>89</v>
      </c>
      <c r="AO284" t="s">
        <v>5705</v>
      </c>
      <c r="AP284" t="s">
        <v>5706</v>
      </c>
      <c r="AQ284" t="s">
        <v>74</v>
      </c>
      <c r="AR284" t="s">
        <v>5707</v>
      </c>
      <c r="AS284" t="s">
        <v>5708</v>
      </c>
      <c r="AT284" t="s">
        <v>5522</v>
      </c>
      <c r="AU284">
        <v>2023</v>
      </c>
      <c r="AV284" t="s">
        <v>74</v>
      </c>
      <c r="AW284" t="s">
        <v>74</v>
      </c>
      <c r="AX284" t="s">
        <v>74</v>
      </c>
      <c r="AY284" t="s">
        <v>74</v>
      </c>
      <c r="AZ284" t="s">
        <v>74</v>
      </c>
      <c r="BA284" t="s">
        <v>74</v>
      </c>
      <c r="BB284" t="s">
        <v>74</v>
      </c>
      <c r="BC284" t="s">
        <v>74</v>
      </c>
      <c r="BD284" t="s">
        <v>74</v>
      </c>
      <c r="BE284" t="s">
        <v>5709</v>
      </c>
      <c r="BF284" t="str">
        <f>HYPERLINK("http://dx.doi.org/10.1002/asmb.2814","http://dx.doi.org/10.1002/asmb.2814")</f>
        <v>http://dx.doi.org/10.1002/asmb.2814</v>
      </c>
      <c r="BG284" t="s">
        <v>74</v>
      </c>
      <c r="BH284" t="s">
        <v>407</v>
      </c>
      <c r="BI284">
        <v>26</v>
      </c>
      <c r="BJ284" t="s">
        <v>5710</v>
      </c>
      <c r="BK284" t="s">
        <v>119</v>
      </c>
      <c r="BL284" t="s">
        <v>5711</v>
      </c>
      <c r="BM284" t="s">
        <v>5712</v>
      </c>
      <c r="BN284" t="s">
        <v>74</v>
      </c>
      <c r="BO284" t="s">
        <v>5713</v>
      </c>
      <c r="BP284" t="s">
        <v>74</v>
      </c>
      <c r="BQ284" t="s">
        <v>74</v>
      </c>
      <c r="BR284" t="s">
        <v>99</v>
      </c>
      <c r="BS284" t="s">
        <v>5714</v>
      </c>
      <c r="BT284" t="str">
        <f>HYPERLINK("https%3A%2F%2Fwww.webofscience.com%2Fwos%2Fwoscc%2Ffull-record%2FWOS:001062989400001","View Full Record in Web of Science")</f>
        <v>View Full Record in Web of Science</v>
      </c>
    </row>
    <row r="285" spans="1:72" x14ac:dyDescent="0.15">
      <c r="A285" t="s">
        <v>72</v>
      </c>
      <c r="B285" t="s">
        <v>5715</v>
      </c>
      <c r="C285" t="s">
        <v>74</v>
      </c>
      <c r="D285" t="s">
        <v>74</v>
      </c>
      <c r="E285" t="s">
        <v>74</v>
      </c>
      <c r="F285" t="s">
        <v>5716</v>
      </c>
      <c r="G285" t="s">
        <v>74</v>
      </c>
      <c r="H285" t="s">
        <v>74</v>
      </c>
      <c r="I285" t="s">
        <v>5717</v>
      </c>
      <c r="J285" t="s">
        <v>5718</v>
      </c>
      <c r="K285" t="s">
        <v>74</v>
      </c>
      <c r="L285" t="s">
        <v>74</v>
      </c>
      <c r="M285" t="s">
        <v>78</v>
      </c>
      <c r="N285" t="s">
        <v>594</v>
      </c>
      <c r="O285" t="s">
        <v>74</v>
      </c>
      <c r="P285" t="s">
        <v>74</v>
      </c>
      <c r="Q285" t="s">
        <v>74</v>
      </c>
      <c r="R285" t="s">
        <v>74</v>
      </c>
      <c r="S285" t="s">
        <v>74</v>
      </c>
      <c r="T285" t="s">
        <v>5719</v>
      </c>
      <c r="U285" t="s">
        <v>5720</v>
      </c>
      <c r="V285" t="s">
        <v>5721</v>
      </c>
      <c r="W285" t="s">
        <v>5722</v>
      </c>
      <c r="X285" t="s">
        <v>5723</v>
      </c>
      <c r="Y285" t="s">
        <v>5724</v>
      </c>
      <c r="Z285" t="s">
        <v>5725</v>
      </c>
      <c r="AA285" t="s">
        <v>74</v>
      </c>
      <c r="AB285" t="s">
        <v>5726</v>
      </c>
      <c r="AC285" t="s">
        <v>74</v>
      </c>
      <c r="AD285" t="s">
        <v>74</v>
      </c>
      <c r="AE285" t="s">
        <v>74</v>
      </c>
      <c r="AF285" t="s">
        <v>74</v>
      </c>
      <c r="AG285">
        <v>153</v>
      </c>
      <c r="AH285">
        <v>0</v>
      </c>
      <c r="AI285">
        <v>0</v>
      </c>
      <c r="AJ285">
        <v>1</v>
      </c>
      <c r="AK285">
        <v>1</v>
      </c>
      <c r="AL285" t="s">
        <v>87</v>
      </c>
      <c r="AM285" t="s">
        <v>88</v>
      </c>
      <c r="AN285" t="s">
        <v>89</v>
      </c>
      <c r="AO285" t="s">
        <v>5727</v>
      </c>
      <c r="AP285" t="s">
        <v>5728</v>
      </c>
      <c r="AQ285" t="s">
        <v>74</v>
      </c>
      <c r="AR285" t="s">
        <v>5729</v>
      </c>
      <c r="AS285" t="s">
        <v>5730</v>
      </c>
      <c r="AT285" t="s">
        <v>5522</v>
      </c>
      <c r="AU285">
        <v>2023</v>
      </c>
      <c r="AV285" t="s">
        <v>74</v>
      </c>
      <c r="AW285" t="s">
        <v>74</v>
      </c>
      <c r="AX285" t="s">
        <v>74</v>
      </c>
      <c r="AY285" t="s">
        <v>74</v>
      </c>
      <c r="AZ285" t="s">
        <v>74</v>
      </c>
      <c r="BA285" t="s">
        <v>74</v>
      </c>
      <c r="BB285" t="s">
        <v>74</v>
      </c>
      <c r="BC285" t="s">
        <v>74</v>
      </c>
      <c r="BD285" t="s">
        <v>74</v>
      </c>
      <c r="BE285" t="s">
        <v>5731</v>
      </c>
      <c r="BF285" t="str">
        <f>HYPERLINK("http://dx.doi.org/10.1002/eji.202149510","http://dx.doi.org/10.1002/eji.202149510")</f>
        <v>http://dx.doi.org/10.1002/eji.202149510</v>
      </c>
      <c r="BG285" t="s">
        <v>74</v>
      </c>
      <c r="BH285" t="s">
        <v>407</v>
      </c>
      <c r="BI285">
        <v>16</v>
      </c>
      <c r="BJ285" t="s">
        <v>5234</v>
      </c>
      <c r="BK285" t="s">
        <v>119</v>
      </c>
      <c r="BL285" t="s">
        <v>5234</v>
      </c>
      <c r="BM285" t="s">
        <v>5732</v>
      </c>
      <c r="BN285">
        <v>37572379</v>
      </c>
      <c r="BO285" t="s">
        <v>122</v>
      </c>
      <c r="BP285" t="s">
        <v>74</v>
      </c>
      <c r="BQ285" t="s">
        <v>74</v>
      </c>
      <c r="BR285" t="s">
        <v>99</v>
      </c>
      <c r="BS285" t="s">
        <v>5733</v>
      </c>
      <c r="BT285" t="str">
        <f>HYPERLINK("https%3A%2F%2Fwww.webofscience.com%2Fwos%2Fwoscc%2Ffull-record%2FWOS:001059041400001","View Full Record in Web of Science")</f>
        <v>View Full Record in Web of Science</v>
      </c>
    </row>
    <row r="286" spans="1:72" x14ac:dyDescent="0.15">
      <c r="A286" t="s">
        <v>72</v>
      </c>
      <c r="B286" t="s">
        <v>5734</v>
      </c>
      <c r="C286" t="s">
        <v>74</v>
      </c>
      <c r="D286" t="s">
        <v>74</v>
      </c>
      <c r="E286" t="s">
        <v>74</v>
      </c>
      <c r="F286" t="s">
        <v>5735</v>
      </c>
      <c r="G286" t="s">
        <v>74</v>
      </c>
      <c r="H286" t="s">
        <v>74</v>
      </c>
      <c r="I286" t="s">
        <v>5736</v>
      </c>
      <c r="J286" t="s">
        <v>5737</v>
      </c>
      <c r="K286" t="s">
        <v>74</v>
      </c>
      <c r="L286" t="s">
        <v>74</v>
      </c>
      <c r="M286" t="s">
        <v>78</v>
      </c>
      <c r="N286" t="s">
        <v>338</v>
      </c>
      <c r="O286" t="s">
        <v>74</v>
      </c>
      <c r="P286" t="s">
        <v>74</v>
      </c>
      <c r="Q286" t="s">
        <v>74</v>
      </c>
      <c r="R286" t="s">
        <v>74</v>
      </c>
      <c r="S286" t="s">
        <v>74</v>
      </c>
      <c r="T286" t="s">
        <v>5738</v>
      </c>
      <c r="U286" t="s">
        <v>5739</v>
      </c>
      <c r="V286" t="s">
        <v>5740</v>
      </c>
      <c r="W286" t="s">
        <v>5741</v>
      </c>
      <c r="X286" t="s">
        <v>5742</v>
      </c>
      <c r="Y286" t="s">
        <v>5743</v>
      </c>
      <c r="Z286" t="s">
        <v>5744</v>
      </c>
      <c r="AA286" t="s">
        <v>74</v>
      </c>
      <c r="AB286" t="s">
        <v>74</v>
      </c>
      <c r="AC286" t="s">
        <v>5745</v>
      </c>
      <c r="AD286" t="s">
        <v>3742</v>
      </c>
      <c r="AE286" t="s">
        <v>5746</v>
      </c>
      <c r="AF286" t="s">
        <v>74</v>
      </c>
      <c r="AG286">
        <v>38</v>
      </c>
      <c r="AH286">
        <v>0</v>
      </c>
      <c r="AI286">
        <v>0</v>
      </c>
      <c r="AJ286">
        <v>0</v>
      </c>
      <c r="AK286">
        <v>0</v>
      </c>
      <c r="AL286" t="s">
        <v>87</v>
      </c>
      <c r="AM286" t="s">
        <v>88</v>
      </c>
      <c r="AN286" t="s">
        <v>89</v>
      </c>
      <c r="AO286" t="s">
        <v>5747</v>
      </c>
      <c r="AP286" t="s">
        <v>5748</v>
      </c>
      <c r="AQ286" t="s">
        <v>74</v>
      </c>
      <c r="AR286" t="s">
        <v>5749</v>
      </c>
      <c r="AS286" t="s">
        <v>5750</v>
      </c>
      <c r="AT286" t="s">
        <v>5522</v>
      </c>
      <c r="AU286">
        <v>2023</v>
      </c>
      <c r="AV286" t="s">
        <v>74</v>
      </c>
      <c r="AW286" t="s">
        <v>74</v>
      </c>
      <c r="AX286" t="s">
        <v>74</v>
      </c>
      <c r="AY286" t="s">
        <v>74</v>
      </c>
      <c r="AZ286" t="s">
        <v>74</v>
      </c>
      <c r="BA286" t="s">
        <v>74</v>
      </c>
      <c r="BB286" t="s">
        <v>74</v>
      </c>
      <c r="BC286" t="s">
        <v>74</v>
      </c>
      <c r="BD286" t="s">
        <v>5751</v>
      </c>
      <c r="BE286" t="s">
        <v>5752</v>
      </c>
      <c r="BF286" t="str">
        <f>HYPERLINK("http://dx.doi.org/10.1002/arch.22051","http://dx.doi.org/10.1002/arch.22051")</f>
        <v>http://dx.doi.org/10.1002/arch.22051</v>
      </c>
      <c r="BG286" t="s">
        <v>74</v>
      </c>
      <c r="BH286" t="s">
        <v>407</v>
      </c>
      <c r="BI286">
        <v>9</v>
      </c>
      <c r="BJ286" t="s">
        <v>5753</v>
      </c>
      <c r="BK286" t="s">
        <v>119</v>
      </c>
      <c r="BL286" t="s">
        <v>5753</v>
      </c>
      <c r="BM286" t="s">
        <v>5754</v>
      </c>
      <c r="BN286">
        <v>37672308</v>
      </c>
      <c r="BO286" t="s">
        <v>74</v>
      </c>
      <c r="BP286" t="s">
        <v>74</v>
      </c>
      <c r="BQ286" t="s">
        <v>74</v>
      </c>
      <c r="BR286" t="s">
        <v>99</v>
      </c>
      <c r="BS286" t="s">
        <v>5755</v>
      </c>
      <c r="BT286" t="str">
        <f>HYPERLINK("https%3A%2F%2Fwww.webofscience.com%2Fwos%2Fwoscc%2Ffull-record%2FWOS:001062467400001","View Full Record in Web of Science")</f>
        <v>View Full Record in Web of Science</v>
      </c>
    </row>
    <row r="287" spans="1:72" x14ac:dyDescent="0.15">
      <c r="A287" t="s">
        <v>72</v>
      </c>
      <c r="B287" t="s">
        <v>5756</v>
      </c>
      <c r="C287" t="s">
        <v>74</v>
      </c>
      <c r="D287" t="s">
        <v>74</v>
      </c>
      <c r="E287" t="s">
        <v>74</v>
      </c>
      <c r="F287" t="s">
        <v>5757</v>
      </c>
      <c r="G287" t="s">
        <v>74</v>
      </c>
      <c r="H287" t="s">
        <v>74</v>
      </c>
      <c r="I287" t="s">
        <v>5758</v>
      </c>
      <c r="J287" t="s">
        <v>4340</v>
      </c>
      <c r="K287" t="s">
        <v>74</v>
      </c>
      <c r="L287" t="s">
        <v>74</v>
      </c>
      <c r="M287" t="s">
        <v>78</v>
      </c>
      <c r="N287" t="s">
        <v>338</v>
      </c>
      <c r="O287" t="s">
        <v>74</v>
      </c>
      <c r="P287" t="s">
        <v>74</v>
      </c>
      <c r="Q287" t="s">
        <v>74</v>
      </c>
      <c r="R287" t="s">
        <v>74</v>
      </c>
      <c r="S287" t="s">
        <v>74</v>
      </c>
      <c r="T287" t="s">
        <v>5759</v>
      </c>
      <c r="U287" t="s">
        <v>5760</v>
      </c>
      <c r="V287" t="s">
        <v>5761</v>
      </c>
      <c r="W287" t="s">
        <v>5762</v>
      </c>
      <c r="X287" t="s">
        <v>5763</v>
      </c>
      <c r="Y287" t="s">
        <v>5764</v>
      </c>
      <c r="Z287" t="s">
        <v>5765</v>
      </c>
      <c r="AA287" t="s">
        <v>5766</v>
      </c>
      <c r="AB287" t="s">
        <v>5767</v>
      </c>
      <c r="AC287" t="s">
        <v>5768</v>
      </c>
      <c r="AD287" t="s">
        <v>5769</v>
      </c>
      <c r="AE287" t="s">
        <v>5770</v>
      </c>
      <c r="AF287" t="s">
        <v>74</v>
      </c>
      <c r="AG287">
        <v>32</v>
      </c>
      <c r="AH287">
        <v>0</v>
      </c>
      <c r="AI287">
        <v>0</v>
      </c>
      <c r="AJ287">
        <v>0</v>
      </c>
      <c r="AK287">
        <v>0</v>
      </c>
      <c r="AL287" t="s">
        <v>87</v>
      </c>
      <c r="AM287" t="s">
        <v>88</v>
      </c>
      <c r="AN287" t="s">
        <v>89</v>
      </c>
      <c r="AO287" t="s">
        <v>4353</v>
      </c>
      <c r="AP287" t="s">
        <v>4354</v>
      </c>
      <c r="AQ287" t="s">
        <v>74</v>
      </c>
      <c r="AR287" t="s">
        <v>4355</v>
      </c>
      <c r="AS287" t="s">
        <v>4356</v>
      </c>
      <c r="AT287" t="s">
        <v>5522</v>
      </c>
      <c r="AU287">
        <v>2023</v>
      </c>
      <c r="AV287" t="s">
        <v>74</v>
      </c>
      <c r="AW287" t="s">
        <v>74</v>
      </c>
      <c r="AX287" t="s">
        <v>74</v>
      </c>
      <c r="AY287" t="s">
        <v>74</v>
      </c>
      <c r="AZ287" t="s">
        <v>74</v>
      </c>
      <c r="BA287" t="s">
        <v>74</v>
      </c>
      <c r="BB287" t="s">
        <v>74</v>
      </c>
      <c r="BC287" t="s">
        <v>74</v>
      </c>
      <c r="BD287" t="s">
        <v>74</v>
      </c>
      <c r="BE287" t="s">
        <v>5771</v>
      </c>
      <c r="BF287" t="str">
        <f>HYPERLINK("http://dx.doi.org/10.1002/ijc.34715","http://dx.doi.org/10.1002/ijc.34715")</f>
        <v>http://dx.doi.org/10.1002/ijc.34715</v>
      </c>
      <c r="BG287" t="s">
        <v>74</v>
      </c>
      <c r="BH287" t="s">
        <v>407</v>
      </c>
      <c r="BI287">
        <v>11</v>
      </c>
      <c r="BJ287" t="s">
        <v>789</v>
      </c>
      <c r="BK287" t="s">
        <v>119</v>
      </c>
      <c r="BL287" t="s">
        <v>789</v>
      </c>
      <c r="BM287" t="s">
        <v>5772</v>
      </c>
      <c r="BN287">
        <v>37671617</v>
      </c>
      <c r="BO287" t="s">
        <v>74</v>
      </c>
      <c r="BP287" t="s">
        <v>74</v>
      </c>
      <c r="BQ287" t="s">
        <v>74</v>
      </c>
      <c r="BR287" t="s">
        <v>99</v>
      </c>
      <c r="BS287" t="s">
        <v>5773</v>
      </c>
      <c r="BT287" t="str">
        <f>HYPERLINK("https%3A%2F%2Fwww.webofscience.com%2Fwos%2Fwoscc%2Ffull-record%2FWOS:001062824400001","View Full Record in Web of Science")</f>
        <v>View Full Record in Web of Science</v>
      </c>
    </row>
    <row r="288" spans="1:72" x14ac:dyDescent="0.15">
      <c r="A288" t="s">
        <v>72</v>
      </c>
      <c r="B288" t="s">
        <v>5774</v>
      </c>
      <c r="C288" t="s">
        <v>74</v>
      </c>
      <c r="D288" t="s">
        <v>74</v>
      </c>
      <c r="E288" t="s">
        <v>74</v>
      </c>
      <c r="F288" t="s">
        <v>5775</v>
      </c>
      <c r="G288" t="s">
        <v>74</v>
      </c>
      <c r="H288" t="s">
        <v>74</v>
      </c>
      <c r="I288" t="s">
        <v>5776</v>
      </c>
      <c r="J288" t="s">
        <v>5777</v>
      </c>
      <c r="K288" t="s">
        <v>74</v>
      </c>
      <c r="L288" t="s">
        <v>74</v>
      </c>
      <c r="M288" t="s">
        <v>78</v>
      </c>
      <c r="N288" t="s">
        <v>338</v>
      </c>
      <c r="O288" t="s">
        <v>74</v>
      </c>
      <c r="P288" t="s">
        <v>74</v>
      </c>
      <c r="Q288" t="s">
        <v>74</v>
      </c>
      <c r="R288" t="s">
        <v>74</v>
      </c>
      <c r="S288" t="s">
        <v>74</v>
      </c>
      <c r="T288" t="s">
        <v>5778</v>
      </c>
      <c r="U288" t="s">
        <v>5779</v>
      </c>
      <c r="V288" t="s">
        <v>5780</v>
      </c>
      <c r="W288" t="s">
        <v>5781</v>
      </c>
      <c r="X288" t="s">
        <v>4797</v>
      </c>
      <c r="Y288" t="s">
        <v>5782</v>
      </c>
      <c r="Z288" t="s">
        <v>5783</v>
      </c>
      <c r="AA288" t="s">
        <v>74</v>
      </c>
      <c r="AB288" t="s">
        <v>74</v>
      </c>
      <c r="AC288" t="s">
        <v>5784</v>
      </c>
      <c r="AD288" t="s">
        <v>3742</v>
      </c>
      <c r="AE288" t="s">
        <v>5785</v>
      </c>
      <c r="AF288" t="s">
        <v>74</v>
      </c>
      <c r="AG288">
        <v>46</v>
      </c>
      <c r="AH288">
        <v>0</v>
      </c>
      <c r="AI288">
        <v>0</v>
      </c>
      <c r="AJ288">
        <v>0</v>
      </c>
      <c r="AK288">
        <v>0</v>
      </c>
      <c r="AL288" t="s">
        <v>87</v>
      </c>
      <c r="AM288" t="s">
        <v>88</v>
      </c>
      <c r="AN288" t="s">
        <v>89</v>
      </c>
      <c r="AO288" t="s">
        <v>5786</v>
      </c>
      <c r="AP288" t="s">
        <v>5787</v>
      </c>
      <c r="AQ288" t="s">
        <v>74</v>
      </c>
      <c r="AR288" t="s">
        <v>5788</v>
      </c>
      <c r="AS288" t="s">
        <v>5789</v>
      </c>
      <c r="AT288" t="s">
        <v>5522</v>
      </c>
      <c r="AU288">
        <v>2023</v>
      </c>
      <c r="AV288" t="s">
        <v>74</v>
      </c>
      <c r="AW288" t="s">
        <v>74</v>
      </c>
      <c r="AX288" t="s">
        <v>74</v>
      </c>
      <c r="AY288" t="s">
        <v>74</v>
      </c>
      <c r="AZ288" t="s">
        <v>74</v>
      </c>
      <c r="BA288" t="s">
        <v>74</v>
      </c>
      <c r="BB288" t="s">
        <v>74</v>
      </c>
      <c r="BC288" t="s">
        <v>74</v>
      </c>
      <c r="BD288" t="s">
        <v>74</v>
      </c>
      <c r="BE288" t="s">
        <v>5790</v>
      </c>
      <c r="BF288" t="str">
        <f>HYPERLINK("http://dx.doi.org/10.1002/mnfr.202300144","http://dx.doi.org/10.1002/mnfr.202300144")</f>
        <v>http://dx.doi.org/10.1002/mnfr.202300144</v>
      </c>
      <c r="BG288" t="s">
        <v>74</v>
      </c>
      <c r="BH288" t="s">
        <v>407</v>
      </c>
      <c r="BI288">
        <v>10</v>
      </c>
      <c r="BJ288" t="s">
        <v>433</v>
      </c>
      <c r="BK288" t="s">
        <v>119</v>
      </c>
      <c r="BL288" t="s">
        <v>433</v>
      </c>
      <c r="BM288" t="s">
        <v>5791</v>
      </c>
      <c r="BN288">
        <v>37672799</v>
      </c>
      <c r="BO288" t="s">
        <v>301</v>
      </c>
      <c r="BP288" t="s">
        <v>74</v>
      </c>
      <c r="BQ288" t="s">
        <v>74</v>
      </c>
      <c r="BR288" t="s">
        <v>99</v>
      </c>
      <c r="BS288" t="s">
        <v>5792</v>
      </c>
      <c r="BT288" t="str">
        <f>HYPERLINK("https%3A%2F%2Fwww.webofscience.com%2Fwos%2Fwoscc%2Ffull-record%2FWOS:001059261000001","View Full Record in Web of Science")</f>
        <v>View Full Record in Web of Science</v>
      </c>
    </row>
    <row r="289" spans="1:72" x14ac:dyDescent="0.15">
      <c r="A289" t="s">
        <v>72</v>
      </c>
      <c r="B289" t="s">
        <v>5793</v>
      </c>
      <c r="C289" t="s">
        <v>74</v>
      </c>
      <c r="D289" t="s">
        <v>74</v>
      </c>
      <c r="E289" t="s">
        <v>74</v>
      </c>
      <c r="F289" t="s">
        <v>5794</v>
      </c>
      <c r="G289" t="s">
        <v>74</v>
      </c>
      <c r="H289" t="s">
        <v>74</v>
      </c>
      <c r="I289" t="s">
        <v>5795</v>
      </c>
      <c r="J289" t="s">
        <v>5796</v>
      </c>
      <c r="K289" t="s">
        <v>74</v>
      </c>
      <c r="L289" t="s">
        <v>74</v>
      </c>
      <c r="M289" t="s">
        <v>78</v>
      </c>
      <c r="N289" t="s">
        <v>338</v>
      </c>
      <c r="O289" t="s">
        <v>74</v>
      </c>
      <c r="P289" t="s">
        <v>74</v>
      </c>
      <c r="Q289" t="s">
        <v>74</v>
      </c>
      <c r="R289" t="s">
        <v>74</v>
      </c>
      <c r="S289" t="s">
        <v>74</v>
      </c>
      <c r="T289" t="s">
        <v>5797</v>
      </c>
      <c r="U289" t="s">
        <v>5798</v>
      </c>
      <c r="V289" t="s">
        <v>5799</v>
      </c>
      <c r="W289" t="s">
        <v>5800</v>
      </c>
      <c r="X289" t="s">
        <v>5801</v>
      </c>
      <c r="Y289" t="s">
        <v>5802</v>
      </c>
      <c r="Z289" t="s">
        <v>5803</v>
      </c>
      <c r="AA289" t="s">
        <v>74</v>
      </c>
      <c r="AB289" t="s">
        <v>74</v>
      </c>
      <c r="AC289" t="s">
        <v>5804</v>
      </c>
      <c r="AD289" t="s">
        <v>5804</v>
      </c>
      <c r="AE289" t="s">
        <v>5804</v>
      </c>
      <c r="AF289" t="s">
        <v>74</v>
      </c>
      <c r="AG289">
        <v>48</v>
      </c>
      <c r="AH289">
        <v>0</v>
      </c>
      <c r="AI289">
        <v>0</v>
      </c>
      <c r="AJ289">
        <v>0</v>
      </c>
      <c r="AK289">
        <v>0</v>
      </c>
      <c r="AL289" t="s">
        <v>87</v>
      </c>
      <c r="AM289" t="s">
        <v>88</v>
      </c>
      <c r="AN289" t="s">
        <v>89</v>
      </c>
      <c r="AO289" t="s">
        <v>5805</v>
      </c>
      <c r="AP289" t="s">
        <v>5806</v>
      </c>
      <c r="AQ289" t="s">
        <v>74</v>
      </c>
      <c r="AR289" t="s">
        <v>5807</v>
      </c>
      <c r="AS289" t="s">
        <v>5808</v>
      </c>
      <c r="AT289" t="s">
        <v>5809</v>
      </c>
      <c r="AU289">
        <v>2023</v>
      </c>
      <c r="AV289" t="s">
        <v>74</v>
      </c>
      <c r="AW289" t="s">
        <v>74</v>
      </c>
      <c r="AX289" t="s">
        <v>74</v>
      </c>
      <c r="AY289" t="s">
        <v>74</v>
      </c>
      <c r="AZ289" t="s">
        <v>74</v>
      </c>
      <c r="BA289" t="s">
        <v>74</v>
      </c>
      <c r="BB289" t="s">
        <v>74</v>
      </c>
      <c r="BC289" t="s">
        <v>74</v>
      </c>
      <c r="BD289" t="s">
        <v>74</v>
      </c>
      <c r="BE289" t="s">
        <v>5810</v>
      </c>
      <c r="BF289" t="str">
        <f>HYPERLINK("http://dx.doi.org/10.1111/jan.15848","http://dx.doi.org/10.1111/jan.15848")</f>
        <v>http://dx.doi.org/10.1111/jan.15848</v>
      </c>
      <c r="BG289" t="s">
        <v>74</v>
      </c>
      <c r="BH289" t="s">
        <v>407</v>
      </c>
      <c r="BI289">
        <v>12</v>
      </c>
      <c r="BJ289" t="s">
        <v>5811</v>
      </c>
      <c r="BK289" t="s">
        <v>409</v>
      </c>
      <c r="BL289" t="s">
        <v>5811</v>
      </c>
      <c r="BM289" t="s">
        <v>5812</v>
      </c>
      <c r="BN289">
        <v>37668228</v>
      </c>
      <c r="BO289" t="s">
        <v>74</v>
      </c>
      <c r="BP289" t="s">
        <v>74</v>
      </c>
      <c r="BQ289" t="s">
        <v>74</v>
      </c>
      <c r="BR289" t="s">
        <v>99</v>
      </c>
      <c r="BS289" t="s">
        <v>5813</v>
      </c>
      <c r="BT289" t="str">
        <f>HYPERLINK("https%3A%2F%2Fwww.webofscience.com%2Fwos%2Fwoscc%2Ffull-record%2FWOS:001072365300001","View Full Record in Web of Science")</f>
        <v>View Full Record in Web of Science</v>
      </c>
    </row>
    <row r="290" spans="1:72" x14ac:dyDescent="0.15">
      <c r="A290" t="s">
        <v>72</v>
      </c>
      <c r="B290" t="s">
        <v>5814</v>
      </c>
      <c r="C290" t="s">
        <v>74</v>
      </c>
      <c r="D290" t="s">
        <v>74</v>
      </c>
      <c r="E290" t="s">
        <v>74</v>
      </c>
      <c r="F290" t="s">
        <v>5815</v>
      </c>
      <c r="G290" t="s">
        <v>74</v>
      </c>
      <c r="H290" t="s">
        <v>74</v>
      </c>
      <c r="I290" t="s">
        <v>5816</v>
      </c>
      <c r="J290" t="s">
        <v>5817</v>
      </c>
      <c r="K290" t="s">
        <v>74</v>
      </c>
      <c r="L290" t="s">
        <v>74</v>
      </c>
      <c r="M290" t="s">
        <v>78</v>
      </c>
      <c r="N290" t="s">
        <v>594</v>
      </c>
      <c r="O290" t="s">
        <v>74</v>
      </c>
      <c r="P290" t="s">
        <v>74</v>
      </c>
      <c r="Q290" t="s">
        <v>74</v>
      </c>
      <c r="R290" t="s">
        <v>74</v>
      </c>
      <c r="S290" t="s">
        <v>74</v>
      </c>
      <c r="T290" t="s">
        <v>5818</v>
      </c>
      <c r="U290" t="s">
        <v>5819</v>
      </c>
      <c r="V290" t="s">
        <v>5820</v>
      </c>
      <c r="W290" t="s">
        <v>5821</v>
      </c>
      <c r="X290" t="s">
        <v>5822</v>
      </c>
      <c r="Y290" t="s">
        <v>5823</v>
      </c>
      <c r="Z290" t="s">
        <v>5824</v>
      </c>
      <c r="AA290" t="s">
        <v>74</v>
      </c>
      <c r="AB290" t="s">
        <v>5825</v>
      </c>
      <c r="AC290" t="s">
        <v>74</v>
      </c>
      <c r="AD290" t="s">
        <v>74</v>
      </c>
      <c r="AE290" t="s">
        <v>74</v>
      </c>
      <c r="AF290" t="s">
        <v>74</v>
      </c>
      <c r="AG290">
        <v>84</v>
      </c>
      <c r="AH290">
        <v>0</v>
      </c>
      <c r="AI290">
        <v>0</v>
      </c>
      <c r="AJ290">
        <v>2</v>
      </c>
      <c r="AK290">
        <v>2</v>
      </c>
      <c r="AL290" t="s">
        <v>87</v>
      </c>
      <c r="AM290" t="s">
        <v>88</v>
      </c>
      <c r="AN290" t="s">
        <v>89</v>
      </c>
      <c r="AO290" t="s">
        <v>5826</v>
      </c>
      <c r="AP290" t="s">
        <v>5827</v>
      </c>
      <c r="AQ290" t="s">
        <v>74</v>
      </c>
      <c r="AR290" t="s">
        <v>5828</v>
      </c>
      <c r="AS290" t="s">
        <v>5829</v>
      </c>
      <c r="AT290" t="s">
        <v>5809</v>
      </c>
      <c r="AU290">
        <v>2023</v>
      </c>
      <c r="AV290" t="s">
        <v>74</v>
      </c>
      <c r="AW290" t="s">
        <v>74</v>
      </c>
      <c r="AX290" t="s">
        <v>74</v>
      </c>
      <c r="AY290" t="s">
        <v>74</v>
      </c>
      <c r="AZ290" t="s">
        <v>74</v>
      </c>
      <c r="BA290" t="s">
        <v>74</v>
      </c>
      <c r="BB290" t="s">
        <v>74</v>
      </c>
      <c r="BC290" t="s">
        <v>74</v>
      </c>
      <c r="BD290" t="s">
        <v>74</v>
      </c>
      <c r="BE290" t="s">
        <v>5830</v>
      </c>
      <c r="BF290" t="str">
        <f>HYPERLINK("http://dx.doi.org/10.1111/ans.18686","http://dx.doi.org/10.1111/ans.18686")</f>
        <v>http://dx.doi.org/10.1111/ans.18686</v>
      </c>
      <c r="BG290" t="s">
        <v>74</v>
      </c>
      <c r="BH290" t="s">
        <v>407</v>
      </c>
      <c r="BI290">
        <v>9</v>
      </c>
      <c r="BJ290" t="s">
        <v>2374</v>
      </c>
      <c r="BK290" t="s">
        <v>119</v>
      </c>
      <c r="BL290" t="s">
        <v>2374</v>
      </c>
      <c r="BM290" t="s">
        <v>5831</v>
      </c>
      <c r="BN290">
        <v>37668263</v>
      </c>
      <c r="BO290" t="s">
        <v>122</v>
      </c>
      <c r="BP290" t="s">
        <v>74</v>
      </c>
      <c r="BQ290" t="s">
        <v>74</v>
      </c>
      <c r="BR290" t="s">
        <v>99</v>
      </c>
      <c r="BS290" t="s">
        <v>5832</v>
      </c>
      <c r="BT290" t="str">
        <f>HYPERLINK("https%3A%2F%2Fwww.webofscience.com%2Fwos%2Fwoscc%2Ffull-record%2FWOS:001058479500001","View Full Record in Web of Science")</f>
        <v>View Full Record in Web of Science</v>
      </c>
    </row>
    <row r="291" spans="1:72" x14ac:dyDescent="0.15">
      <c r="A291" t="s">
        <v>72</v>
      </c>
      <c r="B291" t="s">
        <v>5833</v>
      </c>
      <c r="C291" t="s">
        <v>74</v>
      </c>
      <c r="D291" t="s">
        <v>74</v>
      </c>
      <c r="E291" t="s">
        <v>74</v>
      </c>
      <c r="F291" t="s">
        <v>5834</v>
      </c>
      <c r="G291" t="s">
        <v>74</v>
      </c>
      <c r="H291" t="s">
        <v>74</v>
      </c>
      <c r="I291" t="s">
        <v>5835</v>
      </c>
      <c r="J291" t="s">
        <v>5836</v>
      </c>
      <c r="K291" t="s">
        <v>74</v>
      </c>
      <c r="L291" t="s">
        <v>74</v>
      </c>
      <c r="M291" t="s">
        <v>78</v>
      </c>
      <c r="N291" t="s">
        <v>338</v>
      </c>
      <c r="O291" t="s">
        <v>74</v>
      </c>
      <c r="P291" t="s">
        <v>74</v>
      </c>
      <c r="Q291" t="s">
        <v>74</v>
      </c>
      <c r="R291" t="s">
        <v>74</v>
      </c>
      <c r="S291" t="s">
        <v>74</v>
      </c>
      <c r="T291" t="s">
        <v>5837</v>
      </c>
      <c r="U291" t="s">
        <v>5838</v>
      </c>
      <c r="V291" t="s">
        <v>5839</v>
      </c>
      <c r="W291" t="s">
        <v>5840</v>
      </c>
      <c r="X291" t="s">
        <v>5841</v>
      </c>
      <c r="Y291" t="s">
        <v>5842</v>
      </c>
      <c r="Z291" t="s">
        <v>5843</v>
      </c>
      <c r="AA291" t="s">
        <v>74</v>
      </c>
      <c r="AB291" t="s">
        <v>74</v>
      </c>
      <c r="AC291" t="s">
        <v>5844</v>
      </c>
      <c r="AD291" t="s">
        <v>5844</v>
      </c>
      <c r="AE291" t="s">
        <v>5845</v>
      </c>
      <c r="AF291" t="s">
        <v>74</v>
      </c>
      <c r="AG291">
        <v>49</v>
      </c>
      <c r="AH291">
        <v>0</v>
      </c>
      <c r="AI291">
        <v>0</v>
      </c>
      <c r="AJ291">
        <v>0</v>
      </c>
      <c r="AK291">
        <v>0</v>
      </c>
      <c r="AL291" t="s">
        <v>87</v>
      </c>
      <c r="AM291" t="s">
        <v>88</v>
      </c>
      <c r="AN291" t="s">
        <v>89</v>
      </c>
      <c r="AO291" t="s">
        <v>5846</v>
      </c>
      <c r="AP291" t="s">
        <v>5847</v>
      </c>
      <c r="AQ291" t="s">
        <v>74</v>
      </c>
      <c r="AR291" t="s">
        <v>5848</v>
      </c>
      <c r="AS291" t="s">
        <v>5849</v>
      </c>
      <c r="AT291" t="s">
        <v>5809</v>
      </c>
      <c r="AU291">
        <v>2023</v>
      </c>
      <c r="AV291" t="s">
        <v>74</v>
      </c>
      <c r="AW291" t="s">
        <v>74</v>
      </c>
      <c r="AX291" t="s">
        <v>74</v>
      </c>
      <c r="AY291" t="s">
        <v>74</v>
      </c>
      <c r="AZ291" t="s">
        <v>74</v>
      </c>
      <c r="BA291" t="s">
        <v>74</v>
      </c>
      <c r="BB291" t="s">
        <v>74</v>
      </c>
      <c r="BC291" t="s">
        <v>74</v>
      </c>
      <c r="BD291" t="s">
        <v>74</v>
      </c>
      <c r="BE291" t="s">
        <v>5850</v>
      </c>
      <c r="BF291" t="str">
        <f>HYPERLINK("http://dx.doi.org/10.1002/sys.21720","http://dx.doi.org/10.1002/sys.21720")</f>
        <v>http://dx.doi.org/10.1002/sys.21720</v>
      </c>
      <c r="BG291" t="s">
        <v>74</v>
      </c>
      <c r="BH291" t="s">
        <v>407</v>
      </c>
      <c r="BI291">
        <v>18</v>
      </c>
      <c r="BJ291" t="s">
        <v>5851</v>
      </c>
      <c r="BK291" t="s">
        <v>119</v>
      </c>
      <c r="BL291" t="s">
        <v>1518</v>
      </c>
      <c r="BM291" t="s">
        <v>5852</v>
      </c>
      <c r="BN291" t="s">
        <v>74</v>
      </c>
      <c r="BO291" t="s">
        <v>74</v>
      </c>
      <c r="BP291" t="s">
        <v>74</v>
      </c>
      <c r="BQ291" t="s">
        <v>74</v>
      </c>
      <c r="BR291" t="s">
        <v>99</v>
      </c>
      <c r="BS291" t="s">
        <v>5853</v>
      </c>
      <c r="BT291" t="str">
        <f>HYPERLINK("https%3A%2F%2Fwww.webofscience.com%2Fwos%2Fwoscc%2Ffull-record%2FWOS:001058764600001","View Full Record in Web of Science")</f>
        <v>View Full Record in Web of Science</v>
      </c>
    </row>
    <row r="292" spans="1:72" x14ac:dyDescent="0.15">
      <c r="A292" t="s">
        <v>72</v>
      </c>
      <c r="B292" t="s">
        <v>5854</v>
      </c>
      <c r="C292" t="s">
        <v>74</v>
      </c>
      <c r="D292" t="s">
        <v>74</v>
      </c>
      <c r="E292" t="s">
        <v>74</v>
      </c>
      <c r="F292" t="s">
        <v>5855</v>
      </c>
      <c r="G292" t="s">
        <v>74</v>
      </c>
      <c r="H292" t="s">
        <v>74</v>
      </c>
      <c r="I292" t="s">
        <v>5856</v>
      </c>
      <c r="J292" t="s">
        <v>5857</v>
      </c>
      <c r="K292" t="s">
        <v>74</v>
      </c>
      <c r="L292" t="s">
        <v>74</v>
      </c>
      <c r="M292" t="s">
        <v>78</v>
      </c>
      <c r="N292" t="s">
        <v>338</v>
      </c>
      <c r="O292" t="s">
        <v>74</v>
      </c>
      <c r="P292" t="s">
        <v>74</v>
      </c>
      <c r="Q292" t="s">
        <v>74</v>
      </c>
      <c r="R292" t="s">
        <v>74</v>
      </c>
      <c r="S292" t="s">
        <v>74</v>
      </c>
      <c r="T292" t="s">
        <v>74</v>
      </c>
      <c r="U292" t="s">
        <v>5858</v>
      </c>
      <c r="V292" t="s">
        <v>5859</v>
      </c>
      <c r="W292" t="s">
        <v>5860</v>
      </c>
      <c r="X292" t="s">
        <v>5861</v>
      </c>
      <c r="Y292" t="s">
        <v>5862</v>
      </c>
      <c r="Z292" t="s">
        <v>5863</v>
      </c>
      <c r="AA292" t="s">
        <v>74</v>
      </c>
      <c r="AB292" t="s">
        <v>74</v>
      </c>
      <c r="AC292" t="s">
        <v>5864</v>
      </c>
      <c r="AD292" t="s">
        <v>5865</v>
      </c>
      <c r="AE292" t="s">
        <v>5866</v>
      </c>
      <c r="AF292" t="s">
        <v>74</v>
      </c>
      <c r="AG292">
        <v>41</v>
      </c>
      <c r="AH292">
        <v>0</v>
      </c>
      <c r="AI292">
        <v>0</v>
      </c>
      <c r="AJ292">
        <v>1</v>
      </c>
      <c r="AK292">
        <v>1</v>
      </c>
      <c r="AL292" t="s">
        <v>87</v>
      </c>
      <c r="AM292" t="s">
        <v>88</v>
      </c>
      <c r="AN292" t="s">
        <v>89</v>
      </c>
      <c r="AO292" t="s">
        <v>5867</v>
      </c>
      <c r="AP292" t="s">
        <v>5868</v>
      </c>
      <c r="AQ292" t="s">
        <v>74</v>
      </c>
      <c r="AR292" t="s">
        <v>5869</v>
      </c>
      <c r="AS292" t="s">
        <v>5870</v>
      </c>
      <c r="AT292" t="s">
        <v>5809</v>
      </c>
      <c r="AU292">
        <v>2023</v>
      </c>
      <c r="AV292" t="s">
        <v>74</v>
      </c>
      <c r="AW292" t="s">
        <v>74</v>
      </c>
      <c r="AX292" t="s">
        <v>74</v>
      </c>
      <c r="AY292" t="s">
        <v>74</v>
      </c>
      <c r="AZ292" t="s">
        <v>74</v>
      </c>
      <c r="BA292" t="s">
        <v>74</v>
      </c>
      <c r="BB292" t="s">
        <v>74</v>
      </c>
      <c r="BC292" t="s">
        <v>74</v>
      </c>
      <c r="BD292" t="s">
        <v>74</v>
      </c>
      <c r="BE292" t="s">
        <v>5871</v>
      </c>
      <c r="BF292" t="str">
        <f>HYPERLINK("http://dx.doi.org/10.1111/jfs.13083","http://dx.doi.org/10.1111/jfs.13083")</f>
        <v>http://dx.doi.org/10.1111/jfs.13083</v>
      </c>
      <c r="BG292" t="s">
        <v>74</v>
      </c>
      <c r="BH292" t="s">
        <v>407</v>
      </c>
      <c r="BI292">
        <v>11</v>
      </c>
      <c r="BJ292" t="s">
        <v>5872</v>
      </c>
      <c r="BK292" t="s">
        <v>119</v>
      </c>
      <c r="BL292" t="s">
        <v>5872</v>
      </c>
      <c r="BM292" t="s">
        <v>5873</v>
      </c>
      <c r="BN292" t="s">
        <v>74</v>
      </c>
      <c r="BO292" t="s">
        <v>74</v>
      </c>
      <c r="BP292" t="s">
        <v>74</v>
      </c>
      <c r="BQ292" t="s">
        <v>74</v>
      </c>
      <c r="BR292" t="s">
        <v>99</v>
      </c>
      <c r="BS292" t="s">
        <v>5874</v>
      </c>
      <c r="BT292" t="str">
        <f>HYPERLINK("https%3A%2F%2Fwww.webofscience.com%2Fwos%2Fwoscc%2Ffull-record%2FWOS:001058805700001","View Full Record in Web of Science")</f>
        <v>View Full Record in Web of Science</v>
      </c>
    </row>
    <row r="293" spans="1:72" x14ac:dyDescent="0.15">
      <c r="A293" t="s">
        <v>72</v>
      </c>
      <c r="B293" t="s">
        <v>5875</v>
      </c>
      <c r="C293" t="s">
        <v>74</v>
      </c>
      <c r="D293" t="s">
        <v>74</v>
      </c>
      <c r="E293" t="s">
        <v>74</v>
      </c>
      <c r="F293" t="s">
        <v>5876</v>
      </c>
      <c r="G293" t="s">
        <v>74</v>
      </c>
      <c r="H293" t="s">
        <v>74</v>
      </c>
      <c r="I293" t="s">
        <v>5877</v>
      </c>
      <c r="J293" t="s">
        <v>2028</v>
      </c>
      <c r="K293" t="s">
        <v>74</v>
      </c>
      <c r="L293" t="s">
        <v>74</v>
      </c>
      <c r="M293" t="s">
        <v>78</v>
      </c>
      <c r="N293" t="s">
        <v>79</v>
      </c>
      <c r="O293" t="s">
        <v>74</v>
      </c>
      <c r="P293" t="s">
        <v>74</v>
      </c>
      <c r="Q293" t="s">
        <v>74</v>
      </c>
      <c r="R293" t="s">
        <v>74</v>
      </c>
      <c r="S293" t="s">
        <v>74</v>
      </c>
      <c r="T293" t="s">
        <v>5878</v>
      </c>
      <c r="U293" t="s">
        <v>5879</v>
      </c>
      <c r="V293" t="s">
        <v>5880</v>
      </c>
      <c r="W293" t="s">
        <v>5881</v>
      </c>
      <c r="X293" t="s">
        <v>5882</v>
      </c>
      <c r="Y293" t="s">
        <v>5883</v>
      </c>
      <c r="Z293" t="s">
        <v>5884</v>
      </c>
      <c r="AA293" t="s">
        <v>5885</v>
      </c>
      <c r="AB293" t="s">
        <v>5886</v>
      </c>
      <c r="AC293" t="s">
        <v>5887</v>
      </c>
      <c r="AD293" t="s">
        <v>5887</v>
      </c>
      <c r="AE293" t="s">
        <v>5888</v>
      </c>
      <c r="AF293" t="s">
        <v>74</v>
      </c>
      <c r="AG293">
        <v>69</v>
      </c>
      <c r="AH293">
        <v>0</v>
      </c>
      <c r="AI293">
        <v>0</v>
      </c>
      <c r="AJ293">
        <v>1</v>
      </c>
      <c r="AK293">
        <v>1</v>
      </c>
      <c r="AL293" t="s">
        <v>426</v>
      </c>
      <c r="AM293" t="s">
        <v>427</v>
      </c>
      <c r="AN293" t="s">
        <v>428</v>
      </c>
      <c r="AO293" t="s">
        <v>2037</v>
      </c>
      <c r="AP293" t="s">
        <v>74</v>
      </c>
      <c r="AQ293" t="s">
        <v>74</v>
      </c>
      <c r="AR293" t="s">
        <v>2028</v>
      </c>
      <c r="AS293" t="s">
        <v>2038</v>
      </c>
      <c r="AT293" t="s">
        <v>5889</v>
      </c>
      <c r="AU293">
        <v>2023</v>
      </c>
      <c r="AV293">
        <v>8</v>
      </c>
      <c r="AW293">
        <v>33</v>
      </c>
      <c r="AX293" t="s">
        <v>74</v>
      </c>
      <c r="AY293" t="s">
        <v>74</v>
      </c>
      <c r="AZ293" t="s">
        <v>74</v>
      </c>
      <c r="BA293" t="s">
        <v>74</v>
      </c>
      <c r="BB293" t="s">
        <v>74</v>
      </c>
      <c r="BC293" t="s">
        <v>74</v>
      </c>
      <c r="BD293" t="s">
        <v>5890</v>
      </c>
      <c r="BE293" t="s">
        <v>5891</v>
      </c>
      <c r="BF293" t="str">
        <f>HYPERLINK("http://dx.doi.org/10.1002/slct.202302624","http://dx.doi.org/10.1002/slct.202302624")</f>
        <v>http://dx.doi.org/10.1002/slct.202302624</v>
      </c>
      <c r="BG293" t="s">
        <v>74</v>
      </c>
      <c r="BH293" t="s">
        <v>74</v>
      </c>
      <c r="BI293">
        <v>9</v>
      </c>
      <c r="BJ293" t="s">
        <v>523</v>
      </c>
      <c r="BK293" t="s">
        <v>119</v>
      </c>
      <c r="BL293" t="s">
        <v>524</v>
      </c>
      <c r="BM293" t="s">
        <v>5892</v>
      </c>
      <c r="BN293" t="s">
        <v>74</v>
      </c>
      <c r="BO293" t="s">
        <v>74</v>
      </c>
      <c r="BP293" t="s">
        <v>74</v>
      </c>
      <c r="BQ293" t="s">
        <v>74</v>
      </c>
      <c r="BR293" t="s">
        <v>99</v>
      </c>
      <c r="BS293" t="s">
        <v>5893</v>
      </c>
      <c r="BT293" t="str">
        <f>HYPERLINK("https%3A%2F%2Fwww.webofscience.com%2Fwos%2Fwoscc%2Ffull-record%2FWOS:001055780700001","View Full Record in Web of Science")</f>
        <v>View Full Record in Web of Science</v>
      </c>
    </row>
    <row r="294" spans="1:72" x14ac:dyDescent="0.15">
      <c r="A294" t="s">
        <v>72</v>
      </c>
      <c r="B294" t="s">
        <v>5894</v>
      </c>
      <c r="C294" t="s">
        <v>74</v>
      </c>
      <c r="D294" t="s">
        <v>74</v>
      </c>
      <c r="E294" t="s">
        <v>74</v>
      </c>
      <c r="F294" t="s">
        <v>5895</v>
      </c>
      <c r="G294" t="s">
        <v>74</v>
      </c>
      <c r="H294" t="s">
        <v>74</v>
      </c>
      <c r="I294" t="s">
        <v>5896</v>
      </c>
      <c r="J294" t="s">
        <v>4265</v>
      </c>
      <c r="K294" t="s">
        <v>74</v>
      </c>
      <c r="L294" t="s">
        <v>74</v>
      </c>
      <c r="M294" t="s">
        <v>78</v>
      </c>
      <c r="N294" t="s">
        <v>338</v>
      </c>
      <c r="O294" t="s">
        <v>74</v>
      </c>
      <c r="P294" t="s">
        <v>74</v>
      </c>
      <c r="Q294" t="s">
        <v>74</v>
      </c>
      <c r="R294" t="s">
        <v>74</v>
      </c>
      <c r="S294" t="s">
        <v>74</v>
      </c>
      <c r="T294" t="s">
        <v>5897</v>
      </c>
      <c r="U294" t="s">
        <v>74</v>
      </c>
      <c r="V294" t="s">
        <v>74</v>
      </c>
      <c r="W294" t="s">
        <v>5898</v>
      </c>
      <c r="X294" t="s">
        <v>5899</v>
      </c>
      <c r="Y294" t="s">
        <v>5900</v>
      </c>
      <c r="Z294" t="s">
        <v>5901</v>
      </c>
      <c r="AA294" t="s">
        <v>74</v>
      </c>
      <c r="AB294" t="s">
        <v>74</v>
      </c>
      <c r="AC294" t="s">
        <v>74</v>
      </c>
      <c r="AD294" t="s">
        <v>74</v>
      </c>
      <c r="AE294" t="s">
        <v>74</v>
      </c>
      <c r="AF294" t="s">
        <v>74</v>
      </c>
      <c r="AG294">
        <v>5</v>
      </c>
      <c r="AH294">
        <v>0</v>
      </c>
      <c r="AI294">
        <v>0</v>
      </c>
      <c r="AJ294">
        <v>0</v>
      </c>
      <c r="AK294">
        <v>0</v>
      </c>
      <c r="AL294" t="s">
        <v>87</v>
      </c>
      <c r="AM294" t="s">
        <v>88</v>
      </c>
      <c r="AN294" t="s">
        <v>89</v>
      </c>
      <c r="AO294" t="s">
        <v>4272</v>
      </c>
      <c r="AP294" t="s">
        <v>4273</v>
      </c>
      <c r="AQ294" t="s">
        <v>74</v>
      </c>
      <c r="AR294" t="s">
        <v>4274</v>
      </c>
      <c r="AS294" t="s">
        <v>4275</v>
      </c>
      <c r="AT294" t="s">
        <v>5809</v>
      </c>
      <c r="AU294">
        <v>2023</v>
      </c>
      <c r="AV294" t="s">
        <v>74</v>
      </c>
      <c r="AW294" t="s">
        <v>74</v>
      </c>
      <c r="AX294" t="s">
        <v>74</v>
      </c>
      <c r="AY294" t="s">
        <v>74</v>
      </c>
      <c r="AZ294" t="s">
        <v>74</v>
      </c>
      <c r="BA294" t="s">
        <v>74</v>
      </c>
      <c r="BB294" t="s">
        <v>74</v>
      </c>
      <c r="BC294" t="s">
        <v>74</v>
      </c>
      <c r="BD294" t="s">
        <v>74</v>
      </c>
      <c r="BE294" t="s">
        <v>5902</v>
      </c>
      <c r="BF294" t="str">
        <f>HYPERLINK("http://dx.doi.org/10.1002/jdd.13368","http://dx.doi.org/10.1002/jdd.13368")</f>
        <v>http://dx.doi.org/10.1002/jdd.13368</v>
      </c>
      <c r="BG294" t="s">
        <v>74</v>
      </c>
      <c r="BH294" t="s">
        <v>407</v>
      </c>
      <c r="BI294">
        <v>3</v>
      </c>
      <c r="BJ294" t="s">
        <v>314</v>
      </c>
      <c r="BK294" t="s">
        <v>119</v>
      </c>
      <c r="BL294" t="s">
        <v>314</v>
      </c>
      <c r="BM294" t="s">
        <v>5903</v>
      </c>
      <c r="BN294">
        <v>37658709</v>
      </c>
      <c r="BO294" t="s">
        <v>122</v>
      </c>
      <c r="BP294" t="s">
        <v>74</v>
      </c>
      <c r="BQ294" t="s">
        <v>74</v>
      </c>
      <c r="BR294" t="s">
        <v>99</v>
      </c>
      <c r="BS294" t="s">
        <v>5904</v>
      </c>
      <c r="BT294" t="str">
        <f>HYPERLINK("https%3A%2F%2Fwww.webofscience.com%2Fwos%2Fwoscc%2Ffull-record%2FWOS:001062474600001","View Full Record in Web of Science")</f>
        <v>View Full Record in Web of Science</v>
      </c>
    </row>
    <row r="295" spans="1:72" x14ac:dyDescent="0.15">
      <c r="A295" t="s">
        <v>72</v>
      </c>
      <c r="B295" t="s">
        <v>5905</v>
      </c>
      <c r="C295" t="s">
        <v>74</v>
      </c>
      <c r="D295" t="s">
        <v>74</v>
      </c>
      <c r="E295" t="s">
        <v>74</v>
      </c>
      <c r="F295" t="s">
        <v>5906</v>
      </c>
      <c r="G295" t="s">
        <v>74</v>
      </c>
      <c r="H295" t="s">
        <v>74</v>
      </c>
      <c r="I295" t="s">
        <v>5907</v>
      </c>
      <c r="J295" t="s">
        <v>3959</v>
      </c>
      <c r="K295" t="s">
        <v>74</v>
      </c>
      <c r="L295" t="s">
        <v>74</v>
      </c>
      <c r="M295" t="s">
        <v>78</v>
      </c>
      <c r="N295" t="s">
        <v>338</v>
      </c>
      <c r="O295" t="s">
        <v>74</v>
      </c>
      <c r="P295" t="s">
        <v>74</v>
      </c>
      <c r="Q295" t="s">
        <v>74</v>
      </c>
      <c r="R295" t="s">
        <v>74</v>
      </c>
      <c r="S295" t="s">
        <v>74</v>
      </c>
      <c r="T295" t="s">
        <v>5908</v>
      </c>
      <c r="U295" t="s">
        <v>5909</v>
      </c>
      <c r="V295" t="s">
        <v>5910</v>
      </c>
      <c r="W295" t="s">
        <v>5911</v>
      </c>
      <c r="X295" t="s">
        <v>5912</v>
      </c>
      <c r="Y295" t="s">
        <v>5913</v>
      </c>
      <c r="Z295" t="s">
        <v>5914</v>
      </c>
      <c r="AA295" t="s">
        <v>74</v>
      </c>
      <c r="AB295" t="s">
        <v>5915</v>
      </c>
      <c r="AC295" t="s">
        <v>5916</v>
      </c>
      <c r="AD295" t="s">
        <v>5916</v>
      </c>
      <c r="AE295" t="s">
        <v>5917</v>
      </c>
      <c r="AF295" t="s">
        <v>74</v>
      </c>
      <c r="AG295">
        <v>48</v>
      </c>
      <c r="AH295">
        <v>0</v>
      </c>
      <c r="AI295">
        <v>0</v>
      </c>
      <c r="AJ295">
        <v>0</v>
      </c>
      <c r="AK295">
        <v>0</v>
      </c>
      <c r="AL295" t="s">
        <v>87</v>
      </c>
      <c r="AM295" t="s">
        <v>88</v>
      </c>
      <c r="AN295" t="s">
        <v>89</v>
      </c>
      <c r="AO295" t="s">
        <v>3972</v>
      </c>
      <c r="AP295" t="s">
        <v>3973</v>
      </c>
      <c r="AQ295" t="s">
        <v>74</v>
      </c>
      <c r="AR295" t="s">
        <v>3974</v>
      </c>
      <c r="AS295" t="s">
        <v>3975</v>
      </c>
      <c r="AT295" t="s">
        <v>5809</v>
      </c>
      <c r="AU295">
        <v>2023</v>
      </c>
      <c r="AV295" t="s">
        <v>74</v>
      </c>
      <c r="AW295" t="s">
        <v>74</v>
      </c>
      <c r="AX295" t="s">
        <v>74</v>
      </c>
      <c r="AY295" t="s">
        <v>74</v>
      </c>
      <c r="AZ295" t="s">
        <v>74</v>
      </c>
      <c r="BA295" t="s">
        <v>74</v>
      </c>
      <c r="BB295" t="s">
        <v>74</v>
      </c>
      <c r="BC295" t="s">
        <v>74</v>
      </c>
      <c r="BD295" t="s">
        <v>74</v>
      </c>
      <c r="BE295" t="s">
        <v>5918</v>
      </c>
      <c r="BF295" t="str">
        <f>HYPERLINK("http://dx.doi.org/10.1111/bph.16205","http://dx.doi.org/10.1111/bph.16205")</f>
        <v>http://dx.doi.org/10.1111/bph.16205</v>
      </c>
      <c r="BG295" t="s">
        <v>74</v>
      </c>
      <c r="BH295" t="s">
        <v>407</v>
      </c>
      <c r="BI295">
        <v>18</v>
      </c>
      <c r="BJ295" t="s">
        <v>299</v>
      </c>
      <c r="BK295" t="s">
        <v>119</v>
      </c>
      <c r="BL295" t="s">
        <v>299</v>
      </c>
      <c r="BM295" t="s">
        <v>5919</v>
      </c>
      <c r="BN295">
        <v>37533302</v>
      </c>
      <c r="BO295" t="s">
        <v>122</v>
      </c>
      <c r="BP295" t="s">
        <v>74</v>
      </c>
      <c r="BQ295" t="s">
        <v>74</v>
      </c>
      <c r="BR295" t="s">
        <v>99</v>
      </c>
      <c r="BS295" t="s">
        <v>5920</v>
      </c>
      <c r="BT295" t="str">
        <f>HYPERLINK("https%3A%2F%2Fwww.webofscience.com%2Fwos%2Fwoscc%2Ffull-record%2FWOS:001062635500001","View Full Record in Web of Science")</f>
        <v>View Full Record in Web of Science</v>
      </c>
    </row>
    <row r="296" spans="1:72" x14ac:dyDescent="0.15">
      <c r="A296" t="s">
        <v>72</v>
      </c>
      <c r="B296" t="s">
        <v>5921</v>
      </c>
      <c r="C296" t="s">
        <v>74</v>
      </c>
      <c r="D296" t="s">
        <v>74</v>
      </c>
      <c r="E296" t="s">
        <v>74</v>
      </c>
      <c r="F296" t="s">
        <v>5922</v>
      </c>
      <c r="G296" t="s">
        <v>74</v>
      </c>
      <c r="H296" t="s">
        <v>74</v>
      </c>
      <c r="I296" t="s">
        <v>5923</v>
      </c>
      <c r="J296" t="s">
        <v>3811</v>
      </c>
      <c r="K296" t="s">
        <v>74</v>
      </c>
      <c r="L296" t="s">
        <v>74</v>
      </c>
      <c r="M296" t="s">
        <v>78</v>
      </c>
      <c r="N296" t="s">
        <v>338</v>
      </c>
      <c r="O296" t="s">
        <v>74</v>
      </c>
      <c r="P296" t="s">
        <v>74</v>
      </c>
      <c r="Q296" t="s">
        <v>74</v>
      </c>
      <c r="R296" t="s">
        <v>74</v>
      </c>
      <c r="S296" t="s">
        <v>74</v>
      </c>
      <c r="T296" t="s">
        <v>5924</v>
      </c>
      <c r="U296" t="s">
        <v>5925</v>
      </c>
      <c r="V296" t="s">
        <v>5926</v>
      </c>
      <c r="W296" t="s">
        <v>5927</v>
      </c>
      <c r="X296" t="s">
        <v>5928</v>
      </c>
      <c r="Y296" t="s">
        <v>5929</v>
      </c>
      <c r="Z296" t="s">
        <v>5930</v>
      </c>
      <c r="AA296" t="s">
        <v>74</v>
      </c>
      <c r="AB296" t="s">
        <v>74</v>
      </c>
      <c r="AC296" t="s">
        <v>5931</v>
      </c>
      <c r="AD296" t="s">
        <v>5932</v>
      </c>
      <c r="AE296" t="s">
        <v>5933</v>
      </c>
      <c r="AF296" t="s">
        <v>74</v>
      </c>
      <c r="AG296">
        <v>40</v>
      </c>
      <c r="AH296">
        <v>0</v>
      </c>
      <c r="AI296">
        <v>0</v>
      </c>
      <c r="AJ296">
        <v>0</v>
      </c>
      <c r="AK296">
        <v>0</v>
      </c>
      <c r="AL296" t="s">
        <v>87</v>
      </c>
      <c r="AM296" t="s">
        <v>88</v>
      </c>
      <c r="AN296" t="s">
        <v>89</v>
      </c>
      <c r="AO296" t="s">
        <v>3821</v>
      </c>
      <c r="AP296" t="s">
        <v>3822</v>
      </c>
      <c r="AQ296" t="s">
        <v>74</v>
      </c>
      <c r="AR296" t="s">
        <v>3823</v>
      </c>
      <c r="AS296" t="s">
        <v>3824</v>
      </c>
      <c r="AT296" t="s">
        <v>5809</v>
      </c>
      <c r="AU296">
        <v>2023</v>
      </c>
      <c r="AV296" t="s">
        <v>74</v>
      </c>
      <c r="AW296" t="s">
        <v>74</v>
      </c>
      <c r="AX296" t="s">
        <v>74</v>
      </c>
      <c r="AY296" t="s">
        <v>74</v>
      </c>
      <c r="AZ296" t="s">
        <v>74</v>
      </c>
      <c r="BA296" t="s">
        <v>74</v>
      </c>
      <c r="BB296" t="s">
        <v>74</v>
      </c>
      <c r="BC296" t="s">
        <v>74</v>
      </c>
      <c r="BD296" t="s">
        <v>74</v>
      </c>
      <c r="BE296" t="s">
        <v>5934</v>
      </c>
      <c r="BF296" t="str">
        <f>HYPERLINK("http://dx.doi.org/10.1111/jace.19425","http://dx.doi.org/10.1111/jace.19425")</f>
        <v>http://dx.doi.org/10.1111/jace.19425</v>
      </c>
      <c r="BG296" t="s">
        <v>74</v>
      </c>
      <c r="BH296" t="s">
        <v>407</v>
      </c>
      <c r="BI296">
        <v>9</v>
      </c>
      <c r="BJ296" t="s">
        <v>3826</v>
      </c>
      <c r="BK296" t="s">
        <v>119</v>
      </c>
      <c r="BL296" t="s">
        <v>1999</v>
      </c>
      <c r="BM296" t="s">
        <v>5935</v>
      </c>
      <c r="BN296" t="s">
        <v>74</v>
      </c>
      <c r="BO296" t="s">
        <v>74</v>
      </c>
      <c r="BP296" t="s">
        <v>74</v>
      </c>
      <c r="BQ296" t="s">
        <v>74</v>
      </c>
      <c r="BR296" t="s">
        <v>99</v>
      </c>
      <c r="BS296" t="s">
        <v>5936</v>
      </c>
      <c r="BT296" t="str">
        <f>HYPERLINK("https%3A%2F%2Fwww.webofscience.com%2Fwos%2Fwoscc%2Ffull-record%2FWOS:001061539600001","View Full Record in Web of Science")</f>
        <v>View Full Record in Web of Science</v>
      </c>
    </row>
    <row r="297" spans="1:72" x14ac:dyDescent="0.15">
      <c r="A297" t="s">
        <v>72</v>
      </c>
      <c r="B297" t="s">
        <v>5937</v>
      </c>
      <c r="C297" t="s">
        <v>74</v>
      </c>
      <c r="D297" t="s">
        <v>74</v>
      </c>
      <c r="E297" t="s">
        <v>74</v>
      </c>
      <c r="F297" t="s">
        <v>5938</v>
      </c>
      <c r="G297" t="s">
        <v>74</v>
      </c>
      <c r="H297" t="s">
        <v>74</v>
      </c>
      <c r="I297" t="s">
        <v>5939</v>
      </c>
      <c r="J297" t="s">
        <v>2028</v>
      </c>
      <c r="K297" t="s">
        <v>74</v>
      </c>
      <c r="L297" t="s">
        <v>74</v>
      </c>
      <c r="M297" t="s">
        <v>78</v>
      </c>
      <c r="N297" t="s">
        <v>3392</v>
      </c>
      <c r="O297" t="s">
        <v>74</v>
      </c>
      <c r="P297" t="s">
        <v>74</v>
      </c>
      <c r="Q297" t="s">
        <v>74</v>
      </c>
      <c r="R297" t="s">
        <v>74</v>
      </c>
      <c r="S297" t="s">
        <v>74</v>
      </c>
      <c r="T297" t="s">
        <v>5940</v>
      </c>
      <c r="U297" t="s">
        <v>5941</v>
      </c>
      <c r="V297" t="s">
        <v>5942</v>
      </c>
      <c r="W297" t="s">
        <v>5943</v>
      </c>
      <c r="X297" t="s">
        <v>5944</v>
      </c>
      <c r="Y297" t="s">
        <v>5945</v>
      </c>
      <c r="Z297" t="s">
        <v>5946</v>
      </c>
      <c r="AA297" t="s">
        <v>74</v>
      </c>
      <c r="AB297" t="s">
        <v>74</v>
      </c>
      <c r="AC297" t="s">
        <v>5947</v>
      </c>
      <c r="AD297" t="s">
        <v>5948</v>
      </c>
      <c r="AE297" t="s">
        <v>5949</v>
      </c>
      <c r="AF297" t="s">
        <v>74</v>
      </c>
      <c r="AG297">
        <v>52</v>
      </c>
      <c r="AH297">
        <v>0</v>
      </c>
      <c r="AI297">
        <v>0</v>
      </c>
      <c r="AJ297">
        <v>4</v>
      </c>
      <c r="AK297">
        <v>4</v>
      </c>
      <c r="AL297" t="s">
        <v>426</v>
      </c>
      <c r="AM297" t="s">
        <v>427</v>
      </c>
      <c r="AN297" t="s">
        <v>428</v>
      </c>
      <c r="AO297" t="s">
        <v>2037</v>
      </c>
      <c r="AP297" t="s">
        <v>74</v>
      </c>
      <c r="AQ297" t="s">
        <v>74</v>
      </c>
      <c r="AR297" t="s">
        <v>2028</v>
      </c>
      <c r="AS297" t="s">
        <v>2038</v>
      </c>
      <c r="AT297" t="s">
        <v>5889</v>
      </c>
      <c r="AU297">
        <v>2023</v>
      </c>
      <c r="AV297">
        <v>8</v>
      </c>
      <c r="AW297">
        <v>33</v>
      </c>
      <c r="AX297" t="s">
        <v>74</v>
      </c>
      <c r="AY297" t="s">
        <v>74</v>
      </c>
      <c r="AZ297" t="s">
        <v>74</v>
      </c>
      <c r="BA297" t="s">
        <v>74</v>
      </c>
      <c r="BB297" t="s">
        <v>74</v>
      </c>
      <c r="BC297" t="s">
        <v>74</v>
      </c>
      <c r="BD297" t="s">
        <v>5950</v>
      </c>
      <c r="BE297" t="s">
        <v>5951</v>
      </c>
      <c r="BF297" t="str">
        <f>HYPERLINK("http://dx.doi.org/10.1002/slct.202302697","http://dx.doi.org/10.1002/slct.202302697")</f>
        <v>http://dx.doi.org/10.1002/slct.202302697</v>
      </c>
      <c r="BG297" t="s">
        <v>74</v>
      </c>
      <c r="BH297" t="s">
        <v>74</v>
      </c>
      <c r="BI297">
        <v>25</v>
      </c>
      <c r="BJ297" t="s">
        <v>523</v>
      </c>
      <c r="BK297" t="s">
        <v>119</v>
      </c>
      <c r="BL297" t="s">
        <v>524</v>
      </c>
      <c r="BM297" t="s">
        <v>5952</v>
      </c>
      <c r="BN297" t="s">
        <v>74</v>
      </c>
      <c r="BO297" t="s">
        <v>74</v>
      </c>
      <c r="BP297" t="s">
        <v>74</v>
      </c>
      <c r="BQ297" t="s">
        <v>74</v>
      </c>
      <c r="BR297" t="s">
        <v>99</v>
      </c>
      <c r="BS297" t="s">
        <v>5953</v>
      </c>
      <c r="BT297" t="str">
        <f>HYPERLINK("https%3A%2F%2Fwww.webofscience.com%2Fwos%2Fwoscc%2Ffull-record%2FWOS:001058140000001","View Full Record in Web of Science")</f>
        <v>View Full Record in Web of Science</v>
      </c>
    </row>
    <row r="298" spans="1:72" x14ac:dyDescent="0.15">
      <c r="A298" t="s">
        <v>72</v>
      </c>
      <c r="B298" t="s">
        <v>5954</v>
      </c>
      <c r="C298" t="s">
        <v>74</v>
      </c>
      <c r="D298" t="s">
        <v>74</v>
      </c>
      <c r="E298" t="s">
        <v>74</v>
      </c>
      <c r="F298" t="s">
        <v>5955</v>
      </c>
      <c r="G298" t="s">
        <v>74</v>
      </c>
      <c r="H298" t="s">
        <v>74</v>
      </c>
      <c r="I298" t="s">
        <v>5956</v>
      </c>
      <c r="J298" t="s">
        <v>5957</v>
      </c>
      <c r="K298" t="s">
        <v>74</v>
      </c>
      <c r="L298" t="s">
        <v>74</v>
      </c>
      <c r="M298" t="s">
        <v>78</v>
      </c>
      <c r="N298" t="s">
        <v>594</v>
      </c>
      <c r="O298" t="s">
        <v>74</v>
      </c>
      <c r="P298" t="s">
        <v>74</v>
      </c>
      <c r="Q298" t="s">
        <v>74</v>
      </c>
      <c r="R298" t="s">
        <v>74</v>
      </c>
      <c r="S298" t="s">
        <v>74</v>
      </c>
      <c r="T298" t="s">
        <v>5958</v>
      </c>
      <c r="U298" t="s">
        <v>5959</v>
      </c>
      <c r="V298" t="s">
        <v>5960</v>
      </c>
      <c r="W298" t="s">
        <v>5961</v>
      </c>
      <c r="X298" t="s">
        <v>5962</v>
      </c>
      <c r="Y298" t="s">
        <v>5963</v>
      </c>
      <c r="Z298" t="s">
        <v>5964</v>
      </c>
      <c r="AA298" t="s">
        <v>74</v>
      </c>
      <c r="AB298" t="s">
        <v>74</v>
      </c>
      <c r="AC298" t="s">
        <v>5965</v>
      </c>
      <c r="AD298" t="s">
        <v>2201</v>
      </c>
      <c r="AE298" t="s">
        <v>5966</v>
      </c>
      <c r="AF298" t="s">
        <v>74</v>
      </c>
      <c r="AG298">
        <v>65</v>
      </c>
      <c r="AH298">
        <v>0</v>
      </c>
      <c r="AI298">
        <v>0</v>
      </c>
      <c r="AJ298">
        <v>2</v>
      </c>
      <c r="AK298">
        <v>2</v>
      </c>
      <c r="AL298" t="s">
        <v>426</v>
      </c>
      <c r="AM298" t="s">
        <v>427</v>
      </c>
      <c r="AN298" t="s">
        <v>428</v>
      </c>
      <c r="AO298" t="s">
        <v>5967</v>
      </c>
      <c r="AP298" t="s">
        <v>5968</v>
      </c>
      <c r="AQ298" t="s">
        <v>74</v>
      </c>
      <c r="AR298" t="s">
        <v>5957</v>
      </c>
      <c r="AS298" t="s">
        <v>5969</v>
      </c>
      <c r="AT298" t="s">
        <v>5809</v>
      </c>
      <c r="AU298">
        <v>2023</v>
      </c>
      <c r="AV298" t="s">
        <v>74</v>
      </c>
      <c r="AW298" t="s">
        <v>74</v>
      </c>
      <c r="AX298" t="s">
        <v>74</v>
      </c>
      <c r="AY298" t="s">
        <v>74</v>
      </c>
      <c r="AZ298" t="s">
        <v>74</v>
      </c>
      <c r="BA298" t="s">
        <v>74</v>
      </c>
      <c r="BB298" t="s">
        <v>74</v>
      </c>
      <c r="BC298" t="s">
        <v>74</v>
      </c>
      <c r="BD298" t="s">
        <v>5970</v>
      </c>
      <c r="BE298" t="s">
        <v>5971</v>
      </c>
      <c r="BF298" t="str">
        <f>HYPERLINK("http://dx.doi.org/10.1002/cctc.202300860","http://dx.doi.org/10.1002/cctc.202300860")</f>
        <v>http://dx.doi.org/10.1002/cctc.202300860</v>
      </c>
      <c r="BG298" t="s">
        <v>74</v>
      </c>
      <c r="BH298" t="s">
        <v>407</v>
      </c>
      <c r="BI298">
        <v>16</v>
      </c>
      <c r="BJ298" t="s">
        <v>5972</v>
      </c>
      <c r="BK298" t="s">
        <v>119</v>
      </c>
      <c r="BL298" t="s">
        <v>524</v>
      </c>
      <c r="BM298" t="s">
        <v>5973</v>
      </c>
      <c r="BN298" t="s">
        <v>74</v>
      </c>
      <c r="BO298" t="s">
        <v>301</v>
      </c>
      <c r="BP298" t="s">
        <v>74</v>
      </c>
      <c r="BQ298" t="s">
        <v>74</v>
      </c>
      <c r="BR298" t="s">
        <v>99</v>
      </c>
      <c r="BS298" t="s">
        <v>5974</v>
      </c>
      <c r="BT298" t="str">
        <f>HYPERLINK("https%3A%2F%2Fwww.webofscience.com%2Fwos%2Fwoscc%2Ffull-record%2FWOS:001061565900001","View Full Record in Web of Science")</f>
        <v>View Full Record in Web of Science</v>
      </c>
    </row>
    <row r="299" spans="1:72" x14ac:dyDescent="0.15">
      <c r="A299" t="s">
        <v>72</v>
      </c>
      <c r="B299" t="s">
        <v>5975</v>
      </c>
      <c r="C299" t="s">
        <v>74</v>
      </c>
      <c r="D299" t="s">
        <v>74</v>
      </c>
      <c r="E299" t="s">
        <v>74</v>
      </c>
      <c r="F299" t="s">
        <v>5976</v>
      </c>
      <c r="G299" t="s">
        <v>74</v>
      </c>
      <c r="H299" t="s">
        <v>74</v>
      </c>
      <c r="I299" t="s">
        <v>5977</v>
      </c>
      <c r="J299" t="s">
        <v>5978</v>
      </c>
      <c r="K299" t="s">
        <v>74</v>
      </c>
      <c r="L299" t="s">
        <v>74</v>
      </c>
      <c r="M299" t="s">
        <v>78</v>
      </c>
      <c r="N299" t="s">
        <v>1297</v>
      </c>
      <c r="O299" t="s">
        <v>74</v>
      </c>
      <c r="P299" t="s">
        <v>74</v>
      </c>
      <c r="Q299" t="s">
        <v>74</v>
      </c>
      <c r="R299" t="s">
        <v>74</v>
      </c>
      <c r="S299" t="s">
        <v>74</v>
      </c>
      <c r="T299" t="s">
        <v>5979</v>
      </c>
      <c r="U299" t="s">
        <v>5980</v>
      </c>
      <c r="V299" t="s">
        <v>74</v>
      </c>
      <c r="W299" t="s">
        <v>5981</v>
      </c>
      <c r="X299" t="s">
        <v>5982</v>
      </c>
      <c r="Y299" t="s">
        <v>5983</v>
      </c>
      <c r="Z299" t="s">
        <v>5984</v>
      </c>
      <c r="AA299" t="s">
        <v>5985</v>
      </c>
      <c r="AB299" t="s">
        <v>5986</v>
      </c>
      <c r="AC299" t="s">
        <v>74</v>
      </c>
      <c r="AD299" t="s">
        <v>74</v>
      </c>
      <c r="AE299" t="s">
        <v>74</v>
      </c>
      <c r="AF299" t="s">
        <v>74</v>
      </c>
      <c r="AG299">
        <v>84</v>
      </c>
      <c r="AH299">
        <v>0</v>
      </c>
      <c r="AI299">
        <v>0</v>
      </c>
      <c r="AJ299">
        <v>1</v>
      </c>
      <c r="AK299">
        <v>1</v>
      </c>
      <c r="AL299" t="s">
        <v>87</v>
      </c>
      <c r="AM299" t="s">
        <v>88</v>
      </c>
      <c r="AN299" t="s">
        <v>89</v>
      </c>
      <c r="AO299" t="s">
        <v>5987</v>
      </c>
      <c r="AP299" t="s">
        <v>5988</v>
      </c>
      <c r="AQ299" t="s">
        <v>74</v>
      </c>
      <c r="AR299" t="s">
        <v>5989</v>
      </c>
      <c r="AS299" t="s">
        <v>5990</v>
      </c>
      <c r="AT299" t="s">
        <v>5809</v>
      </c>
      <c r="AU299">
        <v>2023</v>
      </c>
      <c r="AV299" t="s">
        <v>74</v>
      </c>
      <c r="AW299" t="s">
        <v>74</v>
      </c>
      <c r="AX299" t="s">
        <v>74</v>
      </c>
      <c r="AY299" t="s">
        <v>74</v>
      </c>
      <c r="AZ299" t="s">
        <v>74</v>
      </c>
      <c r="BA299" t="s">
        <v>74</v>
      </c>
      <c r="BB299" t="s">
        <v>74</v>
      </c>
      <c r="BC299" t="s">
        <v>74</v>
      </c>
      <c r="BD299" t="s">
        <v>74</v>
      </c>
      <c r="BE299" t="s">
        <v>5991</v>
      </c>
      <c r="BF299" t="str">
        <f>HYPERLINK("http://dx.doi.org/10.1111/jrh.12791","http://dx.doi.org/10.1111/jrh.12791")</f>
        <v>http://dx.doi.org/10.1111/jrh.12791</v>
      </c>
      <c r="BG299" t="s">
        <v>74</v>
      </c>
      <c r="BH299" t="s">
        <v>407</v>
      </c>
      <c r="BI299">
        <v>5</v>
      </c>
      <c r="BJ299" t="s">
        <v>5992</v>
      </c>
      <c r="BK299" t="s">
        <v>409</v>
      </c>
      <c r="BL299" t="s">
        <v>5993</v>
      </c>
      <c r="BM299" t="s">
        <v>5994</v>
      </c>
      <c r="BN299">
        <v>37669228</v>
      </c>
      <c r="BO299" t="s">
        <v>74</v>
      </c>
      <c r="BP299" t="s">
        <v>74</v>
      </c>
      <c r="BQ299" t="s">
        <v>74</v>
      </c>
      <c r="BR299" t="s">
        <v>99</v>
      </c>
      <c r="BS299" t="s">
        <v>5995</v>
      </c>
      <c r="BT299" t="str">
        <f>HYPERLINK("https%3A%2F%2Fwww.webofscience.com%2Fwos%2Fwoscc%2Ffull-record%2FWOS:001062264400001","View Full Record in Web of Science")</f>
        <v>View Full Record in Web of Science</v>
      </c>
    </row>
    <row r="300" spans="1:72" x14ac:dyDescent="0.15">
      <c r="A300" t="s">
        <v>72</v>
      </c>
      <c r="B300" t="s">
        <v>5996</v>
      </c>
      <c r="C300" t="s">
        <v>74</v>
      </c>
      <c r="D300" t="s">
        <v>74</v>
      </c>
      <c r="E300" t="s">
        <v>74</v>
      </c>
      <c r="F300" t="s">
        <v>5997</v>
      </c>
      <c r="G300" t="s">
        <v>74</v>
      </c>
      <c r="H300" t="s">
        <v>74</v>
      </c>
      <c r="I300" t="s">
        <v>5998</v>
      </c>
      <c r="J300" t="s">
        <v>5999</v>
      </c>
      <c r="K300" t="s">
        <v>74</v>
      </c>
      <c r="L300" t="s">
        <v>74</v>
      </c>
      <c r="M300" t="s">
        <v>78</v>
      </c>
      <c r="N300" t="s">
        <v>338</v>
      </c>
      <c r="O300" t="s">
        <v>74</v>
      </c>
      <c r="P300" t="s">
        <v>74</v>
      </c>
      <c r="Q300" t="s">
        <v>74</v>
      </c>
      <c r="R300" t="s">
        <v>74</v>
      </c>
      <c r="S300" t="s">
        <v>74</v>
      </c>
      <c r="T300" t="s">
        <v>6000</v>
      </c>
      <c r="U300" t="s">
        <v>6001</v>
      </c>
      <c r="V300" t="s">
        <v>6002</v>
      </c>
      <c r="W300" t="s">
        <v>6003</v>
      </c>
      <c r="X300" t="s">
        <v>6004</v>
      </c>
      <c r="Y300" t="s">
        <v>6005</v>
      </c>
      <c r="Z300" t="s">
        <v>6006</v>
      </c>
      <c r="AA300" t="s">
        <v>6007</v>
      </c>
      <c r="AB300" t="s">
        <v>6008</v>
      </c>
      <c r="AC300" t="s">
        <v>6009</v>
      </c>
      <c r="AD300" t="s">
        <v>6010</v>
      </c>
      <c r="AE300" t="s">
        <v>6011</v>
      </c>
      <c r="AF300" t="s">
        <v>74</v>
      </c>
      <c r="AG300">
        <v>74</v>
      </c>
      <c r="AH300">
        <v>0</v>
      </c>
      <c r="AI300">
        <v>0</v>
      </c>
      <c r="AJ300">
        <v>6</v>
      </c>
      <c r="AK300">
        <v>6</v>
      </c>
      <c r="AL300" t="s">
        <v>87</v>
      </c>
      <c r="AM300" t="s">
        <v>88</v>
      </c>
      <c r="AN300" t="s">
        <v>89</v>
      </c>
      <c r="AO300" t="s">
        <v>6012</v>
      </c>
      <c r="AP300" t="s">
        <v>6013</v>
      </c>
      <c r="AQ300" t="s">
        <v>74</v>
      </c>
      <c r="AR300" t="s">
        <v>6014</v>
      </c>
      <c r="AS300" t="s">
        <v>6015</v>
      </c>
      <c r="AT300" t="s">
        <v>5809</v>
      </c>
      <c r="AU300">
        <v>2023</v>
      </c>
      <c r="AV300" t="s">
        <v>74</v>
      </c>
      <c r="AW300" t="s">
        <v>74</v>
      </c>
      <c r="AX300" t="s">
        <v>74</v>
      </c>
      <c r="AY300" t="s">
        <v>74</v>
      </c>
      <c r="AZ300" t="s">
        <v>74</v>
      </c>
      <c r="BA300" t="s">
        <v>74</v>
      </c>
      <c r="BB300" t="s">
        <v>74</v>
      </c>
      <c r="BC300" t="s">
        <v>74</v>
      </c>
      <c r="BD300" t="s">
        <v>74</v>
      </c>
      <c r="BE300" t="s">
        <v>6016</v>
      </c>
      <c r="BF300" t="str">
        <f>HYPERLINK("http://dx.doi.org/10.1111/1365-2435.14424","http://dx.doi.org/10.1111/1365-2435.14424")</f>
        <v>http://dx.doi.org/10.1111/1365-2435.14424</v>
      </c>
      <c r="BG300" t="s">
        <v>74</v>
      </c>
      <c r="BH300" t="s">
        <v>407</v>
      </c>
      <c r="BI300">
        <v>13</v>
      </c>
      <c r="BJ300" t="s">
        <v>3316</v>
      </c>
      <c r="BK300" t="s">
        <v>119</v>
      </c>
      <c r="BL300" t="s">
        <v>3317</v>
      </c>
      <c r="BM300" t="s">
        <v>6017</v>
      </c>
      <c r="BN300" t="s">
        <v>74</v>
      </c>
      <c r="BO300" t="s">
        <v>74</v>
      </c>
      <c r="BP300" t="s">
        <v>74</v>
      </c>
      <c r="BQ300" t="s">
        <v>74</v>
      </c>
      <c r="BR300" t="s">
        <v>99</v>
      </c>
      <c r="BS300" t="s">
        <v>6018</v>
      </c>
      <c r="BT300" t="str">
        <f>HYPERLINK("https%3A%2F%2Fwww.webofscience.com%2Fwos%2Fwoscc%2Ffull-record%2FWOS:001062072600001","View Full Record in Web of Science")</f>
        <v>View Full Record in Web of Science</v>
      </c>
    </row>
    <row r="301" spans="1:72" x14ac:dyDescent="0.15">
      <c r="A301" t="s">
        <v>72</v>
      </c>
      <c r="B301" t="s">
        <v>6019</v>
      </c>
      <c r="C301" t="s">
        <v>74</v>
      </c>
      <c r="D301" t="s">
        <v>74</v>
      </c>
      <c r="E301" t="s">
        <v>74</v>
      </c>
      <c r="F301" t="s">
        <v>6020</v>
      </c>
      <c r="G301" t="s">
        <v>74</v>
      </c>
      <c r="H301" t="s">
        <v>74</v>
      </c>
      <c r="I301" t="s">
        <v>6021</v>
      </c>
      <c r="J301" t="s">
        <v>6022</v>
      </c>
      <c r="K301" t="s">
        <v>74</v>
      </c>
      <c r="L301" t="s">
        <v>74</v>
      </c>
      <c r="M301" t="s">
        <v>78</v>
      </c>
      <c r="N301" t="s">
        <v>338</v>
      </c>
      <c r="O301" t="s">
        <v>74</v>
      </c>
      <c r="P301" t="s">
        <v>74</v>
      </c>
      <c r="Q301" t="s">
        <v>74</v>
      </c>
      <c r="R301" t="s">
        <v>74</v>
      </c>
      <c r="S301" t="s">
        <v>74</v>
      </c>
      <c r="T301" t="s">
        <v>6023</v>
      </c>
      <c r="U301" t="s">
        <v>6024</v>
      </c>
      <c r="V301" t="s">
        <v>6025</v>
      </c>
      <c r="W301" t="s">
        <v>6026</v>
      </c>
      <c r="X301" t="s">
        <v>6027</v>
      </c>
      <c r="Y301" t="s">
        <v>6028</v>
      </c>
      <c r="Z301" t="s">
        <v>6029</v>
      </c>
      <c r="AA301" t="s">
        <v>74</v>
      </c>
      <c r="AB301" t="s">
        <v>74</v>
      </c>
      <c r="AC301" t="s">
        <v>74</v>
      </c>
      <c r="AD301" t="s">
        <v>74</v>
      </c>
      <c r="AE301" t="s">
        <v>74</v>
      </c>
      <c r="AF301" t="s">
        <v>74</v>
      </c>
      <c r="AG301">
        <v>27</v>
      </c>
      <c r="AH301">
        <v>0</v>
      </c>
      <c r="AI301">
        <v>0</v>
      </c>
      <c r="AJ301">
        <v>0</v>
      </c>
      <c r="AK301">
        <v>0</v>
      </c>
      <c r="AL301" t="s">
        <v>87</v>
      </c>
      <c r="AM301" t="s">
        <v>88</v>
      </c>
      <c r="AN301" t="s">
        <v>89</v>
      </c>
      <c r="AO301" t="s">
        <v>6030</v>
      </c>
      <c r="AP301" t="s">
        <v>6031</v>
      </c>
      <c r="AQ301" t="s">
        <v>74</v>
      </c>
      <c r="AR301" t="s">
        <v>6032</v>
      </c>
      <c r="AS301" t="s">
        <v>6033</v>
      </c>
      <c r="AT301" t="s">
        <v>5809</v>
      </c>
      <c r="AU301">
        <v>2023</v>
      </c>
      <c r="AV301" t="s">
        <v>74</v>
      </c>
      <c r="AW301" t="s">
        <v>74</v>
      </c>
      <c r="AX301" t="s">
        <v>74</v>
      </c>
      <c r="AY301" t="s">
        <v>74</v>
      </c>
      <c r="AZ301" t="s">
        <v>74</v>
      </c>
      <c r="BA301" t="s">
        <v>74</v>
      </c>
      <c r="BB301" t="s">
        <v>74</v>
      </c>
      <c r="BC301" t="s">
        <v>74</v>
      </c>
      <c r="BD301" t="s">
        <v>74</v>
      </c>
      <c r="BE301" t="s">
        <v>6034</v>
      </c>
      <c r="BF301" t="str">
        <f>HYPERLINK("http://dx.doi.org/10.1002/bin.1978","http://dx.doi.org/10.1002/bin.1978")</f>
        <v>http://dx.doi.org/10.1002/bin.1978</v>
      </c>
      <c r="BG301" t="s">
        <v>74</v>
      </c>
      <c r="BH301" t="s">
        <v>407</v>
      </c>
      <c r="BI301">
        <v>11</v>
      </c>
      <c r="BJ301" t="s">
        <v>6035</v>
      </c>
      <c r="BK301" t="s">
        <v>546</v>
      </c>
      <c r="BL301" t="s">
        <v>1210</v>
      </c>
      <c r="BM301" t="s">
        <v>6036</v>
      </c>
      <c r="BN301" t="s">
        <v>74</v>
      </c>
      <c r="BO301" t="s">
        <v>74</v>
      </c>
      <c r="BP301" t="s">
        <v>74</v>
      </c>
      <c r="BQ301" t="s">
        <v>74</v>
      </c>
      <c r="BR301" t="s">
        <v>99</v>
      </c>
      <c r="BS301" t="s">
        <v>6037</v>
      </c>
      <c r="BT301" t="str">
        <f>HYPERLINK("https%3A%2F%2Fwww.webofscience.com%2Fwos%2Fwoscc%2Ffull-record%2FWOS:001062435900001","View Full Record in Web of Science")</f>
        <v>View Full Record in Web of Science</v>
      </c>
    </row>
    <row r="302" spans="1:72" x14ac:dyDescent="0.15">
      <c r="A302" t="s">
        <v>72</v>
      </c>
      <c r="B302" t="s">
        <v>6038</v>
      </c>
      <c r="C302" t="s">
        <v>74</v>
      </c>
      <c r="D302" t="s">
        <v>74</v>
      </c>
      <c r="E302" t="s">
        <v>74</v>
      </c>
      <c r="F302" t="s">
        <v>6039</v>
      </c>
      <c r="G302" t="s">
        <v>74</v>
      </c>
      <c r="H302" t="s">
        <v>74</v>
      </c>
      <c r="I302" t="s">
        <v>6040</v>
      </c>
      <c r="J302" t="s">
        <v>5674</v>
      </c>
      <c r="K302" t="s">
        <v>74</v>
      </c>
      <c r="L302" t="s">
        <v>74</v>
      </c>
      <c r="M302" t="s">
        <v>78</v>
      </c>
      <c r="N302" t="s">
        <v>338</v>
      </c>
      <c r="O302" t="s">
        <v>74</v>
      </c>
      <c r="P302" t="s">
        <v>74</v>
      </c>
      <c r="Q302" t="s">
        <v>74</v>
      </c>
      <c r="R302" t="s">
        <v>74</v>
      </c>
      <c r="S302" t="s">
        <v>74</v>
      </c>
      <c r="T302" t="s">
        <v>6041</v>
      </c>
      <c r="U302" t="s">
        <v>6042</v>
      </c>
      <c r="V302" t="s">
        <v>6043</v>
      </c>
      <c r="W302" t="s">
        <v>6044</v>
      </c>
      <c r="X302" t="s">
        <v>6045</v>
      </c>
      <c r="Y302" t="s">
        <v>6046</v>
      </c>
      <c r="Z302" t="s">
        <v>6047</v>
      </c>
      <c r="AA302" t="s">
        <v>74</v>
      </c>
      <c r="AB302" t="s">
        <v>6048</v>
      </c>
      <c r="AC302" t="s">
        <v>6049</v>
      </c>
      <c r="AD302" t="s">
        <v>3742</v>
      </c>
      <c r="AE302" t="s">
        <v>6050</v>
      </c>
      <c r="AF302" t="s">
        <v>74</v>
      </c>
      <c r="AG302">
        <v>35</v>
      </c>
      <c r="AH302">
        <v>0</v>
      </c>
      <c r="AI302">
        <v>0</v>
      </c>
      <c r="AJ302">
        <v>1</v>
      </c>
      <c r="AK302">
        <v>1</v>
      </c>
      <c r="AL302" t="s">
        <v>87</v>
      </c>
      <c r="AM302" t="s">
        <v>88</v>
      </c>
      <c r="AN302" t="s">
        <v>89</v>
      </c>
      <c r="AO302" t="s">
        <v>5686</v>
      </c>
      <c r="AP302" t="s">
        <v>5687</v>
      </c>
      <c r="AQ302" t="s">
        <v>74</v>
      </c>
      <c r="AR302" t="s">
        <v>5688</v>
      </c>
      <c r="AS302" t="s">
        <v>5689</v>
      </c>
      <c r="AT302" t="s">
        <v>5809</v>
      </c>
      <c r="AU302">
        <v>2023</v>
      </c>
      <c r="AV302" t="s">
        <v>74</v>
      </c>
      <c r="AW302" t="s">
        <v>74</v>
      </c>
      <c r="AX302" t="s">
        <v>74</v>
      </c>
      <c r="AY302" t="s">
        <v>74</v>
      </c>
      <c r="AZ302" t="s">
        <v>74</v>
      </c>
      <c r="BA302" t="s">
        <v>74</v>
      </c>
      <c r="BB302" t="s">
        <v>74</v>
      </c>
      <c r="BC302" t="s">
        <v>74</v>
      </c>
      <c r="BD302" t="s">
        <v>74</v>
      </c>
      <c r="BE302" t="s">
        <v>6051</v>
      </c>
      <c r="BF302" t="str">
        <f>HYPERLINK("http://dx.doi.org/10.1111/hepr.13960","http://dx.doi.org/10.1111/hepr.13960")</f>
        <v>http://dx.doi.org/10.1111/hepr.13960</v>
      </c>
      <c r="BG302" t="s">
        <v>74</v>
      </c>
      <c r="BH302" t="s">
        <v>407</v>
      </c>
      <c r="BI302">
        <v>15</v>
      </c>
      <c r="BJ302" t="s">
        <v>95</v>
      </c>
      <c r="BK302" t="s">
        <v>119</v>
      </c>
      <c r="BL302" t="s">
        <v>95</v>
      </c>
      <c r="BM302" t="s">
        <v>6052</v>
      </c>
      <c r="BN302">
        <v>37632703</v>
      </c>
      <c r="BO302" t="s">
        <v>74</v>
      </c>
      <c r="BP302" t="s">
        <v>74</v>
      </c>
      <c r="BQ302" t="s">
        <v>74</v>
      </c>
      <c r="BR302" t="s">
        <v>99</v>
      </c>
      <c r="BS302" t="s">
        <v>6053</v>
      </c>
      <c r="BT302" t="str">
        <f>HYPERLINK("https%3A%2F%2Fwww.webofscience.com%2Fwos%2Fwoscc%2Ffull-record%2FWOS:001061557700001","View Full Record in Web of Science")</f>
        <v>View Full Record in Web of Science</v>
      </c>
    </row>
    <row r="303" spans="1:72" x14ac:dyDescent="0.15">
      <c r="A303" t="s">
        <v>72</v>
      </c>
      <c r="B303" t="s">
        <v>6054</v>
      </c>
      <c r="C303" t="s">
        <v>74</v>
      </c>
      <c r="D303" t="s">
        <v>74</v>
      </c>
      <c r="E303" t="s">
        <v>74</v>
      </c>
      <c r="F303" t="s">
        <v>6055</v>
      </c>
      <c r="G303" t="s">
        <v>74</v>
      </c>
      <c r="H303" t="s">
        <v>74</v>
      </c>
      <c r="I303" t="s">
        <v>6056</v>
      </c>
      <c r="J303" t="s">
        <v>6057</v>
      </c>
      <c r="K303" t="s">
        <v>74</v>
      </c>
      <c r="L303" t="s">
        <v>74</v>
      </c>
      <c r="M303" t="s">
        <v>78</v>
      </c>
      <c r="N303" t="s">
        <v>338</v>
      </c>
      <c r="O303" t="s">
        <v>74</v>
      </c>
      <c r="P303" t="s">
        <v>74</v>
      </c>
      <c r="Q303" t="s">
        <v>74</v>
      </c>
      <c r="R303" t="s">
        <v>74</v>
      </c>
      <c r="S303" t="s">
        <v>74</v>
      </c>
      <c r="T303" t="s">
        <v>6058</v>
      </c>
      <c r="U303" t="s">
        <v>6059</v>
      </c>
      <c r="V303" t="s">
        <v>6060</v>
      </c>
      <c r="W303" t="s">
        <v>6061</v>
      </c>
      <c r="X303" t="s">
        <v>6062</v>
      </c>
      <c r="Y303" t="s">
        <v>6063</v>
      </c>
      <c r="Z303" t="s">
        <v>6064</v>
      </c>
      <c r="AA303" t="s">
        <v>74</v>
      </c>
      <c r="AB303" t="s">
        <v>74</v>
      </c>
      <c r="AC303" t="s">
        <v>6065</v>
      </c>
      <c r="AD303" t="s">
        <v>6066</v>
      </c>
      <c r="AE303" t="s">
        <v>6067</v>
      </c>
      <c r="AF303" t="s">
        <v>74</v>
      </c>
      <c r="AG303">
        <v>80</v>
      </c>
      <c r="AH303">
        <v>0</v>
      </c>
      <c r="AI303">
        <v>0</v>
      </c>
      <c r="AJ303">
        <v>0</v>
      </c>
      <c r="AK303">
        <v>0</v>
      </c>
      <c r="AL303" t="s">
        <v>87</v>
      </c>
      <c r="AM303" t="s">
        <v>88</v>
      </c>
      <c r="AN303" t="s">
        <v>89</v>
      </c>
      <c r="AO303" t="s">
        <v>74</v>
      </c>
      <c r="AP303" t="s">
        <v>6068</v>
      </c>
      <c r="AQ303" t="s">
        <v>74</v>
      </c>
      <c r="AR303" t="s">
        <v>6069</v>
      </c>
      <c r="AS303" t="s">
        <v>6070</v>
      </c>
      <c r="AT303" t="s">
        <v>5809</v>
      </c>
      <c r="AU303">
        <v>2023</v>
      </c>
      <c r="AV303" t="s">
        <v>74</v>
      </c>
      <c r="AW303" t="s">
        <v>74</v>
      </c>
      <c r="AX303" t="s">
        <v>74</v>
      </c>
      <c r="AY303" t="s">
        <v>74</v>
      </c>
      <c r="AZ303" t="s">
        <v>74</v>
      </c>
      <c r="BA303" t="s">
        <v>74</v>
      </c>
      <c r="BB303" t="s">
        <v>74</v>
      </c>
      <c r="BC303" t="s">
        <v>74</v>
      </c>
      <c r="BD303" t="s">
        <v>6071</v>
      </c>
      <c r="BE303" t="s">
        <v>6072</v>
      </c>
      <c r="BF303" t="str">
        <f>HYPERLINK("http://dx.doi.org/10.1002/btm2.10593","http://dx.doi.org/10.1002/btm2.10593")</f>
        <v>http://dx.doi.org/10.1002/btm2.10593</v>
      </c>
      <c r="BG303" t="s">
        <v>74</v>
      </c>
      <c r="BH303" t="s">
        <v>407</v>
      </c>
      <c r="BI303">
        <v>19</v>
      </c>
      <c r="BJ303" t="s">
        <v>6073</v>
      </c>
      <c r="BK303" t="s">
        <v>119</v>
      </c>
      <c r="BL303" t="s">
        <v>6074</v>
      </c>
      <c r="BM303" t="s">
        <v>6075</v>
      </c>
      <c r="BN303" t="s">
        <v>74</v>
      </c>
      <c r="BO303" t="s">
        <v>234</v>
      </c>
      <c r="BP303" t="s">
        <v>74</v>
      </c>
      <c r="BQ303" t="s">
        <v>74</v>
      </c>
      <c r="BR303" t="s">
        <v>99</v>
      </c>
      <c r="BS303" t="s">
        <v>6076</v>
      </c>
      <c r="BT303" t="str">
        <f>HYPERLINK("https%3A%2F%2Fwww.webofscience.com%2Fwos%2Fwoscc%2Ffull-record%2FWOS:001062036800001","View Full Record in Web of Science")</f>
        <v>View Full Record in Web of Science</v>
      </c>
    </row>
    <row r="304" spans="1:72" x14ac:dyDescent="0.15">
      <c r="A304" t="s">
        <v>72</v>
      </c>
      <c r="B304" t="s">
        <v>6077</v>
      </c>
      <c r="C304" t="s">
        <v>74</v>
      </c>
      <c r="D304" t="s">
        <v>74</v>
      </c>
      <c r="E304" t="s">
        <v>74</v>
      </c>
      <c r="F304" t="s">
        <v>6078</v>
      </c>
      <c r="G304" t="s">
        <v>74</v>
      </c>
      <c r="H304" t="s">
        <v>74</v>
      </c>
      <c r="I304" t="s">
        <v>6079</v>
      </c>
      <c r="J304" t="s">
        <v>2028</v>
      </c>
      <c r="K304" t="s">
        <v>74</v>
      </c>
      <c r="L304" t="s">
        <v>74</v>
      </c>
      <c r="M304" t="s">
        <v>78</v>
      </c>
      <c r="N304" t="s">
        <v>79</v>
      </c>
      <c r="O304" t="s">
        <v>74</v>
      </c>
      <c r="P304" t="s">
        <v>74</v>
      </c>
      <c r="Q304" t="s">
        <v>74</v>
      </c>
      <c r="R304" t="s">
        <v>74</v>
      </c>
      <c r="S304" t="s">
        <v>74</v>
      </c>
      <c r="T304" t="s">
        <v>6080</v>
      </c>
      <c r="U304" t="s">
        <v>6081</v>
      </c>
      <c r="V304" t="s">
        <v>6082</v>
      </c>
      <c r="W304" t="s">
        <v>6083</v>
      </c>
      <c r="X304" t="s">
        <v>6084</v>
      </c>
      <c r="Y304" t="s">
        <v>6085</v>
      </c>
      <c r="Z304" t="s">
        <v>6086</v>
      </c>
      <c r="AA304" t="s">
        <v>74</v>
      </c>
      <c r="AB304" t="s">
        <v>74</v>
      </c>
      <c r="AC304" t="s">
        <v>6087</v>
      </c>
      <c r="AD304" t="s">
        <v>6088</v>
      </c>
      <c r="AE304" t="s">
        <v>6089</v>
      </c>
      <c r="AF304" t="s">
        <v>74</v>
      </c>
      <c r="AG304">
        <v>68</v>
      </c>
      <c r="AH304">
        <v>0</v>
      </c>
      <c r="AI304">
        <v>0</v>
      </c>
      <c r="AJ304">
        <v>1</v>
      </c>
      <c r="AK304">
        <v>1</v>
      </c>
      <c r="AL304" t="s">
        <v>426</v>
      </c>
      <c r="AM304" t="s">
        <v>427</v>
      </c>
      <c r="AN304" t="s">
        <v>428</v>
      </c>
      <c r="AO304" t="s">
        <v>2037</v>
      </c>
      <c r="AP304" t="s">
        <v>74</v>
      </c>
      <c r="AQ304" t="s">
        <v>74</v>
      </c>
      <c r="AR304" t="s">
        <v>2028</v>
      </c>
      <c r="AS304" t="s">
        <v>2038</v>
      </c>
      <c r="AT304" t="s">
        <v>5889</v>
      </c>
      <c r="AU304">
        <v>2023</v>
      </c>
      <c r="AV304">
        <v>8</v>
      </c>
      <c r="AW304">
        <v>33</v>
      </c>
      <c r="AX304" t="s">
        <v>74</v>
      </c>
      <c r="AY304" t="s">
        <v>74</v>
      </c>
      <c r="AZ304" t="s">
        <v>74</v>
      </c>
      <c r="BA304" t="s">
        <v>74</v>
      </c>
      <c r="BB304" t="s">
        <v>74</v>
      </c>
      <c r="BC304" t="s">
        <v>74</v>
      </c>
      <c r="BD304" t="s">
        <v>6090</v>
      </c>
      <c r="BE304" t="s">
        <v>6091</v>
      </c>
      <c r="BF304" t="str">
        <f>HYPERLINK("http://dx.doi.org/10.1002/slct.202204179","http://dx.doi.org/10.1002/slct.202204179")</f>
        <v>http://dx.doi.org/10.1002/slct.202204179</v>
      </c>
      <c r="BG304" t="s">
        <v>74</v>
      </c>
      <c r="BH304" t="s">
        <v>74</v>
      </c>
      <c r="BI304">
        <v>13</v>
      </c>
      <c r="BJ304" t="s">
        <v>523</v>
      </c>
      <c r="BK304" t="s">
        <v>119</v>
      </c>
      <c r="BL304" t="s">
        <v>524</v>
      </c>
      <c r="BM304" t="s">
        <v>6092</v>
      </c>
      <c r="BN304" t="s">
        <v>74</v>
      </c>
      <c r="BO304" t="s">
        <v>74</v>
      </c>
      <c r="BP304" t="s">
        <v>74</v>
      </c>
      <c r="BQ304" t="s">
        <v>74</v>
      </c>
      <c r="BR304" t="s">
        <v>99</v>
      </c>
      <c r="BS304" t="s">
        <v>6093</v>
      </c>
      <c r="BT304" t="str">
        <f>HYPERLINK("https%3A%2F%2Fwww.webofscience.com%2Fwos%2Fwoscc%2Ffull-record%2FWOS:001055780600001","View Full Record in Web of Science")</f>
        <v>View Full Record in Web of Science</v>
      </c>
    </row>
    <row r="305" spans="1:72" x14ac:dyDescent="0.15">
      <c r="A305" t="s">
        <v>72</v>
      </c>
      <c r="B305" t="s">
        <v>6094</v>
      </c>
      <c r="C305" t="s">
        <v>74</v>
      </c>
      <c r="D305" t="s">
        <v>74</v>
      </c>
      <c r="E305" t="s">
        <v>74</v>
      </c>
      <c r="F305" t="s">
        <v>6095</v>
      </c>
      <c r="G305" t="s">
        <v>74</v>
      </c>
      <c r="H305" t="s">
        <v>74</v>
      </c>
      <c r="I305" t="s">
        <v>6096</v>
      </c>
      <c r="J305" t="s">
        <v>416</v>
      </c>
      <c r="K305" t="s">
        <v>74</v>
      </c>
      <c r="L305" t="s">
        <v>74</v>
      </c>
      <c r="M305" t="s">
        <v>78</v>
      </c>
      <c r="N305" t="s">
        <v>338</v>
      </c>
      <c r="O305" t="s">
        <v>74</v>
      </c>
      <c r="P305" t="s">
        <v>74</v>
      </c>
      <c r="Q305" t="s">
        <v>74</v>
      </c>
      <c r="R305" t="s">
        <v>74</v>
      </c>
      <c r="S305" t="s">
        <v>74</v>
      </c>
      <c r="T305" t="s">
        <v>6097</v>
      </c>
      <c r="U305" t="s">
        <v>6098</v>
      </c>
      <c r="V305" t="s">
        <v>6099</v>
      </c>
      <c r="W305" t="s">
        <v>6100</v>
      </c>
      <c r="X305" t="s">
        <v>6101</v>
      </c>
      <c r="Y305" t="s">
        <v>6102</v>
      </c>
      <c r="Z305" t="s">
        <v>6103</v>
      </c>
      <c r="AA305" t="s">
        <v>74</v>
      </c>
      <c r="AB305" t="s">
        <v>74</v>
      </c>
      <c r="AC305" t="s">
        <v>6104</v>
      </c>
      <c r="AD305" t="s">
        <v>6105</v>
      </c>
      <c r="AE305" t="s">
        <v>6106</v>
      </c>
      <c r="AF305" t="s">
        <v>74</v>
      </c>
      <c r="AG305">
        <v>60</v>
      </c>
      <c r="AH305">
        <v>0</v>
      </c>
      <c r="AI305">
        <v>0</v>
      </c>
      <c r="AJ305">
        <v>4</v>
      </c>
      <c r="AK305">
        <v>4</v>
      </c>
      <c r="AL305" t="s">
        <v>426</v>
      </c>
      <c r="AM305" t="s">
        <v>427</v>
      </c>
      <c r="AN305" t="s">
        <v>428</v>
      </c>
      <c r="AO305" t="s">
        <v>429</v>
      </c>
      <c r="AP305" t="s">
        <v>430</v>
      </c>
      <c r="AQ305" t="s">
        <v>74</v>
      </c>
      <c r="AR305" t="s">
        <v>416</v>
      </c>
      <c r="AS305" t="s">
        <v>431</v>
      </c>
      <c r="AT305" t="s">
        <v>6107</v>
      </c>
      <c r="AU305">
        <v>2023</v>
      </c>
      <c r="AV305" t="s">
        <v>74</v>
      </c>
      <c r="AW305" t="s">
        <v>74</v>
      </c>
      <c r="AX305" t="s">
        <v>74</v>
      </c>
      <c r="AY305" t="s">
        <v>74</v>
      </c>
      <c r="AZ305" t="s">
        <v>74</v>
      </c>
      <c r="BA305" t="s">
        <v>74</v>
      </c>
      <c r="BB305" t="s">
        <v>74</v>
      </c>
      <c r="BC305" t="s">
        <v>74</v>
      </c>
      <c r="BD305" t="s">
        <v>74</v>
      </c>
      <c r="BE305" t="s">
        <v>6108</v>
      </c>
      <c r="BF305" t="str">
        <f>HYPERLINK("http://dx.doi.org/10.1002/star.202300013","http://dx.doi.org/10.1002/star.202300013")</f>
        <v>http://dx.doi.org/10.1002/star.202300013</v>
      </c>
      <c r="BG305" t="s">
        <v>74</v>
      </c>
      <c r="BH305" t="s">
        <v>407</v>
      </c>
      <c r="BI305">
        <v>8</v>
      </c>
      <c r="BJ305" t="s">
        <v>433</v>
      </c>
      <c r="BK305" t="s">
        <v>119</v>
      </c>
      <c r="BL305" t="s">
        <v>433</v>
      </c>
      <c r="BM305" t="s">
        <v>6109</v>
      </c>
      <c r="BN305" t="s">
        <v>74</v>
      </c>
      <c r="BO305" t="s">
        <v>74</v>
      </c>
      <c r="BP305" t="s">
        <v>74</v>
      </c>
      <c r="BQ305" t="s">
        <v>74</v>
      </c>
      <c r="BR305" t="s">
        <v>99</v>
      </c>
      <c r="BS305" t="s">
        <v>6110</v>
      </c>
      <c r="BT305" t="str">
        <f>HYPERLINK("https%3A%2F%2Fwww.webofscience.com%2Fwos%2Fwoscc%2Ffull-record%2FWOS:001061380300001","View Full Record in Web of Science")</f>
        <v>View Full Record in Web of Science</v>
      </c>
    </row>
    <row r="306" spans="1:72" x14ac:dyDescent="0.15">
      <c r="A306" t="s">
        <v>72</v>
      </c>
      <c r="B306" t="s">
        <v>6111</v>
      </c>
      <c r="C306" t="s">
        <v>74</v>
      </c>
      <c r="D306" t="s">
        <v>74</v>
      </c>
      <c r="E306" t="s">
        <v>74</v>
      </c>
      <c r="F306" t="s">
        <v>6112</v>
      </c>
      <c r="G306" t="s">
        <v>74</v>
      </c>
      <c r="H306" t="s">
        <v>74</v>
      </c>
      <c r="I306" t="s">
        <v>6113</v>
      </c>
      <c r="J306" t="s">
        <v>3347</v>
      </c>
      <c r="K306" t="s">
        <v>74</v>
      </c>
      <c r="L306" t="s">
        <v>74</v>
      </c>
      <c r="M306" t="s">
        <v>78</v>
      </c>
      <c r="N306" t="s">
        <v>338</v>
      </c>
      <c r="O306" t="s">
        <v>74</v>
      </c>
      <c r="P306" t="s">
        <v>74</v>
      </c>
      <c r="Q306" t="s">
        <v>74</v>
      </c>
      <c r="R306" t="s">
        <v>74</v>
      </c>
      <c r="S306" t="s">
        <v>74</v>
      </c>
      <c r="T306" t="s">
        <v>6114</v>
      </c>
      <c r="U306" t="s">
        <v>6115</v>
      </c>
      <c r="V306" t="s">
        <v>6116</v>
      </c>
      <c r="W306" t="s">
        <v>6117</v>
      </c>
      <c r="X306" t="s">
        <v>6118</v>
      </c>
      <c r="Y306" t="s">
        <v>6119</v>
      </c>
      <c r="Z306" t="s">
        <v>6120</v>
      </c>
      <c r="AA306" t="s">
        <v>74</v>
      </c>
      <c r="AB306" t="s">
        <v>6121</v>
      </c>
      <c r="AC306" t="s">
        <v>6122</v>
      </c>
      <c r="AD306" t="s">
        <v>6123</v>
      </c>
      <c r="AE306" t="s">
        <v>6124</v>
      </c>
      <c r="AF306" t="s">
        <v>74</v>
      </c>
      <c r="AG306">
        <v>57</v>
      </c>
      <c r="AH306">
        <v>0</v>
      </c>
      <c r="AI306">
        <v>0</v>
      </c>
      <c r="AJ306">
        <v>3</v>
      </c>
      <c r="AK306">
        <v>3</v>
      </c>
      <c r="AL306" t="s">
        <v>426</v>
      </c>
      <c r="AM306" t="s">
        <v>427</v>
      </c>
      <c r="AN306" t="s">
        <v>428</v>
      </c>
      <c r="AO306" t="s">
        <v>3358</v>
      </c>
      <c r="AP306" t="s">
        <v>3359</v>
      </c>
      <c r="AQ306" t="s">
        <v>74</v>
      </c>
      <c r="AR306" t="s">
        <v>3347</v>
      </c>
      <c r="AS306" t="s">
        <v>3360</v>
      </c>
      <c r="AT306" t="s">
        <v>6107</v>
      </c>
      <c r="AU306">
        <v>2023</v>
      </c>
      <c r="AV306" t="s">
        <v>74</v>
      </c>
      <c r="AW306" t="s">
        <v>74</v>
      </c>
      <c r="AX306" t="s">
        <v>74</v>
      </c>
      <c r="AY306" t="s">
        <v>74</v>
      </c>
      <c r="AZ306" t="s">
        <v>74</v>
      </c>
      <c r="BA306" t="s">
        <v>74</v>
      </c>
      <c r="BB306" t="s">
        <v>74</v>
      </c>
      <c r="BC306" t="s">
        <v>74</v>
      </c>
      <c r="BD306" t="s">
        <v>74</v>
      </c>
      <c r="BE306" t="s">
        <v>6125</v>
      </c>
      <c r="BF306" t="str">
        <f>HYPERLINK("http://dx.doi.org/10.1002/cbic.202300400","http://dx.doi.org/10.1002/cbic.202300400")</f>
        <v>http://dx.doi.org/10.1002/cbic.202300400</v>
      </c>
      <c r="BG306" t="s">
        <v>74</v>
      </c>
      <c r="BH306" t="s">
        <v>407</v>
      </c>
      <c r="BI306">
        <v>9</v>
      </c>
      <c r="BJ306" t="s">
        <v>3363</v>
      </c>
      <c r="BK306" t="s">
        <v>119</v>
      </c>
      <c r="BL306" t="s">
        <v>3364</v>
      </c>
      <c r="BM306" t="s">
        <v>6126</v>
      </c>
      <c r="BN306">
        <v>37518671</v>
      </c>
      <c r="BO306" t="s">
        <v>122</v>
      </c>
      <c r="BP306" t="s">
        <v>74</v>
      </c>
      <c r="BQ306" t="s">
        <v>74</v>
      </c>
      <c r="BR306" t="s">
        <v>99</v>
      </c>
      <c r="BS306" t="s">
        <v>6127</v>
      </c>
      <c r="BT306" t="str">
        <f>HYPERLINK("https%3A%2F%2Fwww.webofscience.com%2Fwos%2Fwoscc%2Ffull-record%2FWOS:001057871500001","View Full Record in Web of Science")</f>
        <v>View Full Record in Web of Science</v>
      </c>
    </row>
    <row r="307" spans="1:72" x14ac:dyDescent="0.15">
      <c r="A307" t="s">
        <v>72</v>
      </c>
      <c r="B307" t="s">
        <v>6128</v>
      </c>
      <c r="C307" t="s">
        <v>74</v>
      </c>
      <c r="D307" t="s">
        <v>74</v>
      </c>
      <c r="E307" t="s">
        <v>74</v>
      </c>
      <c r="F307" t="s">
        <v>6129</v>
      </c>
      <c r="G307" t="s">
        <v>74</v>
      </c>
      <c r="H307" t="s">
        <v>74</v>
      </c>
      <c r="I307" t="s">
        <v>6130</v>
      </c>
      <c r="J307" t="s">
        <v>6131</v>
      </c>
      <c r="K307" t="s">
        <v>74</v>
      </c>
      <c r="L307" t="s">
        <v>74</v>
      </c>
      <c r="M307" t="s">
        <v>78</v>
      </c>
      <c r="N307" t="s">
        <v>338</v>
      </c>
      <c r="O307" t="s">
        <v>74</v>
      </c>
      <c r="P307" t="s">
        <v>74</v>
      </c>
      <c r="Q307" t="s">
        <v>74</v>
      </c>
      <c r="R307" t="s">
        <v>74</v>
      </c>
      <c r="S307" t="s">
        <v>74</v>
      </c>
      <c r="T307" t="s">
        <v>6132</v>
      </c>
      <c r="U307" t="s">
        <v>6133</v>
      </c>
      <c r="V307" t="s">
        <v>6134</v>
      </c>
      <c r="W307" t="s">
        <v>6135</v>
      </c>
      <c r="X307" t="s">
        <v>6136</v>
      </c>
      <c r="Y307" t="s">
        <v>6137</v>
      </c>
      <c r="Z307" t="s">
        <v>6138</v>
      </c>
      <c r="AA307" t="s">
        <v>6139</v>
      </c>
      <c r="AB307" t="s">
        <v>6140</v>
      </c>
      <c r="AC307" t="s">
        <v>6141</v>
      </c>
      <c r="AD307" t="s">
        <v>6142</v>
      </c>
      <c r="AE307" t="s">
        <v>6143</v>
      </c>
      <c r="AF307" t="s">
        <v>74</v>
      </c>
      <c r="AG307">
        <v>64</v>
      </c>
      <c r="AH307">
        <v>0</v>
      </c>
      <c r="AI307">
        <v>0</v>
      </c>
      <c r="AJ307">
        <v>3</v>
      </c>
      <c r="AK307">
        <v>3</v>
      </c>
      <c r="AL307" t="s">
        <v>87</v>
      </c>
      <c r="AM307" t="s">
        <v>88</v>
      </c>
      <c r="AN307" t="s">
        <v>89</v>
      </c>
      <c r="AO307" t="s">
        <v>74</v>
      </c>
      <c r="AP307" t="s">
        <v>6144</v>
      </c>
      <c r="AQ307" t="s">
        <v>74</v>
      </c>
      <c r="AR307" t="s">
        <v>6145</v>
      </c>
      <c r="AS307" t="s">
        <v>6146</v>
      </c>
      <c r="AT307" t="s">
        <v>6107</v>
      </c>
      <c r="AU307">
        <v>2023</v>
      </c>
      <c r="AV307" t="s">
        <v>74</v>
      </c>
      <c r="AW307" t="s">
        <v>74</v>
      </c>
      <c r="AX307" t="s">
        <v>74</v>
      </c>
      <c r="AY307" t="s">
        <v>74</v>
      </c>
      <c r="AZ307" t="s">
        <v>74</v>
      </c>
      <c r="BA307" t="s">
        <v>74</v>
      </c>
      <c r="BB307" t="s">
        <v>74</v>
      </c>
      <c r="BC307" t="s">
        <v>74</v>
      </c>
      <c r="BD307" t="s">
        <v>6147</v>
      </c>
      <c r="BE307" t="s">
        <v>6148</v>
      </c>
      <c r="BF307" t="str">
        <f>HYPERLINK("http://dx.doi.org/10.1002/eem2.12668","http://dx.doi.org/10.1002/eem2.12668")</f>
        <v>http://dx.doi.org/10.1002/eem2.12668</v>
      </c>
      <c r="BG307" t="s">
        <v>74</v>
      </c>
      <c r="BH307" t="s">
        <v>407</v>
      </c>
      <c r="BI307">
        <v>9</v>
      </c>
      <c r="BJ307" t="s">
        <v>1998</v>
      </c>
      <c r="BK307" t="s">
        <v>119</v>
      </c>
      <c r="BL307" t="s">
        <v>1999</v>
      </c>
      <c r="BM307" t="s">
        <v>6149</v>
      </c>
      <c r="BN307" t="s">
        <v>74</v>
      </c>
      <c r="BO307" t="s">
        <v>122</v>
      </c>
      <c r="BP307" t="s">
        <v>74</v>
      </c>
      <c r="BQ307" t="s">
        <v>74</v>
      </c>
      <c r="BR307" t="s">
        <v>99</v>
      </c>
      <c r="BS307" t="s">
        <v>6150</v>
      </c>
      <c r="BT307" t="str">
        <f>HYPERLINK("https%3A%2F%2Fwww.webofscience.com%2Fwos%2Fwoscc%2Ffull-record%2FWOS:001060906300001","View Full Record in Web of Science")</f>
        <v>View Full Record in Web of Science</v>
      </c>
    </row>
    <row r="308" spans="1:72" x14ac:dyDescent="0.15">
      <c r="A308" t="s">
        <v>72</v>
      </c>
      <c r="B308" t="s">
        <v>6151</v>
      </c>
      <c r="C308" t="s">
        <v>74</v>
      </c>
      <c r="D308" t="s">
        <v>74</v>
      </c>
      <c r="E308" t="s">
        <v>74</v>
      </c>
      <c r="F308" t="s">
        <v>6152</v>
      </c>
      <c r="G308" t="s">
        <v>74</v>
      </c>
      <c r="H308" t="s">
        <v>74</v>
      </c>
      <c r="I308" t="s">
        <v>6153</v>
      </c>
      <c r="J308" t="s">
        <v>2913</v>
      </c>
      <c r="K308" t="s">
        <v>74</v>
      </c>
      <c r="L308" t="s">
        <v>74</v>
      </c>
      <c r="M308" t="s">
        <v>78</v>
      </c>
      <c r="N308" t="s">
        <v>338</v>
      </c>
      <c r="O308" t="s">
        <v>74</v>
      </c>
      <c r="P308" t="s">
        <v>74</v>
      </c>
      <c r="Q308" t="s">
        <v>74</v>
      </c>
      <c r="R308" t="s">
        <v>74</v>
      </c>
      <c r="S308" t="s">
        <v>74</v>
      </c>
      <c r="T308" t="s">
        <v>6154</v>
      </c>
      <c r="U308" t="s">
        <v>6155</v>
      </c>
      <c r="V308" t="s">
        <v>6156</v>
      </c>
      <c r="W308" t="s">
        <v>6157</v>
      </c>
      <c r="X308" t="s">
        <v>6158</v>
      </c>
      <c r="Y308" t="s">
        <v>6159</v>
      </c>
      <c r="Z308" t="s">
        <v>6160</v>
      </c>
      <c r="AA308" t="s">
        <v>6161</v>
      </c>
      <c r="AB308" t="s">
        <v>6162</v>
      </c>
      <c r="AC308" t="s">
        <v>6163</v>
      </c>
      <c r="AD308" t="s">
        <v>6164</v>
      </c>
      <c r="AE308" t="s">
        <v>6165</v>
      </c>
      <c r="AF308" t="s">
        <v>74</v>
      </c>
      <c r="AG308">
        <v>62</v>
      </c>
      <c r="AH308">
        <v>0</v>
      </c>
      <c r="AI308">
        <v>0</v>
      </c>
      <c r="AJ308">
        <v>2</v>
      </c>
      <c r="AK308">
        <v>2</v>
      </c>
      <c r="AL308" t="s">
        <v>426</v>
      </c>
      <c r="AM308" t="s">
        <v>427</v>
      </c>
      <c r="AN308" t="s">
        <v>428</v>
      </c>
      <c r="AO308" t="s">
        <v>2925</v>
      </c>
      <c r="AP308" t="s">
        <v>2926</v>
      </c>
      <c r="AQ308" t="s">
        <v>74</v>
      </c>
      <c r="AR308" t="s">
        <v>2927</v>
      </c>
      <c r="AS308" t="s">
        <v>2928</v>
      </c>
      <c r="AT308" t="s">
        <v>6107</v>
      </c>
      <c r="AU308">
        <v>2023</v>
      </c>
      <c r="AV308" t="s">
        <v>74</v>
      </c>
      <c r="AW308" t="s">
        <v>74</v>
      </c>
      <c r="AX308" t="s">
        <v>74</v>
      </c>
      <c r="AY308" t="s">
        <v>74</v>
      </c>
      <c r="AZ308" t="s">
        <v>74</v>
      </c>
      <c r="BA308" t="s">
        <v>74</v>
      </c>
      <c r="BB308" t="s">
        <v>74</v>
      </c>
      <c r="BC308" t="s">
        <v>74</v>
      </c>
      <c r="BD308" t="s">
        <v>74</v>
      </c>
      <c r="BE308" t="s">
        <v>6166</v>
      </c>
      <c r="BF308" t="str">
        <f>HYPERLINK("http://dx.doi.org/10.1002/chem.202301849","http://dx.doi.org/10.1002/chem.202301849")</f>
        <v>http://dx.doi.org/10.1002/chem.202301849</v>
      </c>
      <c r="BG308" t="s">
        <v>74</v>
      </c>
      <c r="BH308" t="s">
        <v>407</v>
      </c>
      <c r="BI308">
        <v>12</v>
      </c>
      <c r="BJ308" t="s">
        <v>523</v>
      </c>
      <c r="BK308" t="s">
        <v>119</v>
      </c>
      <c r="BL308" t="s">
        <v>524</v>
      </c>
      <c r="BM308" t="s">
        <v>6167</v>
      </c>
      <c r="BN308">
        <v>37429823</v>
      </c>
      <c r="BO308" t="s">
        <v>122</v>
      </c>
      <c r="BP308" t="s">
        <v>74</v>
      </c>
      <c r="BQ308" t="s">
        <v>74</v>
      </c>
      <c r="BR308" t="s">
        <v>99</v>
      </c>
      <c r="BS308" t="s">
        <v>6168</v>
      </c>
      <c r="BT308" t="str">
        <f>HYPERLINK("https%3A%2F%2Fwww.webofscience.com%2Fwos%2Fwoscc%2Ffull-record%2FWOS:001061626100001","View Full Record in Web of Science")</f>
        <v>View Full Record in Web of Science</v>
      </c>
    </row>
    <row r="309" spans="1:72" x14ac:dyDescent="0.15">
      <c r="A309" t="s">
        <v>72</v>
      </c>
      <c r="B309" t="s">
        <v>6169</v>
      </c>
      <c r="C309" t="s">
        <v>74</v>
      </c>
      <c r="D309" t="s">
        <v>74</v>
      </c>
      <c r="E309" t="s">
        <v>74</v>
      </c>
      <c r="F309" t="s">
        <v>6170</v>
      </c>
      <c r="G309" t="s">
        <v>74</v>
      </c>
      <c r="H309" t="s">
        <v>74</v>
      </c>
      <c r="I309" t="s">
        <v>6171</v>
      </c>
      <c r="J309" t="s">
        <v>6172</v>
      </c>
      <c r="K309" t="s">
        <v>74</v>
      </c>
      <c r="L309" t="s">
        <v>74</v>
      </c>
      <c r="M309" t="s">
        <v>78</v>
      </c>
      <c r="N309" t="s">
        <v>338</v>
      </c>
      <c r="O309" t="s">
        <v>74</v>
      </c>
      <c r="P309" t="s">
        <v>74</v>
      </c>
      <c r="Q309" t="s">
        <v>74</v>
      </c>
      <c r="R309" t="s">
        <v>74</v>
      </c>
      <c r="S309" t="s">
        <v>74</v>
      </c>
      <c r="T309" t="s">
        <v>74</v>
      </c>
      <c r="U309" t="s">
        <v>6173</v>
      </c>
      <c r="V309" t="s">
        <v>6174</v>
      </c>
      <c r="W309" t="s">
        <v>6175</v>
      </c>
      <c r="X309" t="s">
        <v>6176</v>
      </c>
      <c r="Y309" t="s">
        <v>6177</v>
      </c>
      <c r="Z309" t="s">
        <v>6178</v>
      </c>
      <c r="AA309" t="s">
        <v>74</v>
      </c>
      <c r="AB309" t="s">
        <v>74</v>
      </c>
      <c r="AC309" t="s">
        <v>6179</v>
      </c>
      <c r="AD309" t="s">
        <v>6180</v>
      </c>
      <c r="AE309" t="s">
        <v>6181</v>
      </c>
      <c r="AF309" t="s">
        <v>74</v>
      </c>
      <c r="AG309">
        <v>58</v>
      </c>
      <c r="AH309">
        <v>0</v>
      </c>
      <c r="AI309">
        <v>0</v>
      </c>
      <c r="AJ309">
        <v>0</v>
      </c>
      <c r="AK309">
        <v>0</v>
      </c>
      <c r="AL309" t="s">
        <v>87</v>
      </c>
      <c r="AM309" t="s">
        <v>88</v>
      </c>
      <c r="AN309" t="s">
        <v>89</v>
      </c>
      <c r="AO309" t="s">
        <v>6182</v>
      </c>
      <c r="AP309" t="s">
        <v>6183</v>
      </c>
      <c r="AQ309" t="s">
        <v>74</v>
      </c>
      <c r="AR309" t="s">
        <v>6184</v>
      </c>
      <c r="AS309" t="s">
        <v>6185</v>
      </c>
      <c r="AT309" t="s">
        <v>6107</v>
      </c>
      <c r="AU309">
        <v>2023</v>
      </c>
      <c r="AV309" t="s">
        <v>74</v>
      </c>
      <c r="AW309" t="s">
        <v>74</v>
      </c>
      <c r="AX309" t="s">
        <v>74</v>
      </c>
      <c r="AY309" t="s">
        <v>74</v>
      </c>
      <c r="AZ309" t="s">
        <v>74</v>
      </c>
      <c r="BA309" t="s">
        <v>74</v>
      </c>
      <c r="BB309" t="s">
        <v>74</v>
      </c>
      <c r="BC309" t="s">
        <v>74</v>
      </c>
      <c r="BD309" t="s">
        <v>74</v>
      </c>
      <c r="BE309" t="s">
        <v>6186</v>
      </c>
      <c r="BF309" t="str">
        <f>HYPERLINK("http://dx.doi.org/10.1002/lno.12422","http://dx.doi.org/10.1002/lno.12422")</f>
        <v>http://dx.doi.org/10.1002/lno.12422</v>
      </c>
      <c r="BG309" t="s">
        <v>74</v>
      </c>
      <c r="BH309" t="s">
        <v>407</v>
      </c>
      <c r="BI309">
        <v>19</v>
      </c>
      <c r="BJ309" t="s">
        <v>6187</v>
      </c>
      <c r="BK309" t="s">
        <v>119</v>
      </c>
      <c r="BL309" t="s">
        <v>6188</v>
      </c>
      <c r="BM309" t="s">
        <v>6189</v>
      </c>
      <c r="BN309" t="s">
        <v>74</v>
      </c>
      <c r="BO309" t="s">
        <v>122</v>
      </c>
      <c r="BP309" t="s">
        <v>74</v>
      </c>
      <c r="BQ309" t="s">
        <v>74</v>
      </c>
      <c r="BR309" t="s">
        <v>99</v>
      </c>
      <c r="BS309" t="s">
        <v>6190</v>
      </c>
      <c r="BT309" t="str">
        <f>HYPERLINK("https%3A%2F%2Fwww.webofscience.com%2Fwos%2Fwoscc%2Ffull-record%2FWOS:001061796000001","View Full Record in Web of Science")</f>
        <v>View Full Record in Web of Science</v>
      </c>
    </row>
    <row r="310" spans="1:72" x14ac:dyDescent="0.15">
      <c r="A310" t="s">
        <v>72</v>
      </c>
      <c r="B310" t="s">
        <v>6191</v>
      </c>
      <c r="C310" t="s">
        <v>74</v>
      </c>
      <c r="D310" t="s">
        <v>74</v>
      </c>
      <c r="E310" t="s">
        <v>74</v>
      </c>
      <c r="F310" t="s">
        <v>6192</v>
      </c>
      <c r="G310" t="s">
        <v>74</v>
      </c>
      <c r="H310" t="s">
        <v>74</v>
      </c>
      <c r="I310" t="s">
        <v>6193</v>
      </c>
      <c r="J310" t="s">
        <v>6194</v>
      </c>
      <c r="K310" t="s">
        <v>74</v>
      </c>
      <c r="L310" t="s">
        <v>74</v>
      </c>
      <c r="M310" t="s">
        <v>78</v>
      </c>
      <c r="N310" t="s">
        <v>338</v>
      </c>
      <c r="O310" t="s">
        <v>74</v>
      </c>
      <c r="P310" t="s">
        <v>74</v>
      </c>
      <c r="Q310" t="s">
        <v>74</v>
      </c>
      <c r="R310" t="s">
        <v>74</v>
      </c>
      <c r="S310" t="s">
        <v>74</v>
      </c>
      <c r="T310" t="s">
        <v>6195</v>
      </c>
      <c r="U310" t="s">
        <v>6196</v>
      </c>
      <c r="V310" t="s">
        <v>6197</v>
      </c>
      <c r="W310" t="s">
        <v>6198</v>
      </c>
      <c r="X310" t="s">
        <v>6199</v>
      </c>
      <c r="Y310" t="s">
        <v>6200</v>
      </c>
      <c r="Z310" t="s">
        <v>6201</v>
      </c>
      <c r="AA310" t="s">
        <v>74</v>
      </c>
      <c r="AB310" t="s">
        <v>6202</v>
      </c>
      <c r="AC310" t="s">
        <v>6203</v>
      </c>
      <c r="AD310" t="s">
        <v>6204</v>
      </c>
      <c r="AE310" t="s">
        <v>6205</v>
      </c>
      <c r="AF310" t="s">
        <v>74</v>
      </c>
      <c r="AG310">
        <v>80</v>
      </c>
      <c r="AH310">
        <v>0</v>
      </c>
      <c r="AI310">
        <v>0</v>
      </c>
      <c r="AJ310">
        <v>0</v>
      </c>
      <c r="AK310">
        <v>0</v>
      </c>
      <c r="AL310" t="s">
        <v>87</v>
      </c>
      <c r="AM310" t="s">
        <v>88</v>
      </c>
      <c r="AN310" t="s">
        <v>89</v>
      </c>
      <c r="AO310" t="s">
        <v>6206</v>
      </c>
      <c r="AP310" t="s">
        <v>6207</v>
      </c>
      <c r="AQ310" t="s">
        <v>74</v>
      </c>
      <c r="AR310" t="s">
        <v>6208</v>
      </c>
      <c r="AS310" t="s">
        <v>6209</v>
      </c>
      <c r="AT310" t="s">
        <v>6107</v>
      </c>
      <c r="AU310">
        <v>2023</v>
      </c>
      <c r="AV310" t="s">
        <v>74</v>
      </c>
      <c r="AW310" t="s">
        <v>74</v>
      </c>
      <c r="AX310" t="s">
        <v>74</v>
      </c>
      <c r="AY310" t="s">
        <v>74</v>
      </c>
      <c r="AZ310" t="s">
        <v>74</v>
      </c>
      <c r="BA310" t="s">
        <v>74</v>
      </c>
      <c r="BB310" t="s">
        <v>74</v>
      </c>
      <c r="BC310" t="s">
        <v>74</v>
      </c>
      <c r="BD310" t="s">
        <v>74</v>
      </c>
      <c r="BE310" t="s">
        <v>6210</v>
      </c>
      <c r="BF310" t="str">
        <f>HYPERLINK("http://dx.doi.org/10.15252/embj.2022112573","http://dx.doi.org/10.15252/embj.2022112573")</f>
        <v>http://dx.doi.org/10.15252/embj.2022112573</v>
      </c>
      <c r="BG310" t="s">
        <v>74</v>
      </c>
      <c r="BH310" t="s">
        <v>407</v>
      </c>
      <c r="BI310">
        <v>27</v>
      </c>
      <c r="BJ310" t="s">
        <v>6211</v>
      </c>
      <c r="BK310" t="s">
        <v>119</v>
      </c>
      <c r="BL310" t="s">
        <v>6211</v>
      </c>
      <c r="BM310" t="s">
        <v>6212</v>
      </c>
      <c r="BN310">
        <v>37661814</v>
      </c>
      <c r="BO310" t="s">
        <v>74</v>
      </c>
      <c r="BP310" t="s">
        <v>74</v>
      </c>
      <c r="BQ310" t="s">
        <v>74</v>
      </c>
      <c r="BR310" t="s">
        <v>99</v>
      </c>
      <c r="BS310" t="s">
        <v>6213</v>
      </c>
      <c r="BT310" t="str">
        <f>HYPERLINK("https%3A%2F%2Fwww.webofscience.com%2Fwos%2Fwoscc%2Ffull-record%2FWOS:001060857300001","View Full Record in Web of Science")</f>
        <v>View Full Record in Web of Science</v>
      </c>
    </row>
    <row r="311" spans="1:72" x14ac:dyDescent="0.15">
      <c r="A311" t="s">
        <v>72</v>
      </c>
      <c r="B311" t="s">
        <v>6214</v>
      </c>
      <c r="C311" t="s">
        <v>74</v>
      </c>
      <c r="D311" t="s">
        <v>74</v>
      </c>
      <c r="E311" t="s">
        <v>74</v>
      </c>
      <c r="F311" t="s">
        <v>6215</v>
      </c>
      <c r="G311" t="s">
        <v>74</v>
      </c>
      <c r="H311" t="s">
        <v>74</v>
      </c>
      <c r="I311" t="s">
        <v>6216</v>
      </c>
      <c r="J311" t="s">
        <v>6217</v>
      </c>
      <c r="K311" t="s">
        <v>74</v>
      </c>
      <c r="L311" t="s">
        <v>74</v>
      </c>
      <c r="M311" t="s">
        <v>78</v>
      </c>
      <c r="N311" t="s">
        <v>338</v>
      </c>
      <c r="O311" t="s">
        <v>74</v>
      </c>
      <c r="P311" t="s">
        <v>74</v>
      </c>
      <c r="Q311" t="s">
        <v>74</v>
      </c>
      <c r="R311" t="s">
        <v>74</v>
      </c>
      <c r="S311" t="s">
        <v>74</v>
      </c>
      <c r="T311" t="s">
        <v>6218</v>
      </c>
      <c r="U311" t="s">
        <v>6219</v>
      </c>
      <c r="V311" t="s">
        <v>6220</v>
      </c>
      <c r="W311" t="s">
        <v>6221</v>
      </c>
      <c r="X311" t="s">
        <v>6222</v>
      </c>
      <c r="Y311" t="s">
        <v>6223</v>
      </c>
      <c r="Z311" t="s">
        <v>6224</v>
      </c>
      <c r="AA311" t="s">
        <v>6225</v>
      </c>
      <c r="AB311" t="s">
        <v>6226</v>
      </c>
      <c r="AC311" t="s">
        <v>74</v>
      </c>
      <c r="AD311" t="s">
        <v>74</v>
      </c>
      <c r="AE311" t="s">
        <v>74</v>
      </c>
      <c r="AF311" t="s">
        <v>74</v>
      </c>
      <c r="AG311">
        <v>204</v>
      </c>
      <c r="AH311">
        <v>0</v>
      </c>
      <c r="AI311">
        <v>0</v>
      </c>
      <c r="AJ311">
        <v>5</v>
      </c>
      <c r="AK311">
        <v>5</v>
      </c>
      <c r="AL311" t="s">
        <v>1866</v>
      </c>
      <c r="AM311" t="s">
        <v>1867</v>
      </c>
      <c r="AN311" t="s">
        <v>1868</v>
      </c>
      <c r="AO311" t="s">
        <v>6227</v>
      </c>
      <c r="AP311" t="s">
        <v>6228</v>
      </c>
      <c r="AQ311" t="s">
        <v>74</v>
      </c>
      <c r="AR311" t="s">
        <v>6229</v>
      </c>
      <c r="AS311" t="s">
        <v>6230</v>
      </c>
      <c r="AT311" t="s">
        <v>6107</v>
      </c>
      <c r="AU311">
        <v>2023</v>
      </c>
      <c r="AV311" t="s">
        <v>74</v>
      </c>
      <c r="AW311" t="s">
        <v>74</v>
      </c>
      <c r="AX311" t="s">
        <v>74</v>
      </c>
      <c r="AY311" t="s">
        <v>74</v>
      </c>
      <c r="AZ311" t="s">
        <v>74</v>
      </c>
      <c r="BA311" t="s">
        <v>74</v>
      </c>
      <c r="BB311" t="s">
        <v>74</v>
      </c>
      <c r="BC311" t="s">
        <v>74</v>
      </c>
      <c r="BD311" t="s">
        <v>74</v>
      </c>
      <c r="BE311" t="s">
        <v>6231</v>
      </c>
      <c r="BF311" t="str">
        <f>HYPERLINK("http://dx.doi.org/10.1111/emre.12599","http://dx.doi.org/10.1111/emre.12599")</f>
        <v>http://dx.doi.org/10.1111/emre.12599</v>
      </c>
      <c r="BG311" t="s">
        <v>74</v>
      </c>
      <c r="BH311" t="s">
        <v>407</v>
      </c>
      <c r="BI311">
        <v>24</v>
      </c>
      <c r="BJ311" t="s">
        <v>6232</v>
      </c>
      <c r="BK311" t="s">
        <v>546</v>
      </c>
      <c r="BL311" t="s">
        <v>547</v>
      </c>
      <c r="BM311" t="s">
        <v>6233</v>
      </c>
      <c r="BN311" t="s">
        <v>74</v>
      </c>
      <c r="BO311" t="s">
        <v>122</v>
      </c>
      <c r="BP311" t="s">
        <v>74</v>
      </c>
      <c r="BQ311" t="s">
        <v>74</v>
      </c>
      <c r="BR311" t="s">
        <v>99</v>
      </c>
      <c r="BS311" t="s">
        <v>6234</v>
      </c>
      <c r="BT311" t="str">
        <f>HYPERLINK("https%3A%2F%2Fwww.webofscience.com%2Fwos%2Fwoscc%2Ffull-record%2FWOS:001058227500001","View Full Record in Web of Science")</f>
        <v>View Full Record in Web of Science</v>
      </c>
    </row>
    <row r="312" spans="1:72" x14ac:dyDescent="0.15">
      <c r="A312" t="s">
        <v>72</v>
      </c>
      <c r="B312" t="s">
        <v>6235</v>
      </c>
      <c r="C312" t="s">
        <v>74</v>
      </c>
      <c r="D312" t="s">
        <v>74</v>
      </c>
      <c r="E312" t="s">
        <v>74</v>
      </c>
      <c r="F312" t="s">
        <v>6236</v>
      </c>
      <c r="G312" t="s">
        <v>74</v>
      </c>
      <c r="H312" t="s">
        <v>74</v>
      </c>
      <c r="I312" t="s">
        <v>6237</v>
      </c>
      <c r="J312" t="s">
        <v>1001</v>
      </c>
      <c r="K312" t="s">
        <v>74</v>
      </c>
      <c r="L312" t="s">
        <v>74</v>
      </c>
      <c r="M312" t="s">
        <v>78</v>
      </c>
      <c r="N312" t="s">
        <v>338</v>
      </c>
      <c r="O312" t="s">
        <v>74</v>
      </c>
      <c r="P312" t="s">
        <v>74</v>
      </c>
      <c r="Q312" t="s">
        <v>74</v>
      </c>
      <c r="R312" t="s">
        <v>74</v>
      </c>
      <c r="S312" t="s">
        <v>74</v>
      </c>
      <c r="T312" t="s">
        <v>6238</v>
      </c>
      <c r="U312" t="s">
        <v>6239</v>
      </c>
      <c r="V312" t="s">
        <v>6240</v>
      </c>
      <c r="W312" t="s">
        <v>6241</v>
      </c>
      <c r="X312" t="s">
        <v>6242</v>
      </c>
      <c r="Y312" t="s">
        <v>6243</v>
      </c>
      <c r="Z312" t="s">
        <v>6244</v>
      </c>
      <c r="AA312" t="s">
        <v>74</v>
      </c>
      <c r="AB312" t="s">
        <v>6245</v>
      </c>
      <c r="AC312" t="s">
        <v>6246</v>
      </c>
      <c r="AD312" t="s">
        <v>6247</v>
      </c>
      <c r="AE312" t="s">
        <v>6248</v>
      </c>
      <c r="AF312" t="s">
        <v>74</v>
      </c>
      <c r="AG312">
        <v>27</v>
      </c>
      <c r="AH312">
        <v>0</v>
      </c>
      <c r="AI312">
        <v>0</v>
      </c>
      <c r="AJ312">
        <v>9</v>
      </c>
      <c r="AK312">
        <v>9</v>
      </c>
      <c r="AL312" t="s">
        <v>426</v>
      </c>
      <c r="AM312" t="s">
        <v>427</v>
      </c>
      <c r="AN312" t="s">
        <v>428</v>
      </c>
      <c r="AO312" t="s">
        <v>1014</v>
      </c>
      <c r="AP312" t="s">
        <v>1015</v>
      </c>
      <c r="AQ312" t="s">
        <v>74</v>
      </c>
      <c r="AR312" t="s">
        <v>1016</v>
      </c>
      <c r="AS312" t="s">
        <v>1017</v>
      </c>
      <c r="AT312" t="s">
        <v>6107</v>
      </c>
      <c r="AU312">
        <v>2023</v>
      </c>
      <c r="AV312" t="s">
        <v>74</v>
      </c>
      <c r="AW312" t="s">
        <v>74</v>
      </c>
      <c r="AX312" t="s">
        <v>74</v>
      </c>
      <c r="AY312" t="s">
        <v>74</v>
      </c>
      <c r="AZ312" t="s">
        <v>74</v>
      </c>
      <c r="BA312" t="s">
        <v>74</v>
      </c>
      <c r="BB312" t="s">
        <v>74</v>
      </c>
      <c r="BC312" t="s">
        <v>74</v>
      </c>
      <c r="BD312" t="s">
        <v>74</v>
      </c>
      <c r="BE312" t="s">
        <v>6249</v>
      </c>
      <c r="BF312" t="str">
        <f>HYPERLINK("http://dx.doi.org/10.1002/anie.202309236","http://dx.doi.org/10.1002/anie.202309236")</f>
        <v>http://dx.doi.org/10.1002/anie.202309236</v>
      </c>
      <c r="BG312" t="s">
        <v>74</v>
      </c>
      <c r="BH312" t="s">
        <v>407</v>
      </c>
      <c r="BI312">
        <v>6</v>
      </c>
      <c r="BJ312" t="s">
        <v>523</v>
      </c>
      <c r="BK312" t="s">
        <v>119</v>
      </c>
      <c r="BL312" t="s">
        <v>524</v>
      </c>
      <c r="BM312" t="s">
        <v>6250</v>
      </c>
      <c r="BN312">
        <v>37574444</v>
      </c>
      <c r="BO312" t="s">
        <v>122</v>
      </c>
      <c r="BP312" t="s">
        <v>74</v>
      </c>
      <c r="BQ312" t="s">
        <v>74</v>
      </c>
      <c r="BR312" t="s">
        <v>99</v>
      </c>
      <c r="BS312" t="s">
        <v>6251</v>
      </c>
      <c r="BT312" t="str">
        <f>HYPERLINK("https%3A%2F%2Fwww.webofscience.com%2Fwos%2Fwoscc%2Ffull-record%2FWOS:001057866200001","View Full Record in Web of Science")</f>
        <v>View Full Record in Web of Science</v>
      </c>
    </row>
    <row r="313" spans="1:72" x14ac:dyDescent="0.15">
      <c r="A313" t="s">
        <v>72</v>
      </c>
      <c r="B313" t="s">
        <v>6252</v>
      </c>
      <c r="C313" t="s">
        <v>74</v>
      </c>
      <c r="D313" t="s">
        <v>74</v>
      </c>
      <c r="E313" t="s">
        <v>74</v>
      </c>
      <c r="F313" t="s">
        <v>6253</v>
      </c>
      <c r="G313" t="s">
        <v>74</v>
      </c>
      <c r="H313" t="s">
        <v>74</v>
      </c>
      <c r="I313" t="s">
        <v>6254</v>
      </c>
      <c r="J313" t="s">
        <v>6255</v>
      </c>
      <c r="K313" t="s">
        <v>74</v>
      </c>
      <c r="L313" t="s">
        <v>74</v>
      </c>
      <c r="M313" t="s">
        <v>78</v>
      </c>
      <c r="N313" t="s">
        <v>338</v>
      </c>
      <c r="O313" t="s">
        <v>74</v>
      </c>
      <c r="P313" t="s">
        <v>74</v>
      </c>
      <c r="Q313" t="s">
        <v>74</v>
      </c>
      <c r="R313" t="s">
        <v>74</v>
      </c>
      <c r="S313" t="s">
        <v>74</v>
      </c>
      <c r="T313" t="s">
        <v>74</v>
      </c>
      <c r="U313" t="s">
        <v>6256</v>
      </c>
      <c r="V313" t="s">
        <v>6257</v>
      </c>
      <c r="W313" t="s">
        <v>6258</v>
      </c>
      <c r="X313" t="s">
        <v>6259</v>
      </c>
      <c r="Y313" t="s">
        <v>6260</v>
      </c>
      <c r="Z313" t="s">
        <v>6261</v>
      </c>
      <c r="AA313" t="s">
        <v>74</v>
      </c>
      <c r="AB313" t="s">
        <v>6262</v>
      </c>
      <c r="AC313" t="s">
        <v>74</v>
      </c>
      <c r="AD313" t="s">
        <v>74</v>
      </c>
      <c r="AE313" t="s">
        <v>74</v>
      </c>
      <c r="AF313" t="s">
        <v>74</v>
      </c>
      <c r="AG313">
        <v>37</v>
      </c>
      <c r="AH313">
        <v>0</v>
      </c>
      <c r="AI313">
        <v>0</v>
      </c>
      <c r="AJ313">
        <v>2</v>
      </c>
      <c r="AK313">
        <v>2</v>
      </c>
      <c r="AL313" t="s">
        <v>87</v>
      </c>
      <c r="AM313" t="s">
        <v>88</v>
      </c>
      <c r="AN313" t="s">
        <v>89</v>
      </c>
      <c r="AO313" t="s">
        <v>6263</v>
      </c>
      <c r="AP313" t="s">
        <v>6264</v>
      </c>
      <c r="AQ313" t="s">
        <v>74</v>
      </c>
      <c r="AR313" t="s">
        <v>6255</v>
      </c>
      <c r="AS313" t="s">
        <v>6265</v>
      </c>
      <c r="AT313" t="s">
        <v>6107</v>
      </c>
      <c r="AU313">
        <v>2023</v>
      </c>
      <c r="AV313" t="s">
        <v>74</v>
      </c>
      <c r="AW313" t="s">
        <v>74</v>
      </c>
      <c r="AX313" t="s">
        <v>74</v>
      </c>
      <c r="AY313" t="s">
        <v>74</v>
      </c>
      <c r="AZ313" t="s">
        <v>74</v>
      </c>
      <c r="BA313" t="s">
        <v>74</v>
      </c>
      <c r="BB313" t="s">
        <v>74</v>
      </c>
      <c r="BC313" t="s">
        <v>74</v>
      </c>
      <c r="BD313" t="s">
        <v>74</v>
      </c>
      <c r="BE313" t="s">
        <v>6266</v>
      </c>
      <c r="BF313" t="str">
        <f>HYPERLINK("http://dx.doi.org/10.1002/oby.23851","http://dx.doi.org/10.1002/oby.23851")</f>
        <v>http://dx.doi.org/10.1002/oby.23851</v>
      </c>
      <c r="BG313" t="s">
        <v>74</v>
      </c>
      <c r="BH313" t="s">
        <v>407</v>
      </c>
      <c r="BI313">
        <v>10</v>
      </c>
      <c r="BJ313" t="s">
        <v>6267</v>
      </c>
      <c r="BK313" t="s">
        <v>119</v>
      </c>
      <c r="BL313" t="s">
        <v>6267</v>
      </c>
      <c r="BM313" t="s">
        <v>6268</v>
      </c>
      <c r="BN313">
        <v>37661938</v>
      </c>
      <c r="BO313" t="s">
        <v>74</v>
      </c>
      <c r="BP313" t="s">
        <v>74</v>
      </c>
      <c r="BQ313" t="s">
        <v>74</v>
      </c>
      <c r="BR313" t="s">
        <v>99</v>
      </c>
      <c r="BS313" t="s">
        <v>6269</v>
      </c>
      <c r="BT313" t="str">
        <f>HYPERLINK("https%3A%2F%2Fwww.webofscience.com%2Fwos%2Fwoscc%2Ffull-record%2FWOS:001057934400001","View Full Record in Web of Science")</f>
        <v>View Full Record in Web of Science</v>
      </c>
    </row>
    <row r="314" spans="1:72" x14ac:dyDescent="0.15">
      <c r="A314" t="s">
        <v>72</v>
      </c>
      <c r="B314" t="s">
        <v>6270</v>
      </c>
      <c r="C314" t="s">
        <v>74</v>
      </c>
      <c r="D314" t="s">
        <v>74</v>
      </c>
      <c r="E314" t="s">
        <v>74</v>
      </c>
      <c r="F314" t="s">
        <v>6271</v>
      </c>
      <c r="G314" t="s">
        <v>74</v>
      </c>
      <c r="H314" t="s">
        <v>74</v>
      </c>
      <c r="I314" t="s">
        <v>6272</v>
      </c>
      <c r="J314" t="s">
        <v>6273</v>
      </c>
      <c r="K314" t="s">
        <v>74</v>
      </c>
      <c r="L314" t="s">
        <v>74</v>
      </c>
      <c r="M314" t="s">
        <v>78</v>
      </c>
      <c r="N314" t="s">
        <v>338</v>
      </c>
      <c r="O314" t="s">
        <v>74</v>
      </c>
      <c r="P314" t="s">
        <v>74</v>
      </c>
      <c r="Q314" t="s">
        <v>74</v>
      </c>
      <c r="R314" t="s">
        <v>74</v>
      </c>
      <c r="S314" t="s">
        <v>74</v>
      </c>
      <c r="T314" t="s">
        <v>74</v>
      </c>
      <c r="U314" t="s">
        <v>74</v>
      </c>
      <c r="V314" t="s">
        <v>6274</v>
      </c>
      <c r="W314" t="s">
        <v>6275</v>
      </c>
      <c r="X314" t="s">
        <v>6276</v>
      </c>
      <c r="Y314" t="s">
        <v>6277</v>
      </c>
      <c r="Z314" t="s">
        <v>6278</v>
      </c>
      <c r="AA314" t="s">
        <v>74</v>
      </c>
      <c r="AB314" t="s">
        <v>6279</v>
      </c>
      <c r="AC314" t="s">
        <v>6280</v>
      </c>
      <c r="AD314" t="s">
        <v>6280</v>
      </c>
      <c r="AE314" t="s">
        <v>6281</v>
      </c>
      <c r="AF314" t="s">
        <v>74</v>
      </c>
      <c r="AG314">
        <v>15</v>
      </c>
      <c r="AH314">
        <v>0</v>
      </c>
      <c r="AI314">
        <v>0</v>
      </c>
      <c r="AJ314">
        <v>0</v>
      </c>
      <c r="AK314">
        <v>0</v>
      </c>
      <c r="AL314" t="s">
        <v>87</v>
      </c>
      <c r="AM314" t="s">
        <v>88</v>
      </c>
      <c r="AN314" t="s">
        <v>89</v>
      </c>
      <c r="AO314" t="s">
        <v>6282</v>
      </c>
      <c r="AP314" t="s">
        <v>6283</v>
      </c>
      <c r="AQ314" t="s">
        <v>74</v>
      </c>
      <c r="AR314" t="s">
        <v>6284</v>
      </c>
      <c r="AS314" t="s">
        <v>6285</v>
      </c>
      <c r="AT314" t="s">
        <v>6107</v>
      </c>
      <c r="AU314">
        <v>2023</v>
      </c>
      <c r="AV314" t="s">
        <v>74</v>
      </c>
      <c r="AW314" t="s">
        <v>74</v>
      </c>
      <c r="AX314" t="s">
        <v>74</v>
      </c>
      <c r="AY314" t="s">
        <v>74</v>
      </c>
      <c r="AZ314" t="s">
        <v>74</v>
      </c>
      <c r="BA314" t="s">
        <v>74</v>
      </c>
      <c r="BB314" t="s">
        <v>74</v>
      </c>
      <c r="BC314" t="s">
        <v>74</v>
      </c>
      <c r="BD314" t="s">
        <v>74</v>
      </c>
      <c r="BE314" t="s">
        <v>6286</v>
      </c>
      <c r="BF314" t="str">
        <f>HYPERLINK("http://dx.doi.org/10.1111/tct.13646","http://dx.doi.org/10.1111/tct.13646")</f>
        <v>http://dx.doi.org/10.1111/tct.13646</v>
      </c>
      <c r="BG314" t="s">
        <v>74</v>
      </c>
      <c r="BH314" t="s">
        <v>407</v>
      </c>
      <c r="BI314">
        <v>8</v>
      </c>
      <c r="BJ314" t="s">
        <v>231</v>
      </c>
      <c r="BK314" t="s">
        <v>96</v>
      </c>
      <c r="BL314" t="s">
        <v>232</v>
      </c>
      <c r="BM314" t="s">
        <v>6287</v>
      </c>
      <c r="BN314">
        <v>37665034</v>
      </c>
      <c r="BO314" t="s">
        <v>74</v>
      </c>
      <c r="BP314" t="s">
        <v>74</v>
      </c>
      <c r="BQ314" t="s">
        <v>74</v>
      </c>
      <c r="BR314" t="s">
        <v>99</v>
      </c>
      <c r="BS314" t="s">
        <v>6288</v>
      </c>
      <c r="BT314" t="str">
        <f>HYPERLINK("https%3A%2F%2Fwww.webofscience.com%2Fwos%2Fwoscc%2Ffull-record%2FWOS:001057747300001","View Full Record in Web of Science")</f>
        <v>View Full Record in Web of Science</v>
      </c>
    </row>
    <row r="315" spans="1:72" x14ac:dyDescent="0.15">
      <c r="A315" t="s">
        <v>72</v>
      </c>
      <c r="B315" t="s">
        <v>6289</v>
      </c>
      <c r="C315" t="s">
        <v>74</v>
      </c>
      <c r="D315" t="s">
        <v>74</v>
      </c>
      <c r="E315" t="s">
        <v>74</v>
      </c>
      <c r="F315" t="s">
        <v>6290</v>
      </c>
      <c r="G315" t="s">
        <v>74</v>
      </c>
      <c r="H315" t="s">
        <v>74</v>
      </c>
      <c r="I315" t="s">
        <v>6291</v>
      </c>
      <c r="J315" t="s">
        <v>6292</v>
      </c>
      <c r="K315" t="s">
        <v>74</v>
      </c>
      <c r="L315" t="s">
        <v>74</v>
      </c>
      <c r="M315" t="s">
        <v>78</v>
      </c>
      <c r="N315" t="s">
        <v>1297</v>
      </c>
      <c r="O315" t="s">
        <v>74</v>
      </c>
      <c r="P315" t="s">
        <v>74</v>
      </c>
      <c r="Q315" t="s">
        <v>74</v>
      </c>
      <c r="R315" t="s">
        <v>74</v>
      </c>
      <c r="S315" t="s">
        <v>74</v>
      </c>
      <c r="T315" t="s">
        <v>74</v>
      </c>
      <c r="U315" t="s">
        <v>74</v>
      </c>
      <c r="V315" t="s">
        <v>74</v>
      </c>
      <c r="W315" t="s">
        <v>6293</v>
      </c>
      <c r="X315" t="s">
        <v>6294</v>
      </c>
      <c r="Y315" t="s">
        <v>6295</v>
      </c>
      <c r="Z315" t="s">
        <v>6296</v>
      </c>
      <c r="AA315" t="s">
        <v>6297</v>
      </c>
      <c r="AB315" t="s">
        <v>6298</v>
      </c>
      <c r="AC315" t="s">
        <v>74</v>
      </c>
      <c r="AD315" t="s">
        <v>74</v>
      </c>
      <c r="AE315" t="s">
        <v>74</v>
      </c>
      <c r="AF315" t="s">
        <v>74</v>
      </c>
      <c r="AG315">
        <v>4</v>
      </c>
      <c r="AH315">
        <v>0</v>
      </c>
      <c r="AI315">
        <v>0</v>
      </c>
      <c r="AJ315">
        <v>0</v>
      </c>
      <c r="AK315">
        <v>0</v>
      </c>
      <c r="AL315" t="s">
        <v>87</v>
      </c>
      <c r="AM315" t="s">
        <v>88</v>
      </c>
      <c r="AN315" t="s">
        <v>89</v>
      </c>
      <c r="AO315" t="s">
        <v>6299</v>
      </c>
      <c r="AP315" t="s">
        <v>6300</v>
      </c>
      <c r="AQ315" t="s">
        <v>74</v>
      </c>
      <c r="AR315" t="s">
        <v>6301</v>
      </c>
      <c r="AS315" t="s">
        <v>6302</v>
      </c>
      <c r="AT315" t="s">
        <v>6107</v>
      </c>
      <c r="AU315">
        <v>2023</v>
      </c>
      <c r="AV315" t="s">
        <v>74</v>
      </c>
      <c r="AW315" t="s">
        <v>74</v>
      </c>
      <c r="AX315" t="s">
        <v>74</v>
      </c>
      <c r="AY315" t="s">
        <v>74</v>
      </c>
      <c r="AZ315" t="s">
        <v>74</v>
      </c>
      <c r="BA315" t="s">
        <v>74</v>
      </c>
      <c r="BB315" t="s">
        <v>74</v>
      </c>
      <c r="BC315" t="s">
        <v>74</v>
      </c>
      <c r="BD315" t="s">
        <v>6303</v>
      </c>
      <c r="BE315" t="s">
        <v>6304</v>
      </c>
      <c r="BF315" t="str">
        <f>HYPERLINK("http://dx.doi.org/10.1002/ejp.2179","http://dx.doi.org/10.1002/ejp.2179")</f>
        <v>http://dx.doi.org/10.1002/ejp.2179</v>
      </c>
      <c r="BG315" t="s">
        <v>74</v>
      </c>
      <c r="BH315" t="s">
        <v>407</v>
      </c>
      <c r="BI315">
        <v>3</v>
      </c>
      <c r="BJ315" t="s">
        <v>6305</v>
      </c>
      <c r="BK315" t="s">
        <v>119</v>
      </c>
      <c r="BL315" t="s">
        <v>6306</v>
      </c>
      <c r="BM315" t="s">
        <v>6307</v>
      </c>
      <c r="BN315">
        <v>37664971</v>
      </c>
      <c r="BO315" t="s">
        <v>301</v>
      </c>
      <c r="BP315" t="s">
        <v>74</v>
      </c>
      <c r="BQ315" t="s">
        <v>74</v>
      </c>
      <c r="BR315" t="s">
        <v>99</v>
      </c>
      <c r="BS315" t="s">
        <v>6308</v>
      </c>
      <c r="BT315" t="str">
        <f>HYPERLINK("https%3A%2F%2Fwww.webofscience.com%2Fwos%2Fwoscc%2Ffull-record%2FWOS:001061503500001","View Full Record in Web of Science")</f>
        <v>View Full Record in Web of Science</v>
      </c>
    </row>
    <row r="316" spans="1:72" x14ac:dyDescent="0.15">
      <c r="A316" t="s">
        <v>72</v>
      </c>
      <c r="B316" t="s">
        <v>6309</v>
      </c>
      <c r="C316" t="s">
        <v>74</v>
      </c>
      <c r="D316" t="s">
        <v>74</v>
      </c>
      <c r="E316" t="s">
        <v>74</v>
      </c>
      <c r="F316" t="s">
        <v>6310</v>
      </c>
      <c r="G316" t="s">
        <v>74</v>
      </c>
      <c r="H316" t="s">
        <v>74</v>
      </c>
      <c r="I316" t="s">
        <v>6311</v>
      </c>
      <c r="J316" t="s">
        <v>6312</v>
      </c>
      <c r="K316" t="s">
        <v>74</v>
      </c>
      <c r="L316" t="s">
        <v>74</v>
      </c>
      <c r="M316" t="s">
        <v>78</v>
      </c>
      <c r="N316" t="s">
        <v>338</v>
      </c>
      <c r="O316" t="s">
        <v>74</v>
      </c>
      <c r="P316" t="s">
        <v>74</v>
      </c>
      <c r="Q316" t="s">
        <v>74</v>
      </c>
      <c r="R316" t="s">
        <v>74</v>
      </c>
      <c r="S316" t="s">
        <v>74</v>
      </c>
      <c r="T316" t="s">
        <v>6313</v>
      </c>
      <c r="U316" t="s">
        <v>6314</v>
      </c>
      <c r="V316" t="s">
        <v>6315</v>
      </c>
      <c r="W316" t="s">
        <v>6316</v>
      </c>
      <c r="X316" t="s">
        <v>6317</v>
      </c>
      <c r="Y316" t="s">
        <v>6318</v>
      </c>
      <c r="Z316" t="s">
        <v>6319</v>
      </c>
      <c r="AA316" t="s">
        <v>74</v>
      </c>
      <c r="AB316" t="s">
        <v>6320</v>
      </c>
      <c r="AC316" t="s">
        <v>6321</v>
      </c>
      <c r="AD316" t="s">
        <v>6322</v>
      </c>
      <c r="AE316" t="s">
        <v>6323</v>
      </c>
      <c r="AF316" t="s">
        <v>74</v>
      </c>
      <c r="AG316">
        <v>75</v>
      </c>
      <c r="AH316">
        <v>0</v>
      </c>
      <c r="AI316">
        <v>0</v>
      </c>
      <c r="AJ316">
        <v>2</v>
      </c>
      <c r="AK316">
        <v>2</v>
      </c>
      <c r="AL316" t="s">
        <v>87</v>
      </c>
      <c r="AM316" t="s">
        <v>88</v>
      </c>
      <c r="AN316" t="s">
        <v>89</v>
      </c>
      <c r="AO316" t="s">
        <v>6324</v>
      </c>
      <c r="AP316" t="s">
        <v>6325</v>
      </c>
      <c r="AQ316" t="s">
        <v>74</v>
      </c>
      <c r="AR316" t="s">
        <v>6326</v>
      </c>
      <c r="AS316" t="s">
        <v>6327</v>
      </c>
      <c r="AT316" t="s">
        <v>6107</v>
      </c>
      <c r="AU316">
        <v>2023</v>
      </c>
      <c r="AV316" t="s">
        <v>74</v>
      </c>
      <c r="AW316" t="s">
        <v>74</v>
      </c>
      <c r="AX316" t="s">
        <v>74</v>
      </c>
      <c r="AY316" t="s">
        <v>74</v>
      </c>
      <c r="AZ316" t="s">
        <v>74</v>
      </c>
      <c r="BA316" t="s">
        <v>74</v>
      </c>
      <c r="BB316" t="s">
        <v>74</v>
      </c>
      <c r="BC316" t="s">
        <v>74</v>
      </c>
      <c r="BD316" t="s">
        <v>6328</v>
      </c>
      <c r="BE316" t="s">
        <v>6329</v>
      </c>
      <c r="BF316" t="str">
        <f>HYPERLINK("http://dx.doi.org/10.15252/embr.202256724","http://dx.doi.org/10.15252/embr.202256724")</f>
        <v>http://dx.doi.org/10.15252/embr.202256724</v>
      </c>
      <c r="BG316" t="s">
        <v>74</v>
      </c>
      <c r="BH316" t="s">
        <v>407</v>
      </c>
      <c r="BI316">
        <v>18</v>
      </c>
      <c r="BJ316" t="s">
        <v>6211</v>
      </c>
      <c r="BK316" t="s">
        <v>119</v>
      </c>
      <c r="BL316" t="s">
        <v>6211</v>
      </c>
      <c r="BM316" t="s">
        <v>6330</v>
      </c>
      <c r="BN316">
        <v>37664992</v>
      </c>
      <c r="BO316" t="s">
        <v>5713</v>
      </c>
      <c r="BP316" t="s">
        <v>74</v>
      </c>
      <c r="BQ316" t="s">
        <v>74</v>
      </c>
      <c r="BR316" t="s">
        <v>99</v>
      </c>
      <c r="BS316" t="s">
        <v>6331</v>
      </c>
      <c r="BT316" t="str">
        <f>HYPERLINK("https%3A%2F%2Fwww.webofscience.com%2Fwos%2Fwoscc%2Ffull-record%2FWOS:001057954000001","View Full Record in Web of Science")</f>
        <v>View Full Record in Web of Science</v>
      </c>
    </row>
    <row r="317" spans="1:72" x14ac:dyDescent="0.15">
      <c r="A317" t="s">
        <v>72</v>
      </c>
      <c r="B317" t="s">
        <v>6332</v>
      </c>
      <c r="C317" t="s">
        <v>74</v>
      </c>
      <c r="D317" t="s">
        <v>74</v>
      </c>
      <c r="E317" t="s">
        <v>74</v>
      </c>
      <c r="F317" t="s">
        <v>6333</v>
      </c>
      <c r="G317" t="s">
        <v>74</v>
      </c>
      <c r="H317" t="s">
        <v>74</v>
      </c>
      <c r="I317" t="s">
        <v>6334</v>
      </c>
      <c r="J317" t="s">
        <v>6335</v>
      </c>
      <c r="K317" t="s">
        <v>74</v>
      </c>
      <c r="L317" t="s">
        <v>74</v>
      </c>
      <c r="M317" t="s">
        <v>78</v>
      </c>
      <c r="N317" t="s">
        <v>338</v>
      </c>
      <c r="O317" t="s">
        <v>74</v>
      </c>
      <c r="P317" t="s">
        <v>74</v>
      </c>
      <c r="Q317" t="s">
        <v>74</v>
      </c>
      <c r="R317" t="s">
        <v>74</v>
      </c>
      <c r="S317" t="s">
        <v>74</v>
      </c>
      <c r="T317" t="s">
        <v>6336</v>
      </c>
      <c r="U317" t="s">
        <v>6337</v>
      </c>
      <c r="V317" t="s">
        <v>6338</v>
      </c>
      <c r="W317" t="s">
        <v>6339</v>
      </c>
      <c r="X317" t="s">
        <v>6340</v>
      </c>
      <c r="Y317" t="s">
        <v>6341</v>
      </c>
      <c r="Z317" t="s">
        <v>6342</v>
      </c>
      <c r="AA317" t="s">
        <v>74</v>
      </c>
      <c r="AB317" t="s">
        <v>6343</v>
      </c>
      <c r="AC317" t="s">
        <v>6344</v>
      </c>
      <c r="AD317" t="s">
        <v>6345</v>
      </c>
      <c r="AE317" t="s">
        <v>6346</v>
      </c>
      <c r="AF317" t="s">
        <v>74</v>
      </c>
      <c r="AG317">
        <v>25</v>
      </c>
      <c r="AH317">
        <v>0</v>
      </c>
      <c r="AI317">
        <v>0</v>
      </c>
      <c r="AJ317">
        <v>0</v>
      </c>
      <c r="AK317">
        <v>0</v>
      </c>
      <c r="AL317" t="s">
        <v>87</v>
      </c>
      <c r="AM317" t="s">
        <v>88</v>
      </c>
      <c r="AN317" t="s">
        <v>89</v>
      </c>
      <c r="AO317" t="s">
        <v>6347</v>
      </c>
      <c r="AP317" t="s">
        <v>6348</v>
      </c>
      <c r="AQ317" t="s">
        <v>74</v>
      </c>
      <c r="AR317" t="s">
        <v>6349</v>
      </c>
      <c r="AS317" t="s">
        <v>6350</v>
      </c>
      <c r="AT317" t="s">
        <v>6107</v>
      </c>
      <c r="AU317">
        <v>2023</v>
      </c>
      <c r="AV317" t="s">
        <v>74</v>
      </c>
      <c r="AW317" t="s">
        <v>74</v>
      </c>
      <c r="AX317" t="s">
        <v>74</v>
      </c>
      <c r="AY317" t="s">
        <v>74</v>
      </c>
      <c r="AZ317" t="s">
        <v>74</v>
      </c>
      <c r="BA317" t="s">
        <v>74</v>
      </c>
      <c r="BB317" t="s">
        <v>74</v>
      </c>
      <c r="BC317" t="s">
        <v>74</v>
      </c>
      <c r="BD317" t="s">
        <v>74</v>
      </c>
      <c r="BE317" t="s">
        <v>6351</v>
      </c>
      <c r="BF317" t="str">
        <f>HYPERLINK("http://dx.doi.org/10.1002/jum.16326","http://dx.doi.org/10.1002/jum.16326")</f>
        <v>http://dx.doi.org/10.1002/jum.16326</v>
      </c>
      <c r="BG317" t="s">
        <v>74</v>
      </c>
      <c r="BH317" t="s">
        <v>407</v>
      </c>
      <c r="BI317">
        <v>8</v>
      </c>
      <c r="BJ317" t="s">
        <v>2245</v>
      </c>
      <c r="BK317" t="s">
        <v>119</v>
      </c>
      <c r="BL317" t="s">
        <v>2245</v>
      </c>
      <c r="BM317" t="s">
        <v>6352</v>
      </c>
      <c r="BN317">
        <v>37661827</v>
      </c>
      <c r="BO317" t="s">
        <v>74</v>
      </c>
      <c r="BP317" t="s">
        <v>74</v>
      </c>
      <c r="BQ317" t="s">
        <v>74</v>
      </c>
      <c r="BR317" t="s">
        <v>99</v>
      </c>
      <c r="BS317" t="s">
        <v>6353</v>
      </c>
      <c r="BT317" t="str">
        <f>HYPERLINK("https%3A%2F%2Fwww.webofscience.com%2Fwos%2Fwoscc%2Ffull-record%2FWOS:001061411400001","View Full Record in Web of Science")</f>
        <v>View Full Record in Web of Science</v>
      </c>
    </row>
    <row r="318" spans="1:72" x14ac:dyDescent="0.15">
      <c r="A318" t="s">
        <v>72</v>
      </c>
      <c r="B318" t="s">
        <v>6354</v>
      </c>
      <c r="C318" t="s">
        <v>74</v>
      </c>
      <c r="D318" t="s">
        <v>74</v>
      </c>
      <c r="E318" t="s">
        <v>74</v>
      </c>
      <c r="F318" t="s">
        <v>6355</v>
      </c>
      <c r="G318" t="s">
        <v>74</v>
      </c>
      <c r="H318" t="s">
        <v>74</v>
      </c>
      <c r="I318" t="s">
        <v>6356</v>
      </c>
      <c r="J318" t="s">
        <v>6357</v>
      </c>
      <c r="K318" t="s">
        <v>74</v>
      </c>
      <c r="L318" t="s">
        <v>74</v>
      </c>
      <c r="M318" t="s">
        <v>78</v>
      </c>
      <c r="N318" t="s">
        <v>338</v>
      </c>
      <c r="O318" t="s">
        <v>74</v>
      </c>
      <c r="P318" t="s">
        <v>74</v>
      </c>
      <c r="Q318" t="s">
        <v>74</v>
      </c>
      <c r="R318" t="s">
        <v>74</v>
      </c>
      <c r="S318" t="s">
        <v>74</v>
      </c>
      <c r="T318" t="s">
        <v>6358</v>
      </c>
      <c r="U318" t="s">
        <v>6359</v>
      </c>
      <c r="V318" t="s">
        <v>6360</v>
      </c>
      <c r="W318" t="s">
        <v>6361</v>
      </c>
      <c r="X318" t="s">
        <v>6362</v>
      </c>
      <c r="Y318" t="s">
        <v>6363</v>
      </c>
      <c r="Z318" t="s">
        <v>6364</v>
      </c>
      <c r="AA318" t="s">
        <v>74</v>
      </c>
      <c r="AB318" t="s">
        <v>74</v>
      </c>
      <c r="AC318" t="s">
        <v>6365</v>
      </c>
      <c r="AD318" t="s">
        <v>6366</v>
      </c>
      <c r="AE318" t="s">
        <v>6367</v>
      </c>
      <c r="AF318" t="s">
        <v>74</v>
      </c>
      <c r="AG318">
        <v>77</v>
      </c>
      <c r="AH318">
        <v>0</v>
      </c>
      <c r="AI318">
        <v>0</v>
      </c>
      <c r="AJ318">
        <v>2</v>
      </c>
      <c r="AK318">
        <v>2</v>
      </c>
      <c r="AL318" t="s">
        <v>87</v>
      </c>
      <c r="AM318" t="s">
        <v>88</v>
      </c>
      <c r="AN318" t="s">
        <v>89</v>
      </c>
      <c r="AO318" t="s">
        <v>6368</v>
      </c>
      <c r="AP318" t="s">
        <v>6369</v>
      </c>
      <c r="AQ318" t="s">
        <v>74</v>
      </c>
      <c r="AR318" t="s">
        <v>6370</v>
      </c>
      <c r="AS318" t="s">
        <v>6371</v>
      </c>
      <c r="AT318" t="s">
        <v>6107</v>
      </c>
      <c r="AU318">
        <v>2023</v>
      </c>
      <c r="AV318" t="s">
        <v>74</v>
      </c>
      <c r="AW318" t="s">
        <v>74</v>
      </c>
      <c r="AX318" t="s">
        <v>74</v>
      </c>
      <c r="AY318" t="s">
        <v>74</v>
      </c>
      <c r="AZ318" t="s">
        <v>74</v>
      </c>
      <c r="BA318" t="s">
        <v>74</v>
      </c>
      <c r="BB318" t="s">
        <v>74</v>
      </c>
      <c r="BC318" t="s">
        <v>74</v>
      </c>
      <c r="BD318" t="s">
        <v>74</v>
      </c>
      <c r="BE318" t="s">
        <v>6372</v>
      </c>
      <c r="BF318" t="str">
        <f>HYPERLINK("http://dx.doi.org/10.1111/febs.16928","http://dx.doi.org/10.1111/febs.16928")</f>
        <v>http://dx.doi.org/10.1111/febs.16928</v>
      </c>
      <c r="BG318" t="s">
        <v>74</v>
      </c>
      <c r="BH318" t="s">
        <v>407</v>
      </c>
      <c r="BI318">
        <v>16</v>
      </c>
      <c r="BJ318" t="s">
        <v>212</v>
      </c>
      <c r="BK318" t="s">
        <v>119</v>
      </c>
      <c r="BL318" t="s">
        <v>212</v>
      </c>
      <c r="BM318" t="s">
        <v>6373</v>
      </c>
      <c r="BN318">
        <v>37552110</v>
      </c>
      <c r="BO318" t="s">
        <v>74</v>
      </c>
      <c r="BP318" t="s">
        <v>74</v>
      </c>
      <c r="BQ318" t="s">
        <v>74</v>
      </c>
      <c r="BR318" t="s">
        <v>99</v>
      </c>
      <c r="BS318" t="s">
        <v>6374</v>
      </c>
      <c r="BT318" t="str">
        <f>HYPERLINK("https%3A%2F%2Fwww.webofscience.com%2Fwos%2Fwoscc%2Ffull-record%2FWOS:001061374800001","View Full Record in Web of Science")</f>
        <v>View Full Record in Web of Science</v>
      </c>
    </row>
    <row r="319" spans="1:72" x14ac:dyDescent="0.15">
      <c r="A319" t="s">
        <v>72</v>
      </c>
      <c r="B319" t="s">
        <v>6375</v>
      </c>
      <c r="C319" t="s">
        <v>74</v>
      </c>
      <c r="D319" t="s">
        <v>74</v>
      </c>
      <c r="E319" t="s">
        <v>74</v>
      </c>
      <c r="F319" t="s">
        <v>6376</v>
      </c>
      <c r="G319" t="s">
        <v>74</v>
      </c>
      <c r="H319" t="s">
        <v>74</v>
      </c>
      <c r="I319" t="s">
        <v>6377</v>
      </c>
      <c r="J319" t="s">
        <v>1148</v>
      </c>
      <c r="K319" t="s">
        <v>74</v>
      </c>
      <c r="L319" t="s">
        <v>74</v>
      </c>
      <c r="M319" t="s">
        <v>78</v>
      </c>
      <c r="N319" t="s">
        <v>338</v>
      </c>
      <c r="O319" t="s">
        <v>74</v>
      </c>
      <c r="P319" t="s">
        <v>74</v>
      </c>
      <c r="Q319" t="s">
        <v>74</v>
      </c>
      <c r="R319" t="s">
        <v>74</v>
      </c>
      <c r="S319" t="s">
        <v>74</v>
      </c>
      <c r="T319" t="s">
        <v>6378</v>
      </c>
      <c r="U319" t="s">
        <v>74</v>
      </c>
      <c r="V319" t="s">
        <v>6379</v>
      </c>
      <c r="W319" t="s">
        <v>6380</v>
      </c>
      <c r="X319" t="s">
        <v>6381</v>
      </c>
      <c r="Y319" t="s">
        <v>6382</v>
      </c>
      <c r="Z319" t="s">
        <v>6383</v>
      </c>
      <c r="AA319" t="s">
        <v>74</v>
      </c>
      <c r="AB319" t="s">
        <v>6384</v>
      </c>
      <c r="AC319" t="s">
        <v>6385</v>
      </c>
      <c r="AD319" t="s">
        <v>6385</v>
      </c>
      <c r="AE319" t="s">
        <v>6385</v>
      </c>
      <c r="AF319" t="s">
        <v>74</v>
      </c>
      <c r="AG319">
        <v>18</v>
      </c>
      <c r="AH319">
        <v>0</v>
      </c>
      <c r="AI319">
        <v>0</v>
      </c>
      <c r="AJ319">
        <v>0</v>
      </c>
      <c r="AK319">
        <v>0</v>
      </c>
      <c r="AL319" t="s">
        <v>87</v>
      </c>
      <c r="AM319" t="s">
        <v>88</v>
      </c>
      <c r="AN319" t="s">
        <v>89</v>
      </c>
      <c r="AO319" t="s">
        <v>1158</v>
      </c>
      <c r="AP319" t="s">
        <v>1159</v>
      </c>
      <c r="AQ319" t="s">
        <v>74</v>
      </c>
      <c r="AR319" t="s">
        <v>1148</v>
      </c>
      <c r="AS319" t="s">
        <v>1160</v>
      </c>
      <c r="AT319" t="s">
        <v>6386</v>
      </c>
      <c r="AU319">
        <v>2023</v>
      </c>
      <c r="AV319" t="s">
        <v>74</v>
      </c>
      <c r="AW319" t="s">
        <v>74</v>
      </c>
      <c r="AX319" t="s">
        <v>74</v>
      </c>
      <c r="AY319" t="s">
        <v>74</v>
      </c>
      <c r="AZ319" t="s">
        <v>74</v>
      </c>
      <c r="BA319" t="s">
        <v>74</v>
      </c>
      <c r="BB319" t="s">
        <v>74</v>
      </c>
      <c r="BC319" t="s">
        <v>74</v>
      </c>
      <c r="BD319" t="s">
        <v>74</v>
      </c>
      <c r="BE319" t="s">
        <v>6387</v>
      </c>
      <c r="BF319" t="str">
        <f>HYPERLINK("http://dx.doi.org/10.1002/pros.24620","http://dx.doi.org/10.1002/pros.24620")</f>
        <v>http://dx.doi.org/10.1002/pros.24620</v>
      </c>
      <c r="BG319" t="s">
        <v>74</v>
      </c>
      <c r="BH319" t="s">
        <v>407</v>
      </c>
      <c r="BI319">
        <v>7</v>
      </c>
      <c r="BJ319" t="s">
        <v>1162</v>
      </c>
      <c r="BK319" t="s">
        <v>119</v>
      </c>
      <c r="BL319" t="s">
        <v>1162</v>
      </c>
      <c r="BM319" t="s">
        <v>6388</v>
      </c>
      <c r="BN319">
        <v>37661578</v>
      </c>
      <c r="BO319" t="s">
        <v>122</v>
      </c>
      <c r="BP319" t="s">
        <v>74</v>
      </c>
      <c r="BQ319" t="s">
        <v>74</v>
      </c>
      <c r="BR319" t="s">
        <v>99</v>
      </c>
      <c r="BS319" t="s">
        <v>6389</v>
      </c>
      <c r="BT319" t="str">
        <f>HYPERLINK("https%3A%2F%2Fwww.webofscience.com%2Fwos%2Fwoscc%2Ffull-record%2FWOS:001060455800001","View Full Record in Web of Science")</f>
        <v>View Full Record in Web of Science</v>
      </c>
    </row>
    <row r="320" spans="1:72" x14ac:dyDescent="0.15">
      <c r="A320" t="s">
        <v>72</v>
      </c>
      <c r="B320" t="s">
        <v>6390</v>
      </c>
      <c r="C320" t="s">
        <v>74</v>
      </c>
      <c r="D320" t="s">
        <v>74</v>
      </c>
      <c r="E320" t="s">
        <v>74</v>
      </c>
      <c r="F320" t="s">
        <v>6391</v>
      </c>
      <c r="G320" t="s">
        <v>74</v>
      </c>
      <c r="H320" t="s">
        <v>74</v>
      </c>
      <c r="I320" t="s">
        <v>6392</v>
      </c>
      <c r="J320" t="s">
        <v>6393</v>
      </c>
      <c r="K320" t="s">
        <v>74</v>
      </c>
      <c r="L320" t="s">
        <v>74</v>
      </c>
      <c r="M320" t="s">
        <v>78</v>
      </c>
      <c r="N320" t="s">
        <v>338</v>
      </c>
      <c r="O320" t="s">
        <v>74</v>
      </c>
      <c r="P320" t="s">
        <v>74</v>
      </c>
      <c r="Q320" t="s">
        <v>74</v>
      </c>
      <c r="R320" t="s">
        <v>74</v>
      </c>
      <c r="S320" t="s">
        <v>74</v>
      </c>
      <c r="T320" t="s">
        <v>6394</v>
      </c>
      <c r="U320" t="s">
        <v>6395</v>
      </c>
      <c r="V320" t="s">
        <v>6396</v>
      </c>
      <c r="W320" t="s">
        <v>6397</v>
      </c>
      <c r="X320" t="s">
        <v>74</v>
      </c>
      <c r="Y320" t="s">
        <v>6398</v>
      </c>
      <c r="Z320" t="s">
        <v>6399</v>
      </c>
      <c r="AA320" t="s">
        <v>74</v>
      </c>
      <c r="AB320" t="s">
        <v>74</v>
      </c>
      <c r="AC320" t="s">
        <v>74</v>
      </c>
      <c r="AD320" t="s">
        <v>74</v>
      </c>
      <c r="AE320" t="s">
        <v>74</v>
      </c>
      <c r="AF320" t="s">
        <v>74</v>
      </c>
      <c r="AG320">
        <v>28</v>
      </c>
      <c r="AH320">
        <v>0</v>
      </c>
      <c r="AI320">
        <v>0</v>
      </c>
      <c r="AJ320">
        <v>0</v>
      </c>
      <c r="AK320">
        <v>0</v>
      </c>
      <c r="AL320" t="s">
        <v>87</v>
      </c>
      <c r="AM320" t="s">
        <v>88</v>
      </c>
      <c r="AN320" t="s">
        <v>89</v>
      </c>
      <c r="AO320" t="s">
        <v>6400</v>
      </c>
      <c r="AP320" t="s">
        <v>6401</v>
      </c>
      <c r="AQ320" t="s">
        <v>74</v>
      </c>
      <c r="AR320" t="s">
        <v>6402</v>
      </c>
      <c r="AS320" t="s">
        <v>6403</v>
      </c>
      <c r="AT320" t="s">
        <v>6386</v>
      </c>
      <c r="AU320">
        <v>2023</v>
      </c>
      <c r="AV320" t="s">
        <v>74</v>
      </c>
      <c r="AW320" t="s">
        <v>74</v>
      </c>
      <c r="AX320" t="s">
        <v>74</v>
      </c>
      <c r="AY320" t="s">
        <v>74</v>
      </c>
      <c r="AZ320" t="s">
        <v>74</v>
      </c>
      <c r="BA320" t="s">
        <v>74</v>
      </c>
      <c r="BB320" t="s">
        <v>74</v>
      </c>
      <c r="BC320" t="s">
        <v>74</v>
      </c>
      <c r="BD320" t="s">
        <v>74</v>
      </c>
      <c r="BE320" t="s">
        <v>6404</v>
      </c>
      <c r="BF320" t="str">
        <f>HYPERLINK("http://dx.doi.org/10.1111/idh.12721","http://dx.doi.org/10.1111/idh.12721")</f>
        <v>http://dx.doi.org/10.1111/idh.12721</v>
      </c>
      <c r="BG320" t="s">
        <v>74</v>
      </c>
      <c r="BH320" t="s">
        <v>407</v>
      </c>
      <c r="BI320">
        <v>10</v>
      </c>
      <c r="BJ320" t="s">
        <v>314</v>
      </c>
      <c r="BK320" t="s">
        <v>119</v>
      </c>
      <c r="BL320" t="s">
        <v>314</v>
      </c>
      <c r="BM320" t="s">
        <v>6405</v>
      </c>
      <c r="BN320">
        <v>37661287</v>
      </c>
      <c r="BO320" t="s">
        <v>74</v>
      </c>
      <c r="BP320" t="s">
        <v>74</v>
      </c>
      <c r="BQ320" t="s">
        <v>74</v>
      </c>
      <c r="BR320" t="s">
        <v>99</v>
      </c>
      <c r="BS320" t="s">
        <v>6406</v>
      </c>
      <c r="BT320" t="str">
        <f>HYPERLINK("https%3A%2F%2Fwww.webofscience.com%2Fwos%2Fwoscc%2Ffull-record%2FWOS:001060928700001","View Full Record in Web of Science")</f>
        <v>View Full Record in Web of Science</v>
      </c>
    </row>
    <row r="321" spans="1:72" x14ac:dyDescent="0.15">
      <c r="A321" t="s">
        <v>72</v>
      </c>
      <c r="B321" t="s">
        <v>6407</v>
      </c>
      <c r="C321" t="s">
        <v>74</v>
      </c>
      <c r="D321" t="s">
        <v>74</v>
      </c>
      <c r="E321" t="s">
        <v>74</v>
      </c>
      <c r="F321" t="s">
        <v>6408</v>
      </c>
      <c r="G321" t="s">
        <v>74</v>
      </c>
      <c r="H321" t="s">
        <v>74</v>
      </c>
      <c r="I321" t="s">
        <v>6409</v>
      </c>
      <c r="J321" t="s">
        <v>6410</v>
      </c>
      <c r="K321" t="s">
        <v>74</v>
      </c>
      <c r="L321" t="s">
        <v>74</v>
      </c>
      <c r="M321" t="s">
        <v>78</v>
      </c>
      <c r="N321" t="s">
        <v>338</v>
      </c>
      <c r="O321" t="s">
        <v>74</v>
      </c>
      <c r="P321" t="s">
        <v>74</v>
      </c>
      <c r="Q321" t="s">
        <v>74</v>
      </c>
      <c r="R321" t="s">
        <v>74</v>
      </c>
      <c r="S321" t="s">
        <v>74</v>
      </c>
      <c r="T321" t="s">
        <v>6411</v>
      </c>
      <c r="U321" t="s">
        <v>6412</v>
      </c>
      <c r="V321" t="s">
        <v>6413</v>
      </c>
      <c r="W321" t="s">
        <v>6414</v>
      </c>
      <c r="X321" t="s">
        <v>6415</v>
      </c>
      <c r="Y321" t="s">
        <v>6416</v>
      </c>
      <c r="Z321" t="s">
        <v>6417</v>
      </c>
      <c r="AA321" t="s">
        <v>6418</v>
      </c>
      <c r="AB321" t="s">
        <v>6419</v>
      </c>
      <c r="AC321" t="s">
        <v>6420</v>
      </c>
      <c r="AD321" t="s">
        <v>6421</v>
      </c>
      <c r="AE321" t="s">
        <v>6422</v>
      </c>
      <c r="AF321" t="s">
        <v>74</v>
      </c>
      <c r="AG321">
        <v>39</v>
      </c>
      <c r="AH321">
        <v>0</v>
      </c>
      <c r="AI321">
        <v>0</v>
      </c>
      <c r="AJ321">
        <v>1</v>
      </c>
      <c r="AK321">
        <v>1</v>
      </c>
      <c r="AL321" t="s">
        <v>87</v>
      </c>
      <c r="AM321" t="s">
        <v>88</v>
      </c>
      <c r="AN321" t="s">
        <v>89</v>
      </c>
      <c r="AO321" t="s">
        <v>6423</v>
      </c>
      <c r="AP321" t="s">
        <v>6424</v>
      </c>
      <c r="AQ321" t="s">
        <v>74</v>
      </c>
      <c r="AR321" t="s">
        <v>6425</v>
      </c>
      <c r="AS321" t="s">
        <v>6426</v>
      </c>
      <c r="AT321" t="s">
        <v>6386</v>
      </c>
      <c r="AU321">
        <v>2023</v>
      </c>
      <c r="AV321" t="s">
        <v>74</v>
      </c>
      <c r="AW321" t="s">
        <v>74</v>
      </c>
      <c r="AX321" t="s">
        <v>74</v>
      </c>
      <c r="AY321" t="s">
        <v>74</v>
      </c>
      <c r="AZ321" t="s">
        <v>74</v>
      </c>
      <c r="BA321" t="s">
        <v>74</v>
      </c>
      <c r="BB321" t="s">
        <v>74</v>
      </c>
      <c r="BC321" t="s">
        <v>74</v>
      </c>
      <c r="BD321" t="s">
        <v>74</v>
      </c>
      <c r="BE321" t="s">
        <v>6427</v>
      </c>
      <c r="BF321" t="str">
        <f>HYPERLINK("http://dx.doi.org/10.1002/jad.12240","http://dx.doi.org/10.1002/jad.12240")</f>
        <v>http://dx.doi.org/10.1002/jad.12240</v>
      </c>
      <c r="BG321" t="s">
        <v>74</v>
      </c>
      <c r="BH321" t="s">
        <v>407</v>
      </c>
      <c r="BI321">
        <v>10</v>
      </c>
      <c r="BJ321" t="s">
        <v>6428</v>
      </c>
      <c r="BK321" t="s">
        <v>546</v>
      </c>
      <c r="BL321" t="s">
        <v>1210</v>
      </c>
      <c r="BM321" t="s">
        <v>6429</v>
      </c>
      <c r="BN321">
        <v>37661357</v>
      </c>
      <c r="BO321" t="s">
        <v>122</v>
      </c>
      <c r="BP321" t="s">
        <v>74</v>
      </c>
      <c r="BQ321" t="s">
        <v>74</v>
      </c>
      <c r="BR321" t="s">
        <v>99</v>
      </c>
      <c r="BS321" t="s">
        <v>6430</v>
      </c>
      <c r="BT321" t="str">
        <f>HYPERLINK("https%3A%2F%2Fwww.webofscience.com%2Fwos%2Fwoscc%2Ffull-record%2FWOS:001057821300001","View Full Record in Web of Science")</f>
        <v>View Full Record in Web of Science</v>
      </c>
    </row>
    <row r="322" spans="1:72" x14ac:dyDescent="0.15">
      <c r="A322" t="s">
        <v>72</v>
      </c>
      <c r="B322" t="s">
        <v>6431</v>
      </c>
      <c r="C322" t="s">
        <v>74</v>
      </c>
      <c r="D322" t="s">
        <v>74</v>
      </c>
      <c r="E322" t="s">
        <v>74</v>
      </c>
      <c r="F322" t="s">
        <v>6432</v>
      </c>
      <c r="G322" t="s">
        <v>74</v>
      </c>
      <c r="H322" t="s">
        <v>74</v>
      </c>
      <c r="I322" t="s">
        <v>6433</v>
      </c>
      <c r="J322" t="s">
        <v>875</v>
      </c>
      <c r="K322" t="s">
        <v>74</v>
      </c>
      <c r="L322" t="s">
        <v>74</v>
      </c>
      <c r="M322" t="s">
        <v>78</v>
      </c>
      <c r="N322" t="s">
        <v>338</v>
      </c>
      <c r="O322" t="s">
        <v>74</v>
      </c>
      <c r="P322" t="s">
        <v>74</v>
      </c>
      <c r="Q322" t="s">
        <v>74</v>
      </c>
      <c r="R322" t="s">
        <v>74</v>
      </c>
      <c r="S322" t="s">
        <v>74</v>
      </c>
      <c r="T322" t="s">
        <v>6434</v>
      </c>
      <c r="U322" t="s">
        <v>74</v>
      </c>
      <c r="V322" t="s">
        <v>6435</v>
      </c>
      <c r="W322" t="s">
        <v>6436</v>
      </c>
      <c r="X322" t="s">
        <v>6437</v>
      </c>
      <c r="Y322" t="s">
        <v>6438</v>
      </c>
      <c r="Z322" t="s">
        <v>6439</v>
      </c>
      <c r="AA322" t="s">
        <v>74</v>
      </c>
      <c r="AB322" t="s">
        <v>6440</v>
      </c>
      <c r="AC322" t="s">
        <v>6441</v>
      </c>
      <c r="AD322" t="s">
        <v>6442</v>
      </c>
      <c r="AE322" t="s">
        <v>6443</v>
      </c>
      <c r="AF322" t="s">
        <v>74</v>
      </c>
      <c r="AG322">
        <v>46</v>
      </c>
      <c r="AH322">
        <v>0</v>
      </c>
      <c r="AI322">
        <v>0</v>
      </c>
      <c r="AJ322">
        <v>11</v>
      </c>
      <c r="AK322">
        <v>11</v>
      </c>
      <c r="AL322" t="s">
        <v>426</v>
      </c>
      <c r="AM322" t="s">
        <v>427</v>
      </c>
      <c r="AN322" t="s">
        <v>428</v>
      </c>
      <c r="AO322" t="s">
        <v>886</v>
      </c>
      <c r="AP322" t="s">
        <v>887</v>
      </c>
      <c r="AQ322" t="s">
        <v>74</v>
      </c>
      <c r="AR322" t="s">
        <v>888</v>
      </c>
      <c r="AS322" t="s">
        <v>889</v>
      </c>
      <c r="AT322" t="s">
        <v>6386</v>
      </c>
      <c r="AU322">
        <v>2023</v>
      </c>
      <c r="AV322" t="s">
        <v>74</v>
      </c>
      <c r="AW322" t="s">
        <v>74</v>
      </c>
      <c r="AX322" t="s">
        <v>74</v>
      </c>
      <c r="AY322" t="s">
        <v>74</v>
      </c>
      <c r="AZ322" t="s">
        <v>74</v>
      </c>
      <c r="BA322" t="s">
        <v>74</v>
      </c>
      <c r="BB322" t="s">
        <v>74</v>
      </c>
      <c r="BC322" t="s">
        <v>74</v>
      </c>
      <c r="BD322" t="s">
        <v>74</v>
      </c>
      <c r="BE322" t="s">
        <v>6444</v>
      </c>
      <c r="BF322" t="str">
        <f>HYPERLINK("http://dx.doi.org/10.1002/adfm.202306875","http://dx.doi.org/10.1002/adfm.202306875")</f>
        <v>http://dx.doi.org/10.1002/adfm.202306875</v>
      </c>
      <c r="BG322" t="s">
        <v>74</v>
      </c>
      <c r="BH322" t="s">
        <v>407</v>
      </c>
      <c r="BI322">
        <v>8</v>
      </c>
      <c r="BJ322" t="s">
        <v>609</v>
      </c>
      <c r="BK322" t="s">
        <v>119</v>
      </c>
      <c r="BL322" t="s">
        <v>610</v>
      </c>
      <c r="BM322" t="s">
        <v>6445</v>
      </c>
      <c r="BN322" t="s">
        <v>74</v>
      </c>
      <c r="BO322" t="s">
        <v>74</v>
      </c>
      <c r="BP322" t="s">
        <v>74</v>
      </c>
      <c r="BQ322" t="s">
        <v>74</v>
      </c>
      <c r="BR322" t="s">
        <v>99</v>
      </c>
      <c r="BS322" t="s">
        <v>6446</v>
      </c>
      <c r="BT322" t="str">
        <f>HYPERLINK("https%3A%2F%2Fwww.webofscience.com%2Fwos%2Fwoscc%2Ffull-record%2FWOS:001057439600001","View Full Record in Web of Science")</f>
        <v>View Full Record in Web of Science</v>
      </c>
    </row>
    <row r="323" spans="1:72" x14ac:dyDescent="0.15">
      <c r="A323" t="s">
        <v>72</v>
      </c>
      <c r="B323" t="s">
        <v>6447</v>
      </c>
      <c r="C323" t="s">
        <v>74</v>
      </c>
      <c r="D323" t="s">
        <v>74</v>
      </c>
      <c r="E323" t="s">
        <v>74</v>
      </c>
      <c r="F323" t="s">
        <v>6448</v>
      </c>
      <c r="G323" t="s">
        <v>74</v>
      </c>
      <c r="H323" t="s">
        <v>74</v>
      </c>
      <c r="I323" t="s">
        <v>6449</v>
      </c>
      <c r="J323" t="s">
        <v>875</v>
      </c>
      <c r="K323" t="s">
        <v>74</v>
      </c>
      <c r="L323" t="s">
        <v>74</v>
      </c>
      <c r="M323" t="s">
        <v>78</v>
      </c>
      <c r="N323" t="s">
        <v>338</v>
      </c>
      <c r="O323" t="s">
        <v>74</v>
      </c>
      <c r="P323" t="s">
        <v>74</v>
      </c>
      <c r="Q323" t="s">
        <v>74</v>
      </c>
      <c r="R323" t="s">
        <v>74</v>
      </c>
      <c r="S323" t="s">
        <v>74</v>
      </c>
      <c r="T323" t="s">
        <v>6450</v>
      </c>
      <c r="U323" t="s">
        <v>6451</v>
      </c>
      <c r="V323" t="s">
        <v>6452</v>
      </c>
      <c r="W323" t="s">
        <v>6453</v>
      </c>
      <c r="X323" t="s">
        <v>6454</v>
      </c>
      <c r="Y323" t="s">
        <v>6455</v>
      </c>
      <c r="Z323" t="s">
        <v>6456</v>
      </c>
      <c r="AA323" t="s">
        <v>6457</v>
      </c>
      <c r="AB323" t="s">
        <v>6458</v>
      </c>
      <c r="AC323" t="s">
        <v>1283</v>
      </c>
      <c r="AD323" t="s">
        <v>1283</v>
      </c>
      <c r="AE323" t="s">
        <v>6459</v>
      </c>
      <c r="AF323" t="s">
        <v>74</v>
      </c>
      <c r="AG323">
        <v>145</v>
      </c>
      <c r="AH323">
        <v>0</v>
      </c>
      <c r="AI323">
        <v>0</v>
      </c>
      <c r="AJ323">
        <v>8</v>
      </c>
      <c r="AK323">
        <v>8</v>
      </c>
      <c r="AL323" t="s">
        <v>426</v>
      </c>
      <c r="AM323" t="s">
        <v>427</v>
      </c>
      <c r="AN323" t="s">
        <v>428</v>
      </c>
      <c r="AO323" t="s">
        <v>886</v>
      </c>
      <c r="AP323" t="s">
        <v>887</v>
      </c>
      <c r="AQ323" t="s">
        <v>74</v>
      </c>
      <c r="AR323" t="s">
        <v>888</v>
      </c>
      <c r="AS323" t="s">
        <v>889</v>
      </c>
      <c r="AT323" t="s">
        <v>6386</v>
      </c>
      <c r="AU323">
        <v>2023</v>
      </c>
      <c r="AV323" t="s">
        <v>74</v>
      </c>
      <c r="AW323" t="s">
        <v>74</v>
      </c>
      <c r="AX323" t="s">
        <v>74</v>
      </c>
      <c r="AY323" t="s">
        <v>74</v>
      </c>
      <c r="AZ323" t="s">
        <v>74</v>
      </c>
      <c r="BA323" t="s">
        <v>74</v>
      </c>
      <c r="BB323" t="s">
        <v>74</v>
      </c>
      <c r="BC323" t="s">
        <v>74</v>
      </c>
      <c r="BD323" t="s">
        <v>74</v>
      </c>
      <c r="BE323" t="s">
        <v>6460</v>
      </c>
      <c r="BF323" t="str">
        <f>HYPERLINK("http://dx.doi.org/10.1002/adfm.202304523","http://dx.doi.org/10.1002/adfm.202304523")</f>
        <v>http://dx.doi.org/10.1002/adfm.202304523</v>
      </c>
      <c r="BG323" t="s">
        <v>74</v>
      </c>
      <c r="BH323" t="s">
        <v>407</v>
      </c>
      <c r="BI323">
        <v>19</v>
      </c>
      <c r="BJ323" t="s">
        <v>609</v>
      </c>
      <c r="BK323" t="s">
        <v>119</v>
      </c>
      <c r="BL323" t="s">
        <v>610</v>
      </c>
      <c r="BM323" t="s">
        <v>6461</v>
      </c>
      <c r="BN323" t="s">
        <v>74</v>
      </c>
      <c r="BO323" t="s">
        <v>122</v>
      </c>
      <c r="BP323" t="s">
        <v>74</v>
      </c>
      <c r="BQ323" t="s">
        <v>74</v>
      </c>
      <c r="BR323" t="s">
        <v>99</v>
      </c>
      <c r="BS323" t="s">
        <v>6462</v>
      </c>
      <c r="BT323" t="str">
        <f>HYPERLINK("https%3A%2F%2Fwww.webofscience.com%2Fwos%2Fwoscc%2Ffull-record%2FWOS:001057439700001","View Full Record in Web of Science")</f>
        <v>View Full Record in Web of Science</v>
      </c>
    </row>
    <row r="324" spans="1:72" x14ac:dyDescent="0.15">
      <c r="A324" t="s">
        <v>72</v>
      </c>
      <c r="B324" t="s">
        <v>6463</v>
      </c>
      <c r="C324" t="s">
        <v>74</v>
      </c>
      <c r="D324" t="s">
        <v>74</v>
      </c>
      <c r="E324" t="s">
        <v>74</v>
      </c>
      <c r="F324" t="s">
        <v>6464</v>
      </c>
      <c r="G324" t="s">
        <v>74</v>
      </c>
      <c r="H324" t="s">
        <v>74</v>
      </c>
      <c r="I324" t="s">
        <v>6465</v>
      </c>
      <c r="J324" t="s">
        <v>6466</v>
      </c>
      <c r="K324" t="s">
        <v>74</v>
      </c>
      <c r="L324" t="s">
        <v>74</v>
      </c>
      <c r="M324" t="s">
        <v>78</v>
      </c>
      <c r="N324" t="s">
        <v>338</v>
      </c>
      <c r="O324" t="s">
        <v>74</v>
      </c>
      <c r="P324" t="s">
        <v>74</v>
      </c>
      <c r="Q324" t="s">
        <v>74</v>
      </c>
      <c r="R324" t="s">
        <v>74</v>
      </c>
      <c r="S324" t="s">
        <v>74</v>
      </c>
      <c r="T324" t="s">
        <v>6467</v>
      </c>
      <c r="U324" t="s">
        <v>6468</v>
      </c>
      <c r="V324" t="s">
        <v>6469</v>
      </c>
      <c r="W324" t="s">
        <v>6470</v>
      </c>
      <c r="X324" t="s">
        <v>6471</v>
      </c>
      <c r="Y324" t="s">
        <v>6472</v>
      </c>
      <c r="Z324" t="s">
        <v>6473</v>
      </c>
      <c r="AA324" t="s">
        <v>6474</v>
      </c>
      <c r="AB324" t="s">
        <v>6475</v>
      </c>
      <c r="AC324" t="s">
        <v>6476</v>
      </c>
      <c r="AD324" t="s">
        <v>6477</v>
      </c>
      <c r="AE324" t="s">
        <v>6478</v>
      </c>
      <c r="AF324" t="s">
        <v>74</v>
      </c>
      <c r="AG324">
        <v>82</v>
      </c>
      <c r="AH324">
        <v>0</v>
      </c>
      <c r="AI324">
        <v>0</v>
      </c>
      <c r="AJ324">
        <v>4</v>
      </c>
      <c r="AK324">
        <v>4</v>
      </c>
      <c r="AL324" t="s">
        <v>87</v>
      </c>
      <c r="AM324" t="s">
        <v>88</v>
      </c>
      <c r="AN324" t="s">
        <v>89</v>
      </c>
      <c r="AO324" t="s">
        <v>6479</v>
      </c>
      <c r="AP324" t="s">
        <v>6480</v>
      </c>
      <c r="AQ324" t="s">
        <v>74</v>
      </c>
      <c r="AR324" t="s">
        <v>6481</v>
      </c>
      <c r="AS324" t="s">
        <v>6482</v>
      </c>
      <c r="AT324" t="s">
        <v>6386</v>
      </c>
      <c r="AU324">
        <v>2023</v>
      </c>
      <c r="AV324" t="s">
        <v>74</v>
      </c>
      <c r="AW324" t="s">
        <v>74</v>
      </c>
      <c r="AX324" t="s">
        <v>74</v>
      </c>
      <c r="AY324" t="s">
        <v>74</v>
      </c>
      <c r="AZ324" t="s">
        <v>74</v>
      </c>
      <c r="BA324" t="s">
        <v>74</v>
      </c>
      <c r="BB324" t="s">
        <v>74</v>
      </c>
      <c r="BC324" t="s">
        <v>74</v>
      </c>
      <c r="BD324" t="s">
        <v>74</v>
      </c>
      <c r="BE324" t="s">
        <v>6483</v>
      </c>
      <c r="BF324" t="str">
        <f>HYPERLINK("http://dx.doi.org/10.1002/ejsp.2992","http://dx.doi.org/10.1002/ejsp.2992")</f>
        <v>http://dx.doi.org/10.1002/ejsp.2992</v>
      </c>
      <c r="BG324" t="s">
        <v>74</v>
      </c>
      <c r="BH324" t="s">
        <v>407</v>
      </c>
      <c r="BI324">
        <v>15</v>
      </c>
      <c r="BJ324" t="s">
        <v>1209</v>
      </c>
      <c r="BK324" t="s">
        <v>546</v>
      </c>
      <c r="BL324" t="s">
        <v>1210</v>
      </c>
      <c r="BM324" t="s">
        <v>6484</v>
      </c>
      <c r="BN324" t="s">
        <v>74</v>
      </c>
      <c r="BO324" t="s">
        <v>122</v>
      </c>
      <c r="BP324" t="s">
        <v>74</v>
      </c>
      <c r="BQ324" t="s">
        <v>74</v>
      </c>
      <c r="BR324" t="s">
        <v>99</v>
      </c>
      <c r="BS324" t="s">
        <v>6485</v>
      </c>
      <c r="BT324" t="str">
        <f>HYPERLINK("https%3A%2F%2Fwww.webofscience.com%2Fwos%2Fwoscc%2Ffull-record%2FWOS:001057274500001","View Full Record in Web of Science")</f>
        <v>View Full Record in Web of Science</v>
      </c>
    </row>
    <row r="325" spans="1:72" x14ac:dyDescent="0.15">
      <c r="A325" t="s">
        <v>72</v>
      </c>
      <c r="B325" t="s">
        <v>6486</v>
      </c>
      <c r="C325" t="s">
        <v>74</v>
      </c>
      <c r="D325" t="s">
        <v>74</v>
      </c>
      <c r="E325" t="s">
        <v>74</v>
      </c>
      <c r="F325" t="s">
        <v>6487</v>
      </c>
      <c r="G325" t="s">
        <v>74</v>
      </c>
      <c r="H325" t="s">
        <v>74</v>
      </c>
      <c r="I325" t="s">
        <v>6488</v>
      </c>
      <c r="J325" t="s">
        <v>1024</v>
      </c>
      <c r="K325" t="s">
        <v>74</v>
      </c>
      <c r="L325" t="s">
        <v>74</v>
      </c>
      <c r="M325" t="s">
        <v>78</v>
      </c>
      <c r="N325" t="s">
        <v>338</v>
      </c>
      <c r="O325" t="s">
        <v>74</v>
      </c>
      <c r="P325" t="s">
        <v>74</v>
      </c>
      <c r="Q325" t="s">
        <v>74</v>
      </c>
      <c r="R325" t="s">
        <v>74</v>
      </c>
      <c r="S325" t="s">
        <v>74</v>
      </c>
      <c r="T325" t="s">
        <v>6489</v>
      </c>
      <c r="U325" t="s">
        <v>6490</v>
      </c>
      <c r="V325" t="s">
        <v>6491</v>
      </c>
      <c r="W325" t="s">
        <v>6492</v>
      </c>
      <c r="X325" t="s">
        <v>6493</v>
      </c>
      <c r="Y325" t="s">
        <v>6494</v>
      </c>
      <c r="Z325" t="s">
        <v>6495</v>
      </c>
      <c r="AA325" t="s">
        <v>74</v>
      </c>
      <c r="AB325" t="s">
        <v>74</v>
      </c>
      <c r="AC325" t="s">
        <v>6496</v>
      </c>
      <c r="AD325" t="s">
        <v>6497</v>
      </c>
      <c r="AE325" t="s">
        <v>6498</v>
      </c>
      <c r="AF325" t="s">
        <v>74</v>
      </c>
      <c r="AG325">
        <v>59</v>
      </c>
      <c r="AH325">
        <v>0</v>
      </c>
      <c r="AI325">
        <v>0</v>
      </c>
      <c r="AJ325">
        <v>7</v>
      </c>
      <c r="AK325">
        <v>7</v>
      </c>
      <c r="AL325" t="s">
        <v>87</v>
      </c>
      <c r="AM325" t="s">
        <v>88</v>
      </c>
      <c r="AN325" t="s">
        <v>89</v>
      </c>
      <c r="AO325" t="s">
        <v>74</v>
      </c>
      <c r="AP325" t="s">
        <v>1036</v>
      </c>
      <c r="AQ325" t="s">
        <v>74</v>
      </c>
      <c r="AR325" t="s">
        <v>1037</v>
      </c>
      <c r="AS325" t="s">
        <v>1038</v>
      </c>
      <c r="AT325" t="s">
        <v>6386</v>
      </c>
      <c r="AU325">
        <v>2023</v>
      </c>
      <c r="AV325" t="s">
        <v>74</v>
      </c>
      <c r="AW325" t="s">
        <v>74</v>
      </c>
      <c r="AX325" t="s">
        <v>74</v>
      </c>
      <c r="AY325" t="s">
        <v>74</v>
      </c>
      <c r="AZ325" t="s">
        <v>74</v>
      </c>
      <c r="BA325" t="s">
        <v>74</v>
      </c>
      <c r="BB325" t="s">
        <v>74</v>
      </c>
      <c r="BC325" t="s">
        <v>74</v>
      </c>
      <c r="BD325" t="s">
        <v>74</v>
      </c>
      <c r="BE325" t="s">
        <v>6499</v>
      </c>
      <c r="BF325" t="str">
        <f>HYPERLINK("http://dx.doi.org/10.1002/sstr.202300190","http://dx.doi.org/10.1002/sstr.202300190")</f>
        <v>http://dx.doi.org/10.1002/sstr.202300190</v>
      </c>
      <c r="BG325" t="s">
        <v>74</v>
      </c>
      <c r="BH325" t="s">
        <v>407</v>
      </c>
      <c r="BI325">
        <v>8</v>
      </c>
      <c r="BJ325" t="s">
        <v>1040</v>
      </c>
      <c r="BK325" t="s">
        <v>119</v>
      </c>
      <c r="BL325" t="s">
        <v>954</v>
      </c>
      <c r="BM325" t="s">
        <v>6500</v>
      </c>
      <c r="BN325" t="s">
        <v>74</v>
      </c>
      <c r="BO325" t="s">
        <v>234</v>
      </c>
      <c r="BP325" t="s">
        <v>74</v>
      </c>
      <c r="BQ325" t="s">
        <v>74</v>
      </c>
      <c r="BR325" t="s">
        <v>99</v>
      </c>
      <c r="BS325" t="s">
        <v>6501</v>
      </c>
      <c r="BT325" t="str">
        <f>HYPERLINK("https%3A%2F%2Fwww.webofscience.com%2Fwos%2Fwoscc%2Ffull-record%2FWOS:001057433500001","View Full Record in Web of Science")</f>
        <v>View Full Record in Web of Science</v>
      </c>
    </row>
    <row r="326" spans="1:72" x14ac:dyDescent="0.15">
      <c r="A326" t="s">
        <v>72</v>
      </c>
      <c r="B326" t="s">
        <v>6502</v>
      </c>
      <c r="C326" t="s">
        <v>74</v>
      </c>
      <c r="D326" t="s">
        <v>74</v>
      </c>
      <c r="E326" t="s">
        <v>74</v>
      </c>
      <c r="F326" t="s">
        <v>6503</v>
      </c>
      <c r="G326" t="s">
        <v>74</v>
      </c>
      <c r="H326" t="s">
        <v>74</v>
      </c>
      <c r="I326" t="s">
        <v>6504</v>
      </c>
      <c r="J326" t="s">
        <v>1982</v>
      </c>
      <c r="K326" t="s">
        <v>74</v>
      </c>
      <c r="L326" t="s">
        <v>74</v>
      </c>
      <c r="M326" t="s">
        <v>78</v>
      </c>
      <c r="N326" t="s">
        <v>338</v>
      </c>
      <c r="O326" t="s">
        <v>74</v>
      </c>
      <c r="P326" t="s">
        <v>74</v>
      </c>
      <c r="Q326" t="s">
        <v>74</v>
      </c>
      <c r="R326" t="s">
        <v>74</v>
      </c>
      <c r="S326" t="s">
        <v>74</v>
      </c>
      <c r="T326" t="s">
        <v>6505</v>
      </c>
      <c r="U326" t="s">
        <v>6506</v>
      </c>
      <c r="V326" t="s">
        <v>6507</v>
      </c>
      <c r="W326" t="s">
        <v>6508</v>
      </c>
      <c r="X326" t="s">
        <v>6509</v>
      </c>
      <c r="Y326" t="s">
        <v>6510</v>
      </c>
      <c r="Z326" t="s">
        <v>6511</v>
      </c>
      <c r="AA326" t="s">
        <v>74</v>
      </c>
      <c r="AB326" t="s">
        <v>74</v>
      </c>
      <c r="AC326" t="s">
        <v>6512</v>
      </c>
      <c r="AD326" t="s">
        <v>6513</v>
      </c>
      <c r="AE326" t="s">
        <v>6514</v>
      </c>
      <c r="AF326" t="s">
        <v>74</v>
      </c>
      <c r="AG326">
        <v>60</v>
      </c>
      <c r="AH326">
        <v>0</v>
      </c>
      <c r="AI326">
        <v>0</v>
      </c>
      <c r="AJ326">
        <v>0</v>
      </c>
      <c r="AK326">
        <v>0</v>
      </c>
      <c r="AL326" t="s">
        <v>426</v>
      </c>
      <c r="AM326" t="s">
        <v>427</v>
      </c>
      <c r="AN326" t="s">
        <v>428</v>
      </c>
      <c r="AO326" t="s">
        <v>1993</v>
      </c>
      <c r="AP326" t="s">
        <v>1994</v>
      </c>
      <c r="AQ326" t="s">
        <v>74</v>
      </c>
      <c r="AR326" t="s">
        <v>1995</v>
      </c>
      <c r="AS326" t="s">
        <v>1996</v>
      </c>
      <c r="AT326" t="s">
        <v>6386</v>
      </c>
      <c r="AU326">
        <v>2023</v>
      </c>
      <c r="AV326" t="s">
        <v>74</v>
      </c>
      <c r="AW326" t="s">
        <v>74</v>
      </c>
      <c r="AX326" t="s">
        <v>74</v>
      </c>
      <c r="AY326" t="s">
        <v>74</v>
      </c>
      <c r="AZ326" t="s">
        <v>74</v>
      </c>
      <c r="BA326" t="s">
        <v>74</v>
      </c>
      <c r="BB326" t="s">
        <v>74</v>
      </c>
      <c r="BC326" t="s">
        <v>74</v>
      </c>
      <c r="BD326">
        <v>2300727</v>
      </c>
      <c r="BE326" t="s">
        <v>6515</v>
      </c>
      <c r="BF326" t="str">
        <f>HYPERLINK("http://dx.doi.org/10.1002/adem.202300727","http://dx.doi.org/10.1002/adem.202300727")</f>
        <v>http://dx.doi.org/10.1002/adem.202300727</v>
      </c>
      <c r="BG326" t="s">
        <v>74</v>
      </c>
      <c r="BH326" t="s">
        <v>407</v>
      </c>
      <c r="BI326">
        <v>9</v>
      </c>
      <c r="BJ326" t="s">
        <v>1998</v>
      </c>
      <c r="BK326" t="s">
        <v>119</v>
      </c>
      <c r="BL326" t="s">
        <v>1999</v>
      </c>
      <c r="BM326" t="s">
        <v>6516</v>
      </c>
      <c r="BN326" t="s">
        <v>74</v>
      </c>
      <c r="BO326" t="s">
        <v>74</v>
      </c>
      <c r="BP326" t="s">
        <v>74</v>
      </c>
      <c r="BQ326" t="s">
        <v>74</v>
      </c>
      <c r="BR326" t="s">
        <v>99</v>
      </c>
      <c r="BS326" t="s">
        <v>6517</v>
      </c>
      <c r="BT326" t="str">
        <f>HYPERLINK("https%3A%2F%2Fwww.webofscience.com%2Fwos%2Fwoscc%2Ffull-record%2FWOS:001060454900001","View Full Record in Web of Science")</f>
        <v>View Full Record in Web of Science</v>
      </c>
    </row>
    <row r="327" spans="1:72" x14ac:dyDescent="0.15">
      <c r="A327" t="s">
        <v>72</v>
      </c>
      <c r="B327" t="s">
        <v>6518</v>
      </c>
      <c r="C327" t="s">
        <v>74</v>
      </c>
      <c r="D327" t="s">
        <v>74</v>
      </c>
      <c r="E327" t="s">
        <v>74</v>
      </c>
      <c r="F327" t="s">
        <v>6519</v>
      </c>
      <c r="G327" t="s">
        <v>74</v>
      </c>
      <c r="H327" t="s">
        <v>74</v>
      </c>
      <c r="I327" t="s">
        <v>6520</v>
      </c>
      <c r="J327" t="s">
        <v>6393</v>
      </c>
      <c r="K327" t="s">
        <v>74</v>
      </c>
      <c r="L327" t="s">
        <v>74</v>
      </c>
      <c r="M327" t="s">
        <v>78</v>
      </c>
      <c r="N327" t="s">
        <v>594</v>
      </c>
      <c r="O327" t="s">
        <v>74</v>
      </c>
      <c r="P327" t="s">
        <v>74</v>
      </c>
      <c r="Q327" t="s">
        <v>74</v>
      </c>
      <c r="R327" t="s">
        <v>74</v>
      </c>
      <c r="S327" t="s">
        <v>74</v>
      </c>
      <c r="T327" t="s">
        <v>6521</v>
      </c>
      <c r="U327" t="s">
        <v>6522</v>
      </c>
      <c r="V327" t="s">
        <v>6523</v>
      </c>
      <c r="W327" t="s">
        <v>6524</v>
      </c>
      <c r="X327" t="s">
        <v>6525</v>
      </c>
      <c r="Y327" t="s">
        <v>6526</v>
      </c>
      <c r="Z327" t="s">
        <v>6527</v>
      </c>
      <c r="AA327" t="s">
        <v>6528</v>
      </c>
      <c r="AB327" t="s">
        <v>6529</v>
      </c>
      <c r="AC327" t="s">
        <v>6530</v>
      </c>
      <c r="AD327" t="s">
        <v>6531</v>
      </c>
      <c r="AE327" t="s">
        <v>6532</v>
      </c>
      <c r="AF327" t="s">
        <v>74</v>
      </c>
      <c r="AG327">
        <v>34</v>
      </c>
      <c r="AH327">
        <v>0</v>
      </c>
      <c r="AI327">
        <v>0</v>
      </c>
      <c r="AJ327">
        <v>0</v>
      </c>
      <c r="AK327">
        <v>0</v>
      </c>
      <c r="AL327" t="s">
        <v>87</v>
      </c>
      <c r="AM327" t="s">
        <v>88</v>
      </c>
      <c r="AN327" t="s">
        <v>89</v>
      </c>
      <c r="AO327" t="s">
        <v>6400</v>
      </c>
      <c r="AP327" t="s">
        <v>6401</v>
      </c>
      <c r="AQ327" t="s">
        <v>74</v>
      </c>
      <c r="AR327" t="s">
        <v>6402</v>
      </c>
      <c r="AS327" t="s">
        <v>6403</v>
      </c>
      <c r="AT327" t="s">
        <v>6386</v>
      </c>
      <c r="AU327">
        <v>2023</v>
      </c>
      <c r="AV327" t="s">
        <v>74</v>
      </c>
      <c r="AW327" t="s">
        <v>74</v>
      </c>
      <c r="AX327" t="s">
        <v>74</v>
      </c>
      <c r="AY327" t="s">
        <v>74</v>
      </c>
      <c r="AZ327" t="s">
        <v>74</v>
      </c>
      <c r="BA327" t="s">
        <v>74</v>
      </c>
      <c r="BB327" t="s">
        <v>74</v>
      </c>
      <c r="BC327" t="s">
        <v>74</v>
      </c>
      <c r="BD327" t="s">
        <v>74</v>
      </c>
      <c r="BE327" t="s">
        <v>6533</v>
      </c>
      <c r="BF327" t="str">
        <f>HYPERLINK("http://dx.doi.org/10.1111/idh.12731","http://dx.doi.org/10.1111/idh.12731")</f>
        <v>http://dx.doi.org/10.1111/idh.12731</v>
      </c>
      <c r="BG327" t="s">
        <v>74</v>
      </c>
      <c r="BH327" t="s">
        <v>407</v>
      </c>
      <c r="BI327">
        <v>10</v>
      </c>
      <c r="BJ327" t="s">
        <v>314</v>
      </c>
      <c r="BK327" t="s">
        <v>119</v>
      </c>
      <c r="BL327" t="s">
        <v>314</v>
      </c>
      <c r="BM327" t="s">
        <v>6534</v>
      </c>
      <c r="BN327">
        <v>37661290</v>
      </c>
      <c r="BO327" t="s">
        <v>74</v>
      </c>
      <c r="BP327" t="s">
        <v>74</v>
      </c>
      <c r="BQ327" t="s">
        <v>74</v>
      </c>
      <c r="BR327" t="s">
        <v>99</v>
      </c>
      <c r="BS327" t="s">
        <v>6535</v>
      </c>
      <c r="BT327" t="str">
        <f>HYPERLINK("https%3A%2F%2Fwww.webofscience.com%2Fwos%2Fwoscc%2Ffull-record%2FWOS:001057792700001","View Full Record in Web of Science")</f>
        <v>View Full Record in Web of Science</v>
      </c>
    </row>
    <row r="328" spans="1:72" x14ac:dyDescent="0.15">
      <c r="A328" t="s">
        <v>72</v>
      </c>
      <c r="B328" t="s">
        <v>6536</v>
      </c>
      <c r="C328" t="s">
        <v>74</v>
      </c>
      <c r="D328" t="s">
        <v>74</v>
      </c>
      <c r="E328" t="s">
        <v>74</v>
      </c>
      <c r="F328" t="s">
        <v>6537</v>
      </c>
      <c r="G328" t="s">
        <v>74</v>
      </c>
      <c r="H328" t="s">
        <v>74</v>
      </c>
      <c r="I328" t="s">
        <v>6538</v>
      </c>
      <c r="J328" t="s">
        <v>6539</v>
      </c>
      <c r="K328" t="s">
        <v>74</v>
      </c>
      <c r="L328" t="s">
        <v>74</v>
      </c>
      <c r="M328" t="s">
        <v>78</v>
      </c>
      <c r="N328" t="s">
        <v>338</v>
      </c>
      <c r="O328" t="s">
        <v>74</v>
      </c>
      <c r="P328" t="s">
        <v>74</v>
      </c>
      <c r="Q328" t="s">
        <v>74</v>
      </c>
      <c r="R328" t="s">
        <v>74</v>
      </c>
      <c r="S328" t="s">
        <v>74</v>
      </c>
      <c r="T328" t="s">
        <v>6540</v>
      </c>
      <c r="U328" t="s">
        <v>6541</v>
      </c>
      <c r="V328" t="s">
        <v>6542</v>
      </c>
      <c r="W328" t="s">
        <v>6543</v>
      </c>
      <c r="X328" t="s">
        <v>6544</v>
      </c>
      <c r="Y328" t="s">
        <v>6545</v>
      </c>
      <c r="Z328" t="s">
        <v>6546</v>
      </c>
      <c r="AA328" t="s">
        <v>74</v>
      </c>
      <c r="AB328" t="s">
        <v>74</v>
      </c>
      <c r="AC328" t="s">
        <v>6547</v>
      </c>
      <c r="AD328" t="s">
        <v>6548</v>
      </c>
      <c r="AE328" t="s">
        <v>6549</v>
      </c>
      <c r="AF328" t="s">
        <v>74</v>
      </c>
      <c r="AG328">
        <v>51</v>
      </c>
      <c r="AH328">
        <v>0</v>
      </c>
      <c r="AI328">
        <v>0</v>
      </c>
      <c r="AJ328">
        <v>1</v>
      </c>
      <c r="AK328">
        <v>1</v>
      </c>
      <c r="AL328" t="s">
        <v>426</v>
      </c>
      <c r="AM328" t="s">
        <v>427</v>
      </c>
      <c r="AN328" t="s">
        <v>428</v>
      </c>
      <c r="AO328" t="s">
        <v>6550</v>
      </c>
      <c r="AP328" t="s">
        <v>6551</v>
      </c>
      <c r="AQ328" t="s">
        <v>74</v>
      </c>
      <c r="AR328" t="s">
        <v>6552</v>
      </c>
      <c r="AS328" t="s">
        <v>6553</v>
      </c>
      <c r="AT328" t="s">
        <v>6386</v>
      </c>
      <c r="AU328">
        <v>2023</v>
      </c>
      <c r="AV328" t="s">
        <v>74</v>
      </c>
      <c r="AW328" t="s">
        <v>74</v>
      </c>
      <c r="AX328" t="s">
        <v>74</v>
      </c>
      <c r="AY328" t="s">
        <v>74</v>
      </c>
      <c r="AZ328" t="s">
        <v>74</v>
      </c>
      <c r="BA328" t="s">
        <v>74</v>
      </c>
      <c r="BB328" t="s">
        <v>74</v>
      </c>
      <c r="BC328" t="s">
        <v>74</v>
      </c>
      <c r="BD328" t="s">
        <v>74</v>
      </c>
      <c r="BE328" t="s">
        <v>6554</v>
      </c>
      <c r="BF328" t="str">
        <f>HYPERLINK("http://dx.doi.org/10.1002/macp.202300239","http://dx.doi.org/10.1002/macp.202300239")</f>
        <v>http://dx.doi.org/10.1002/macp.202300239</v>
      </c>
      <c r="BG328" t="s">
        <v>74</v>
      </c>
      <c r="BH328" t="s">
        <v>407</v>
      </c>
      <c r="BI328">
        <v>10</v>
      </c>
      <c r="BJ328" t="s">
        <v>1418</v>
      </c>
      <c r="BK328" t="s">
        <v>119</v>
      </c>
      <c r="BL328" t="s">
        <v>1418</v>
      </c>
      <c r="BM328" t="s">
        <v>6555</v>
      </c>
      <c r="BN328" t="s">
        <v>74</v>
      </c>
      <c r="BO328" t="s">
        <v>122</v>
      </c>
      <c r="BP328" t="s">
        <v>74</v>
      </c>
      <c r="BQ328" t="s">
        <v>74</v>
      </c>
      <c r="BR328" t="s">
        <v>99</v>
      </c>
      <c r="BS328" t="s">
        <v>6556</v>
      </c>
      <c r="BT328" t="str">
        <f>HYPERLINK("https%3A%2F%2Fwww.webofscience.com%2Fwos%2Fwoscc%2Ffull-record%2FWOS:001057449500001","View Full Record in Web of Science")</f>
        <v>View Full Record in Web of Science</v>
      </c>
    </row>
    <row r="329" spans="1:72" x14ac:dyDescent="0.15">
      <c r="A329" t="s">
        <v>72</v>
      </c>
      <c r="B329" t="s">
        <v>6557</v>
      </c>
      <c r="C329" t="s">
        <v>74</v>
      </c>
      <c r="D329" t="s">
        <v>74</v>
      </c>
      <c r="E329" t="s">
        <v>74</v>
      </c>
      <c r="F329" t="s">
        <v>6558</v>
      </c>
      <c r="G329" t="s">
        <v>74</v>
      </c>
      <c r="H329" t="s">
        <v>74</v>
      </c>
      <c r="I329" t="s">
        <v>6559</v>
      </c>
      <c r="J329" t="s">
        <v>6560</v>
      </c>
      <c r="K329" t="s">
        <v>74</v>
      </c>
      <c r="L329" t="s">
        <v>74</v>
      </c>
      <c r="M329" t="s">
        <v>78</v>
      </c>
      <c r="N329" t="s">
        <v>1297</v>
      </c>
      <c r="O329" t="s">
        <v>74</v>
      </c>
      <c r="P329" t="s">
        <v>74</v>
      </c>
      <c r="Q329" t="s">
        <v>74</v>
      </c>
      <c r="R329" t="s">
        <v>74</v>
      </c>
      <c r="S329" t="s">
        <v>74</v>
      </c>
      <c r="T329" t="s">
        <v>74</v>
      </c>
      <c r="U329" t="s">
        <v>6561</v>
      </c>
      <c r="V329" t="s">
        <v>74</v>
      </c>
      <c r="W329" t="s">
        <v>6562</v>
      </c>
      <c r="X329" t="s">
        <v>6563</v>
      </c>
      <c r="Y329" t="s">
        <v>6564</v>
      </c>
      <c r="Z329" t="s">
        <v>6565</v>
      </c>
      <c r="AA329" t="s">
        <v>74</v>
      </c>
      <c r="AB329" t="s">
        <v>6566</v>
      </c>
      <c r="AC329" t="s">
        <v>74</v>
      </c>
      <c r="AD329" t="s">
        <v>74</v>
      </c>
      <c r="AE329" t="s">
        <v>74</v>
      </c>
      <c r="AF329" t="s">
        <v>74</v>
      </c>
      <c r="AG329">
        <v>21</v>
      </c>
      <c r="AH329">
        <v>0</v>
      </c>
      <c r="AI329">
        <v>0</v>
      </c>
      <c r="AJ329">
        <v>0</v>
      </c>
      <c r="AK329">
        <v>0</v>
      </c>
      <c r="AL329" t="s">
        <v>6567</v>
      </c>
      <c r="AM329" t="s">
        <v>6568</v>
      </c>
      <c r="AN329" t="s">
        <v>6569</v>
      </c>
      <c r="AO329" t="s">
        <v>6570</v>
      </c>
      <c r="AP329" t="s">
        <v>6571</v>
      </c>
      <c r="AQ329" t="s">
        <v>74</v>
      </c>
      <c r="AR329" t="s">
        <v>6572</v>
      </c>
      <c r="AS329" t="s">
        <v>6573</v>
      </c>
      <c r="AT329" t="s">
        <v>6386</v>
      </c>
      <c r="AU329">
        <v>2023</v>
      </c>
      <c r="AV329" t="s">
        <v>74</v>
      </c>
      <c r="AW329" t="s">
        <v>74</v>
      </c>
      <c r="AX329" t="s">
        <v>74</v>
      </c>
      <c r="AY329" t="s">
        <v>74</v>
      </c>
      <c r="AZ329" t="s">
        <v>74</v>
      </c>
      <c r="BA329" t="s">
        <v>74</v>
      </c>
      <c r="BB329" t="s">
        <v>74</v>
      </c>
      <c r="BC329" t="s">
        <v>74</v>
      </c>
      <c r="BD329" t="s">
        <v>74</v>
      </c>
      <c r="BE329" t="s">
        <v>6574</v>
      </c>
      <c r="BF329" t="str">
        <f>HYPERLINK("http://dx.doi.org/10.1002/jhm.13196","http://dx.doi.org/10.1002/jhm.13196")</f>
        <v>http://dx.doi.org/10.1002/jhm.13196</v>
      </c>
      <c r="BG329" t="s">
        <v>74</v>
      </c>
      <c r="BH329" t="s">
        <v>407</v>
      </c>
      <c r="BI329">
        <v>3</v>
      </c>
      <c r="BJ329" t="s">
        <v>4689</v>
      </c>
      <c r="BK329" t="s">
        <v>119</v>
      </c>
      <c r="BL329" t="s">
        <v>4690</v>
      </c>
      <c r="BM329" t="s">
        <v>6575</v>
      </c>
      <c r="BN329">
        <v>37661588</v>
      </c>
      <c r="BO329" t="s">
        <v>74</v>
      </c>
      <c r="BP329" t="s">
        <v>74</v>
      </c>
      <c r="BQ329" t="s">
        <v>74</v>
      </c>
      <c r="BR329" t="s">
        <v>99</v>
      </c>
      <c r="BS329" t="s">
        <v>6576</v>
      </c>
      <c r="BT329" t="str">
        <f>HYPERLINK("https%3A%2F%2Fwww.webofscience.com%2Fwos%2Fwoscc%2Ffull-record%2FWOS:001060966100001","View Full Record in Web of Science")</f>
        <v>View Full Record in Web of Science</v>
      </c>
    </row>
    <row r="330" spans="1:72" x14ac:dyDescent="0.15">
      <c r="A330" t="s">
        <v>72</v>
      </c>
      <c r="B330" t="s">
        <v>6577</v>
      </c>
      <c r="C330" t="s">
        <v>74</v>
      </c>
      <c r="D330" t="s">
        <v>74</v>
      </c>
      <c r="E330" t="s">
        <v>74</v>
      </c>
      <c r="F330" t="s">
        <v>6578</v>
      </c>
      <c r="G330" t="s">
        <v>74</v>
      </c>
      <c r="H330" t="s">
        <v>74</v>
      </c>
      <c r="I330" t="s">
        <v>6579</v>
      </c>
      <c r="J330" t="s">
        <v>6580</v>
      </c>
      <c r="K330" t="s">
        <v>74</v>
      </c>
      <c r="L330" t="s">
        <v>74</v>
      </c>
      <c r="M330" t="s">
        <v>78</v>
      </c>
      <c r="N330" t="s">
        <v>338</v>
      </c>
      <c r="O330" t="s">
        <v>74</v>
      </c>
      <c r="P330" t="s">
        <v>74</v>
      </c>
      <c r="Q330" t="s">
        <v>74</v>
      </c>
      <c r="R330" t="s">
        <v>74</v>
      </c>
      <c r="S330" t="s">
        <v>74</v>
      </c>
      <c r="T330" t="s">
        <v>6581</v>
      </c>
      <c r="U330" t="s">
        <v>6582</v>
      </c>
      <c r="V330" t="s">
        <v>6583</v>
      </c>
      <c r="W330" t="s">
        <v>6584</v>
      </c>
      <c r="X330" t="s">
        <v>6585</v>
      </c>
      <c r="Y330" t="s">
        <v>6586</v>
      </c>
      <c r="Z330" t="s">
        <v>6587</v>
      </c>
      <c r="AA330" t="s">
        <v>74</v>
      </c>
      <c r="AB330" t="s">
        <v>74</v>
      </c>
      <c r="AC330" t="s">
        <v>6588</v>
      </c>
      <c r="AD330" t="s">
        <v>6588</v>
      </c>
      <c r="AE330" t="s">
        <v>6588</v>
      </c>
      <c r="AF330" t="s">
        <v>74</v>
      </c>
      <c r="AG330">
        <v>41</v>
      </c>
      <c r="AH330">
        <v>0</v>
      </c>
      <c r="AI330">
        <v>0</v>
      </c>
      <c r="AJ330">
        <v>1</v>
      </c>
      <c r="AK330">
        <v>1</v>
      </c>
      <c r="AL330" t="s">
        <v>87</v>
      </c>
      <c r="AM330" t="s">
        <v>88</v>
      </c>
      <c r="AN330" t="s">
        <v>89</v>
      </c>
      <c r="AO330" t="s">
        <v>6589</v>
      </c>
      <c r="AP330" t="s">
        <v>6590</v>
      </c>
      <c r="AQ330" t="s">
        <v>74</v>
      </c>
      <c r="AR330" t="s">
        <v>6591</v>
      </c>
      <c r="AS330" t="s">
        <v>6592</v>
      </c>
      <c r="AT330" t="s">
        <v>6386</v>
      </c>
      <c r="AU330">
        <v>2023</v>
      </c>
      <c r="AV330" t="s">
        <v>74</v>
      </c>
      <c r="AW330" t="s">
        <v>74</v>
      </c>
      <c r="AX330" t="s">
        <v>74</v>
      </c>
      <c r="AY330" t="s">
        <v>74</v>
      </c>
      <c r="AZ330" t="s">
        <v>74</v>
      </c>
      <c r="BA330" t="s">
        <v>74</v>
      </c>
      <c r="BB330" t="s">
        <v>74</v>
      </c>
      <c r="BC330" t="s">
        <v>74</v>
      </c>
      <c r="BD330" t="s">
        <v>74</v>
      </c>
      <c r="BE330" t="s">
        <v>6593</v>
      </c>
      <c r="BF330" t="str">
        <f>HYPERLINK("http://dx.doi.org/10.1111/1468-5973.12500","http://dx.doi.org/10.1111/1468-5973.12500")</f>
        <v>http://dx.doi.org/10.1111/1468-5973.12500</v>
      </c>
      <c r="BG330" t="s">
        <v>74</v>
      </c>
      <c r="BH330" t="s">
        <v>407</v>
      </c>
      <c r="BI330">
        <v>11</v>
      </c>
      <c r="BJ330" t="s">
        <v>6232</v>
      </c>
      <c r="BK330" t="s">
        <v>546</v>
      </c>
      <c r="BL330" t="s">
        <v>547</v>
      </c>
      <c r="BM330" t="s">
        <v>6594</v>
      </c>
      <c r="BN330" t="s">
        <v>74</v>
      </c>
      <c r="BO330" t="s">
        <v>122</v>
      </c>
      <c r="BP330" t="s">
        <v>74</v>
      </c>
      <c r="BQ330" t="s">
        <v>74</v>
      </c>
      <c r="BR330" t="s">
        <v>99</v>
      </c>
      <c r="BS330" t="s">
        <v>6595</v>
      </c>
      <c r="BT330" t="str">
        <f>HYPERLINK("https%3A%2F%2Fwww.webofscience.com%2Fwos%2Fwoscc%2Ffull-record%2FWOS:001057822900001","View Full Record in Web of Science")</f>
        <v>View Full Record in Web of Science</v>
      </c>
    </row>
    <row r="331" spans="1:72" x14ac:dyDescent="0.15">
      <c r="A331" t="s">
        <v>72</v>
      </c>
      <c r="B331" t="s">
        <v>6596</v>
      </c>
      <c r="C331" t="s">
        <v>74</v>
      </c>
      <c r="D331" t="s">
        <v>74</v>
      </c>
      <c r="E331" t="s">
        <v>74</v>
      </c>
      <c r="F331" t="s">
        <v>6597</v>
      </c>
      <c r="G331" t="s">
        <v>74</v>
      </c>
      <c r="H331" t="s">
        <v>74</v>
      </c>
      <c r="I331" t="s">
        <v>6598</v>
      </c>
      <c r="J331" t="s">
        <v>6599</v>
      </c>
      <c r="K331" t="s">
        <v>74</v>
      </c>
      <c r="L331" t="s">
        <v>74</v>
      </c>
      <c r="M331" t="s">
        <v>78</v>
      </c>
      <c r="N331" t="s">
        <v>338</v>
      </c>
      <c r="O331" t="s">
        <v>74</v>
      </c>
      <c r="P331" t="s">
        <v>74</v>
      </c>
      <c r="Q331" t="s">
        <v>74</v>
      </c>
      <c r="R331" t="s">
        <v>74</v>
      </c>
      <c r="S331" t="s">
        <v>74</v>
      </c>
      <c r="T331" t="s">
        <v>6600</v>
      </c>
      <c r="U331" t="s">
        <v>6601</v>
      </c>
      <c r="V331" t="s">
        <v>6602</v>
      </c>
      <c r="W331" t="s">
        <v>6603</v>
      </c>
      <c r="X331" t="s">
        <v>6604</v>
      </c>
      <c r="Y331" t="s">
        <v>6605</v>
      </c>
      <c r="Z331" t="s">
        <v>6606</v>
      </c>
      <c r="AA331" t="s">
        <v>74</v>
      </c>
      <c r="AB331" t="s">
        <v>74</v>
      </c>
      <c r="AC331" t="s">
        <v>6607</v>
      </c>
      <c r="AD331" t="s">
        <v>6608</v>
      </c>
      <c r="AE331" t="s">
        <v>6609</v>
      </c>
      <c r="AF331" t="s">
        <v>74</v>
      </c>
      <c r="AG331">
        <v>81</v>
      </c>
      <c r="AH331">
        <v>0</v>
      </c>
      <c r="AI331">
        <v>0</v>
      </c>
      <c r="AJ331">
        <v>15</v>
      </c>
      <c r="AK331">
        <v>15</v>
      </c>
      <c r="AL331" t="s">
        <v>87</v>
      </c>
      <c r="AM331" t="s">
        <v>88</v>
      </c>
      <c r="AN331" t="s">
        <v>89</v>
      </c>
      <c r="AO331" t="s">
        <v>6610</v>
      </c>
      <c r="AP331" t="s">
        <v>6611</v>
      </c>
      <c r="AQ331" t="s">
        <v>74</v>
      </c>
      <c r="AR331" t="s">
        <v>6612</v>
      </c>
      <c r="AS331" t="s">
        <v>6613</v>
      </c>
      <c r="AT331" t="s">
        <v>6386</v>
      </c>
      <c r="AU331">
        <v>2023</v>
      </c>
      <c r="AV331" t="s">
        <v>74</v>
      </c>
      <c r="AW331" t="s">
        <v>74</v>
      </c>
      <c r="AX331" t="s">
        <v>74</v>
      </c>
      <c r="AY331" t="s">
        <v>74</v>
      </c>
      <c r="AZ331" t="s">
        <v>74</v>
      </c>
      <c r="BA331" t="s">
        <v>74</v>
      </c>
      <c r="BB331" t="s">
        <v>74</v>
      </c>
      <c r="BC331" t="s">
        <v>74</v>
      </c>
      <c r="BD331" t="s">
        <v>74</v>
      </c>
      <c r="BE331" t="s">
        <v>6614</v>
      </c>
      <c r="BF331" t="str">
        <f>HYPERLINK("http://dx.doi.org/10.1002/bse.3558","http://dx.doi.org/10.1002/bse.3558")</f>
        <v>http://dx.doi.org/10.1002/bse.3558</v>
      </c>
      <c r="BG331" t="s">
        <v>74</v>
      </c>
      <c r="BH331" t="s">
        <v>407</v>
      </c>
      <c r="BI331">
        <v>21</v>
      </c>
      <c r="BJ331" t="s">
        <v>6615</v>
      </c>
      <c r="BK331" t="s">
        <v>546</v>
      </c>
      <c r="BL331" t="s">
        <v>6616</v>
      </c>
      <c r="BM331" t="s">
        <v>6617</v>
      </c>
      <c r="BN331" t="s">
        <v>74</v>
      </c>
      <c r="BO331" t="s">
        <v>74</v>
      </c>
      <c r="BP331" t="s">
        <v>74</v>
      </c>
      <c r="BQ331" t="s">
        <v>74</v>
      </c>
      <c r="BR331" t="s">
        <v>99</v>
      </c>
      <c r="BS331" t="s">
        <v>6618</v>
      </c>
      <c r="BT331" t="str">
        <f>HYPERLINK("https%3A%2F%2Fwww.webofscience.com%2Fwos%2Fwoscc%2Ffull-record%2FWOS:001057526500001","View Full Record in Web of Science")</f>
        <v>View Full Record in Web of Science</v>
      </c>
    </row>
    <row r="332" spans="1:72" x14ac:dyDescent="0.15">
      <c r="A332" t="s">
        <v>72</v>
      </c>
      <c r="B332" t="s">
        <v>6619</v>
      </c>
      <c r="C332" t="s">
        <v>74</v>
      </c>
      <c r="D332" t="s">
        <v>74</v>
      </c>
      <c r="E332" t="s">
        <v>74</v>
      </c>
      <c r="F332" t="s">
        <v>6620</v>
      </c>
      <c r="G332" t="s">
        <v>74</v>
      </c>
      <c r="H332" t="s">
        <v>74</v>
      </c>
      <c r="I332" t="s">
        <v>6621</v>
      </c>
      <c r="J332" t="s">
        <v>5095</v>
      </c>
      <c r="K332" t="s">
        <v>74</v>
      </c>
      <c r="L332" t="s">
        <v>74</v>
      </c>
      <c r="M332" t="s">
        <v>78</v>
      </c>
      <c r="N332" t="s">
        <v>338</v>
      </c>
      <c r="O332" t="s">
        <v>74</v>
      </c>
      <c r="P332" t="s">
        <v>74</v>
      </c>
      <c r="Q332" t="s">
        <v>74</v>
      </c>
      <c r="R332" t="s">
        <v>74</v>
      </c>
      <c r="S332" t="s">
        <v>74</v>
      </c>
      <c r="T332" t="s">
        <v>6622</v>
      </c>
      <c r="U332" t="s">
        <v>6623</v>
      </c>
      <c r="V332" t="s">
        <v>6624</v>
      </c>
      <c r="W332" t="s">
        <v>6625</v>
      </c>
      <c r="X332" t="s">
        <v>6626</v>
      </c>
      <c r="Y332" t="s">
        <v>6627</v>
      </c>
      <c r="Z332" t="s">
        <v>6628</v>
      </c>
      <c r="AA332" t="s">
        <v>6629</v>
      </c>
      <c r="AB332" t="s">
        <v>6630</v>
      </c>
      <c r="AC332" t="s">
        <v>6631</v>
      </c>
      <c r="AD332" t="s">
        <v>6632</v>
      </c>
      <c r="AE332" t="s">
        <v>6633</v>
      </c>
      <c r="AF332" t="s">
        <v>74</v>
      </c>
      <c r="AG332">
        <v>52</v>
      </c>
      <c r="AH332">
        <v>0</v>
      </c>
      <c r="AI332">
        <v>0</v>
      </c>
      <c r="AJ332">
        <v>10</v>
      </c>
      <c r="AK332">
        <v>10</v>
      </c>
      <c r="AL332" t="s">
        <v>426</v>
      </c>
      <c r="AM332" t="s">
        <v>427</v>
      </c>
      <c r="AN332" t="s">
        <v>428</v>
      </c>
      <c r="AO332" t="s">
        <v>5106</v>
      </c>
      <c r="AP332" t="s">
        <v>5107</v>
      </c>
      <c r="AQ332" t="s">
        <v>74</v>
      </c>
      <c r="AR332" t="s">
        <v>5108</v>
      </c>
      <c r="AS332" t="s">
        <v>5109</v>
      </c>
      <c r="AT332" t="s">
        <v>6386</v>
      </c>
      <c r="AU332">
        <v>2023</v>
      </c>
      <c r="AV332" t="s">
        <v>74</v>
      </c>
      <c r="AW332" t="s">
        <v>74</v>
      </c>
      <c r="AX332" t="s">
        <v>74</v>
      </c>
      <c r="AY332" t="s">
        <v>74</v>
      </c>
      <c r="AZ332" t="s">
        <v>74</v>
      </c>
      <c r="BA332" t="s">
        <v>74</v>
      </c>
      <c r="BB332" t="s">
        <v>74</v>
      </c>
      <c r="BC332" t="s">
        <v>74</v>
      </c>
      <c r="BD332" t="s">
        <v>74</v>
      </c>
      <c r="BE332" t="s">
        <v>6634</v>
      </c>
      <c r="BF332" t="str">
        <f>HYPERLINK("http://dx.doi.org/10.1002/lpor.202300320","http://dx.doi.org/10.1002/lpor.202300320")</f>
        <v>http://dx.doi.org/10.1002/lpor.202300320</v>
      </c>
      <c r="BG332" t="s">
        <v>74</v>
      </c>
      <c r="BH332" t="s">
        <v>407</v>
      </c>
      <c r="BI332">
        <v>8</v>
      </c>
      <c r="BJ332" t="s">
        <v>5111</v>
      </c>
      <c r="BK332" t="s">
        <v>119</v>
      </c>
      <c r="BL332" t="s">
        <v>5112</v>
      </c>
      <c r="BM332" t="s">
        <v>6635</v>
      </c>
      <c r="BN332" t="s">
        <v>74</v>
      </c>
      <c r="BO332" t="s">
        <v>74</v>
      </c>
      <c r="BP332" t="s">
        <v>74</v>
      </c>
      <c r="BQ332" t="s">
        <v>74</v>
      </c>
      <c r="BR332" t="s">
        <v>99</v>
      </c>
      <c r="BS332" t="s">
        <v>6636</v>
      </c>
      <c r="BT332" t="str">
        <f>HYPERLINK("https%3A%2F%2Fwww.webofscience.com%2Fwos%2Fwoscc%2Ffull-record%2FWOS:001057432900001","View Full Record in Web of Science")</f>
        <v>View Full Record in Web of Science</v>
      </c>
    </row>
    <row r="333" spans="1:72" x14ac:dyDescent="0.15">
      <c r="A333" t="s">
        <v>72</v>
      </c>
      <c r="B333" t="s">
        <v>6637</v>
      </c>
      <c r="C333" t="s">
        <v>74</v>
      </c>
      <c r="D333" t="s">
        <v>74</v>
      </c>
      <c r="E333" t="s">
        <v>74</v>
      </c>
      <c r="F333" t="s">
        <v>6638</v>
      </c>
      <c r="G333" t="s">
        <v>74</v>
      </c>
      <c r="H333" t="s">
        <v>74</v>
      </c>
      <c r="I333" t="s">
        <v>6639</v>
      </c>
      <c r="J333" t="s">
        <v>6640</v>
      </c>
      <c r="K333" t="s">
        <v>74</v>
      </c>
      <c r="L333" t="s">
        <v>74</v>
      </c>
      <c r="M333" t="s">
        <v>78</v>
      </c>
      <c r="N333" t="s">
        <v>338</v>
      </c>
      <c r="O333" t="s">
        <v>74</v>
      </c>
      <c r="P333" t="s">
        <v>74</v>
      </c>
      <c r="Q333" t="s">
        <v>74</v>
      </c>
      <c r="R333" t="s">
        <v>74</v>
      </c>
      <c r="S333" t="s">
        <v>74</v>
      </c>
      <c r="T333" t="s">
        <v>6641</v>
      </c>
      <c r="U333" t="s">
        <v>6642</v>
      </c>
      <c r="V333" t="s">
        <v>6643</v>
      </c>
      <c r="W333" t="s">
        <v>6644</v>
      </c>
      <c r="X333" t="s">
        <v>74</v>
      </c>
      <c r="Y333" t="s">
        <v>6645</v>
      </c>
      <c r="Z333" t="s">
        <v>6646</v>
      </c>
      <c r="AA333" t="s">
        <v>74</v>
      </c>
      <c r="AB333" t="s">
        <v>74</v>
      </c>
      <c r="AC333" t="s">
        <v>6647</v>
      </c>
      <c r="AD333" t="s">
        <v>6647</v>
      </c>
      <c r="AE333" t="s">
        <v>6648</v>
      </c>
      <c r="AF333" t="s">
        <v>74</v>
      </c>
      <c r="AG333">
        <v>10</v>
      </c>
      <c r="AH333">
        <v>0</v>
      </c>
      <c r="AI333">
        <v>0</v>
      </c>
      <c r="AJ333">
        <v>0</v>
      </c>
      <c r="AK333">
        <v>0</v>
      </c>
      <c r="AL333" t="s">
        <v>87</v>
      </c>
      <c r="AM333" t="s">
        <v>88</v>
      </c>
      <c r="AN333" t="s">
        <v>1412</v>
      </c>
      <c r="AO333" t="s">
        <v>74</v>
      </c>
      <c r="AP333" t="s">
        <v>6649</v>
      </c>
      <c r="AQ333" t="s">
        <v>74</v>
      </c>
      <c r="AR333" t="s">
        <v>6650</v>
      </c>
      <c r="AS333" t="s">
        <v>6651</v>
      </c>
      <c r="AT333" t="s">
        <v>6652</v>
      </c>
      <c r="AU333">
        <v>2023</v>
      </c>
      <c r="AV333" t="s">
        <v>74</v>
      </c>
      <c r="AW333" t="s">
        <v>74</v>
      </c>
      <c r="AX333" t="s">
        <v>74</v>
      </c>
      <c r="AY333" t="s">
        <v>74</v>
      </c>
      <c r="AZ333" t="s">
        <v>74</v>
      </c>
      <c r="BA333" t="s">
        <v>74</v>
      </c>
      <c r="BB333" t="s">
        <v>74</v>
      </c>
      <c r="BC333" t="s">
        <v>74</v>
      </c>
      <c r="BD333" t="s">
        <v>74</v>
      </c>
      <c r="BE333" t="s">
        <v>6653</v>
      </c>
      <c r="BF333" t="str">
        <f>HYPERLINK("http://dx.doi.org/10.1002/vms3.1253","http://dx.doi.org/10.1002/vms3.1253")</f>
        <v>http://dx.doi.org/10.1002/vms3.1253</v>
      </c>
      <c r="BG333" t="s">
        <v>74</v>
      </c>
      <c r="BH333" t="s">
        <v>407</v>
      </c>
      <c r="BI333">
        <v>5</v>
      </c>
      <c r="BJ333" t="s">
        <v>354</v>
      </c>
      <c r="BK333" t="s">
        <v>119</v>
      </c>
      <c r="BL333" t="s">
        <v>354</v>
      </c>
      <c r="BM333" t="s">
        <v>6654</v>
      </c>
      <c r="BN333">
        <v>37659074</v>
      </c>
      <c r="BO333" t="s">
        <v>234</v>
      </c>
      <c r="BP333" t="s">
        <v>74</v>
      </c>
      <c r="BQ333" t="s">
        <v>74</v>
      </c>
      <c r="BR333" t="s">
        <v>99</v>
      </c>
      <c r="BS333" t="s">
        <v>6655</v>
      </c>
      <c r="BT333" t="str">
        <f>HYPERLINK("https%3A%2F%2Fwww.webofscience.com%2Fwos%2Fwoscc%2Ffull-record%2FWOS:001056872200001","View Full Record in Web of Science")</f>
        <v>View Full Record in Web of Science</v>
      </c>
    </row>
    <row r="334" spans="1:72" x14ac:dyDescent="0.15">
      <c r="A334" t="s">
        <v>72</v>
      </c>
      <c r="B334" t="s">
        <v>6656</v>
      </c>
      <c r="C334" t="s">
        <v>74</v>
      </c>
      <c r="D334" t="s">
        <v>74</v>
      </c>
      <c r="E334" t="s">
        <v>74</v>
      </c>
      <c r="F334" t="s">
        <v>6657</v>
      </c>
      <c r="G334" t="s">
        <v>74</v>
      </c>
      <c r="H334" t="s">
        <v>74</v>
      </c>
      <c r="I334" t="s">
        <v>6658</v>
      </c>
      <c r="J334" t="s">
        <v>2524</v>
      </c>
      <c r="K334" t="s">
        <v>74</v>
      </c>
      <c r="L334" t="s">
        <v>74</v>
      </c>
      <c r="M334" t="s">
        <v>78</v>
      </c>
      <c r="N334" t="s">
        <v>2743</v>
      </c>
      <c r="O334" t="s">
        <v>74</v>
      </c>
      <c r="P334" t="s">
        <v>74</v>
      </c>
      <c r="Q334" t="s">
        <v>74</v>
      </c>
      <c r="R334" t="s">
        <v>74</v>
      </c>
      <c r="S334" t="s">
        <v>74</v>
      </c>
      <c r="T334" t="s">
        <v>74</v>
      </c>
      <c r="U334" t="s">
        <v>74</v>
      </c>
      <c r="V334" t="s">
        <v>74</v>
      </c>
      <c r="W334" t="s">
        <v>6659</v>
      </c>
      <c r="X334" t="s">
        <v>6660</v>
      </c>
      <c r="Y334" t="s">
        <v>6661</v>
      </c>
      <c r="Z334" t="s">
        <v>6662</v>
      </c>
      <c r="AA334" t="s">
        <v>74</v>
      </c>
      <c r="AB334" t="s">
        <v>74</v>
      </c>
      <c r="AC334" t="s">
        <v>6663</v>
      </c>
      <c r="AD334" t="s">
        <v>6664</v>
      </c>
      <c r="AE334" t="s">
        <v>6665</v>
      </c>
      <c r="AF334" t="s">
        <v>74</v>
      </c>
      <c r="AG334">
        <v>5</v>
      </c>
      <c r="AH334">
        <v>0</v>
      </c>
      <c r="AI334">
        <v>0</v>
      </c>
      <c r="AJ334">
        <v>0</v>
      </c>
      <c r="AK334">
        <v>0</v>
      </c>
      <c r="AL334" t="s">
        <v>87</v>
      </c>
      <c r="AM334" t="s">
        <v>88</v>
      </c>
      <c r="AN334" t="s">
        <v>89</v>
      </c>
      <c r="AO334" t="s">
        <v>2536</v>
      </c>
      <c r="AP334" t="s">
        <v>2537</v>
      </c>
      <c r="AQ334" t="s">
        <v>74</v>
      </c>
      <c r="AR334" t="s">
        <v>2538</v>
      </c>
      <c r="AS334" t="s">
        <v>2539</v>
      </c>
      <c r="AT334" t="s">
        <v>6652</v>
      </c>
      <c r="AU334">
        <v>2023</v>
      </c>
      <c r="AV334" t="s">
        <v>74</v>
      </c>
      <c r="AW334" t="s">
        <v>74</v>
      </c>
      <c r="AX334" t="s">
        <v>74</v>
      </c>
      <c r="AY334" t="s">
        <v>74</v>
      </c>
      <c r="AZ334" t="s">
        <v>74</v>
      </c>
      <c r="BA334" t="s">
        <v>74</v>
      </c>
      <c r="BB334" t="s">
        <v>74</v>
      </c>
      <c r="BC334" t="s">
        <v>74</v>
      </c>
      <c r="BD334" t="s">
        <v>74</v>
      </c>
      <c r="BE334" t="s">
        <v>6666</v>
      </c>
      <c r="BF334" t="str">
        <f>HYPERLINK("http://dx.doi.org/10.1111/1346-8138.16921","http://dx.doi.org/10.1111/1346-8138.16921")</f>
        <v>http://dx.doi.org/10.1111/1346-8138.16921</v>
      </c>
      <c r="BG334" t="s">
        <v>74</v>
      </c>
      <c r="BH334" t="s">
        <v>407</v>
      </c>
      <c r="BI334">
        <v>3</v>
      </c>
      <c r="BJ334" t="s">
        <v>2541</v>
      </c>
      <c r="BK334" t="s">
        <v>119</v>
      </c>
      <c r="BL334" t="s">
        <v>2541</v>
      </c>
      <c r="BM334" t="s">
        <v>6667</v>
      </c>
      <c r="BN334">
        <v>37658703</v>
      </c>
      <c r="BO334" t="s">
        <v>74</v>
      </c>
      <c r="BP334" t="s">
        <v>74</v>
      </c>
      <c r="BQ334" t="s">
        <v>74</v>
      </c>
      <c r="BR334" t="s">
        <v>99</v>
      </c>
      <c r="BS334" t="s">
        <v>6668</v>
      </c>
      <c r="BT334" t="str">
        <f>HYPERLINK("https%3A%2F%2Fwww.webofscience.com%2Fwos%2Fwoscc%2Ffull-record%2FWOS:001059946600001","View Full Record in Web of Science")</f>
        <v>View Full Record in Web of Science</v>
      </c>
    </row>
    <row r="335" spans="1:72" x14ac:dyDescent="0.15">
      <c r="A335" t="s">
        <v>72</v>
      </c>
      <c r="B335" t="s">
        <v>6669</v>
      </c>
      <c r="C335" t="s">
        <v>74</v>
      </c>
      <c r="D335" t="s">
        <v>74</v>
      </c>
      <c r="E335" t="s">
        <v>74</v>
      </c>
      <c r="F335" t="s">
        <v>6670</v>
      </c>
      <c r="G335" t="s">
        <v>74</v>
      </c>
      <c r="H335" t="s">
        <v>74</v>
      </c>
      <c r="I335" t="s">
        <v>6671</v>
      </c>
      <c r="J335" t="s">
        <v>6672</v>
      </c>
      <c r="K335" t="s">
        <v>74</v>
      </c>
      <c r="L335" t="s">
        <v>74</v>
      </c>
      <c r="M335" t="s">
        <v>78</v>
      </c>
      <c r="N335" t="s">
        <v>338</v>
      </c>
      <c r="O335" t="s">
        <v>74</v>
      </c>
      <c r="P335" t="s">
        <v>74</v>
      </c>
      <c r="Q335" t="s">
        <v>74</v>
      </c>
      <c r="R335" t="s">
        <v>74</v>
      </c>
      <c r="S335" t="s">
        <v>74</v>
      </c>
      <c r="T335" t="s">
        <v>74</v>
      </c>
      <c r="U335" t="s">
        <v>6673</v>
      </c>
      <c r="V335" t="s">
        <v>6674</v>
      </c>
      <c r="W335" t="s">
        <v>6675</v>
      </c>
      <c r="X335" t="s">
        <v>6676</v>
      </c>
      <c r="Y335" t="s">
        <v>6677</v>
      </c>
      <c r="Z335" t="s">
        <v>6678</v>
      </c>
      <c r="AA335" t="s">
        <v>74</v>
      </c>
      <c r="AB335" t="s">
        <v>74</v>
      </c>
      <c r="AC335" t="s">
        <v>6679</v>
      </c>
      <c r="AD335" t="s">
        <v>6679</v>
      </c>
      <c r="AE335" t="s">
        <v>6680</v>
      </c>
      <c r="AF335" t="s">
        <v>74</v>
      </c>
      <c r="AG335">
        <v>42</v>
      </c>
      <c r="AH335">
        <v>0</v>
      </c>
      <c r="AI335">
        <v>0</v>
      </c>
      <c r="AJ335">
        <v>0</v>
      </c>
      <c r="AK335">
        <v>0</v>
      </c>
      <c r="AL335" t="s">
        <v>87</v>
      </c>
      <c r="AM335" t="s">
        <v>88</v>
      </c>
      <c r="AN335" t="s">
        <v>89</v>
      </c>
      <c r="AO335" t="s">
        <v>6681</v>
      </c>
      <c r="AP335" t="s">
        <v>6682</v>
      </c>
      <c r="AQ335" t="s">
        <v>74</v>
      </c>
      <c r="AR335" t="s">
        <v>6683</v>
      </c>
      <c r="AS335" t="s">
        <v>6684</v>
      </c>
      <c r="AT335" t="s">
        <v>6652</v>
      </c>
      <c r="AU335">
        <v>2023</v>
      </c>
      <c r="AV335" t="s">
        <v>74</v>
      </c>
      <c r="AW335" t="s">
        <v>74</v>
      </c>
      <c r="AX335" t="s">
        <v>74</v>
      </c>
      <c r="AY335" t="s">
        <v>74</v>
      </c>
      <c r="AZ335" t="s">
        <v>74</v>
      </c>
      <c r="BA335" t="s">
        <v>74</v>
      </c>
      <c r="BB335" t="s">
        <v>74</v>
      </c>
      <c r="BC335" t="s">
        <v>74</v>
      </c>
      <c r="BD335" t="s">
        <v>74</v>
      </c>
      <c r="BE335" t="s">
        <v>6685</v>
      </c>
      <c r="BF335" t="str">
        <f>HYPERLINK("http://dx.doi.org/10.1111/labr.12255","http://dx.doi.org/10.1111/labr.12255")</f>
        <v>http://dx.doi.org/10.1111/labr.12255</v>
      </c>
      <c r="BG335" t="s">
        <v>74</v>
      </c>
      <c r="BH335" t="s">
        <v>407</v>
      </c>
      <c r="BI335">
        <v>34</v>
      </c>
      <c r="BJ335" t="s">
        <v>6686</v>
      </c>
      <c r="BK335" t="s">
        <v>96</v>
      </c>
      <c r="BL335" t="s">
        <v>547</v>
      </c>
      <c r="BM335" t="s">
        <v>6687</v>
      </c>
      <c r="BN335" t="s">
        <v>74</v>
      </c>
      <c r="BO335" t="s">
        <v>122</v>
      </c>
      <c r="BP335" t="s">
        <v>74</v>
      </c>
      <c r="BQ335" t="s">
        <v>74</v>
      </c>
      <c r="BR335" t="s">
        <v>99</v>
      </c>
      <c r="BS335" t="s">
        <v>6688</v>
      </c>
      <c r="BT335" t="str">
        <f>HYPERLINK("https%3A%2F%2Fwww.webofscience.com%2Fwos%2Fwoscc%2Ffull-record%2FWOS:001056389400001","View Full Record in Web of Science")</f>
        <v>View Full Record in Web of Science</v>
      </c>
    </row>
    <row r="336" spans="1:72" x14ac:dyDescent="0.15">
      <c r="A336" t="s">
        <v>72</v>
      </c>
      <c r="B336" t="s">
        <v>6689</v>
      </c>
      <c r="C336" t="s">
        <v>74</v>
      </c>
      <c r="D336" t="s">
        <v>74</v>
      </c>
      <c r="E336" t="s">
        <v>74</v>
      </c>
      <c r="F336" t="s">
        <v>6690</v>
      </c>
      <c r="G336" t="s">
        <v>74</v>
      </c>
      <c r="H336" t="s">
        <v>74</v>
      </c>
      <c r="I336" t="s">
        <v>6691</v>
      </c>
      <c r="J336" t="s">
        <v>6692</v>
      </c>
      <c r="K336" t="s">
        <v>74</v>
      </c>
      <c r="L336" t="s">
        <v>74</v>
      </c>
      <c r="M336" t="s">
        <v>78</v>
      </c>
      <c r="N336" t="s">
        <v>338</v>
      </c>
      <c r="O336" t="s">
        <v>74</v>
      </c>
      <c r="P336" t="s">
        <v>74</v>
      </c>
      <c r="Q336" t="s">
        <v>74</v>
      </c>
      <c r="R336" t="s">
        <v>74</v>
      </c>
      <c r="S336" t="s">
        <v>74</v>
      </c>
      <c r="T336" t="s">
        <v>6693</v>
      </c>
      <c r="U336" t="s">
        <v>6694</v>
      </c>
      <c r="V336" t="s">
        <v>6695</v>
      </c>
      <c r="W336" t="s">
        <v>6696</v>
      </c>
      <c r="X336" t="s">
        <v>6697</v>
      </c>
      <c r="Y336" t="s">
        <v>6698</v>
      </c>
      <c r="Z336" t="s">
        <v>6699</v>
      </c>
      <c r="AA336" t="s">
        <v>74</v>
      </c>
      <c r="AB336" t="s">
        <v>6700</v>
      </c>
      <c r="AC336" t="s">
        <v>6701</v>
      </c>
      <c r="AD336" t="s">
        <v>6702</v>
      </c>
      <c r="AE336" t="s">
        <v>6703</v>
      </c>
      <c r="AF336" t="s">
        <v>74</v>
      </c>
      <c r="AG336">
        <v>80</v>
      </c>
      <c r="AH336">
        <v>0</v>
      </c>
      <c r="AI336">
        <v>0</v>
      </c>
      <c r="AJ336">
        <v>0</v>
      </c>
      <c r="AK336">
        <v>0</v>
      </c>
      <c r="AL336" t="s">
        <v>87</v>
      </c>
      <c r="AM336" t="s">
        <v>88</v>
      </c>
      <c r="AN336" t="s">
        <v>89</v>
      </c>
      <c r="AO336" t="s">
        <v>6704</v>
      </c>
      <c r="AP336" t="s">
        <v>6705</v>
      </c>
      <c r="AQ336" t="s">
        <v>74</v>
      </c>
      <c r="AR336" t="s">
        <v>6706</v>
      </c>
      <c r="AS336" t="s">
        <v>6707</v>
      </c>
      <c r="AT336" t="s">
        <v>6652</v>
      </c>
      <c r="AU336">
        <v>2023</v>
      </c>
      <c r="AV336" t="s">
        <v>74</v>
      </c>
      <c r="AW336" t="s">
        <v>74</v>
      </c>
      <c r="AX336" t="s">
        <v>74</v>
      </c>
      <c r="AY336" t="s">
        <v>74</v>
      </c>
      <c r="AZ336" t="s">
        <v>74</v>
      </c>
      <c r="BA336" t="s">
        <v>74</v>
      </c>
      <c r="BB336" t="s">
        <v>74</v>
      </c>
      <c r="BC336" t="s">
        <v>74</v>
      </c>
      <c r="BD336" t="s">
        <v>74</v>
      </c>
      <c r="BE336" t="s">
        <v>6708</v>
      </c>
      <c r="BF336" t="str">
        <f>HYPERLINK("http://dx.doi.org/10.1002/nbm.5029","http://dx.doi.org/10.1002/nbm.5029")</f>
        <v>http://dx.doi.org/10.1002/nbm.5029</v>
      </c>
      <c r="BG336" t="s">
        <v>74</v>
      </c>
      <c r="BH336" t="s">
        <v>407</v>
      </c>
      <c r="BI336">
        <v>10</v>
      </c>
      <c r="BJ336" t="s">
        <v>6709</v>
      </c>
      <c r="BK336" t="s">
        <v>119</v>
      </c>
      <c r="BL336" t="s">
        <v>6709</v>
      </c>
      <c r="BM336" t="s">
        <v>6710</v>
      </c>
      <c r="BN336">
        <v>37658736</v>
      </c>
      <c r="BO336" t="s">
        <v>122</v>
      </c>
      <c r="BP336" t="s">
        <v>74</v>
      </c>
      <c r="BQ336" t="s">
        <v>74</v>
      </c>
      <c r="BR336" t="s">
        <v>99</v>
      </c>
      <c r="BS336" t="s">
        <v>6711</v>
      </c>
      <c r="BT336" t="str">
        <f>HYPERLINK("https%3A%2F%2Fwww.webofscience.com%2Fwos%2Fwoscc%2Ffull-record%2FWOS:001056516200001","View Full Record in Web of Science")</f>
        <v>View Full Record in Web of Science</v>
      </c>
    </row>
    <row r="337" spans="1:72" x14ac:dyDescent="0.15">
      <c r="A337" t="s">
        <v>72</v>
      </c>
      <c r="B337" t="s">
        <v>6712</v>
      </c>
      <c r="C337" t="s">
        <v>74</v>
      </c>
      <c r="D337" t="s">
        <v>74</v>
      </c>
      <c r="E337" t="s">
        <v>74</v>
      </c>
      <c r="F337" t="s">
        <v>6713</v>
      </c>
      <c r="G337" t="s">
        <v>74</v>
      </c>
      <c r="H337" t="s">
        <v>74</v>
      </c>
      <c r="I337" t="s">
        <v>6714</v>
      </c>
      <c r="J337" t="s">
        <v>6255</v>
      </c>
      <c r="K337" t="s">
        <v>74</v>
      </c>
      <c r="L337" t="s">
        <v>74</v>
      </c>
      <c r="M337" t="s">
        <v>78</v>
      </c>
      <c r="N337" t="s">
        <v>79</v>
      </c>
      <c r="O337" t="s">
        <v>74</v>
      </c>
      <c r="P337" t="s">
        <v>74</v>
      </c>
      <c r="Q337" t="s">
        <v>74</v>
      </c>
      <c r="R337" t="s">
        <v>74</v>
      </c>
      <c r="S337" t="s">
        <v>74</v>
      </c>
      <c r="T337" t="s">
        <v>74</v>
      </c>
      <c r="U337" t="s">
        <v>6715</v>
      </c>
      <c r="V337" t="s">
        <v>6716</v>
      </c>
      <c r="W337" t="s">
        <v>6717</v>
      </c>
      <c r="X337" t="s">
        <v>6718</v>
      </c>
      <c r="Y337" t="s">
        <v>6719</v>
      </c>
      <c r="Z337" t="s">
        <v>6720</v>
      </c>
      <c r="AA337" t="s">
        <v>74</v>
      </c>
      <c r="AB337" t="s">
        <v>6721</v>
      </c>
      <c r="AC337" t="s">
        <v>6722</v>
      </c>
      <c r="AD337" t="s">
        <v>6723</v>
      </c>
      <c r="AE337" t="s">
        <v>6724</v>
      </c>
      <c r="AF337" t="s">
        <v>74</v>
      </c>
      <c r="AG337">
        <v>42</v>
      </c>
      <c r="AH337">
        <v>0</v>
      </c>
      <c r="AI337">
        <v>0</v>
      </c>
      <c r="AJ337">
        <v>0</v>
      </c>
      <c r="AK337">
        <v>0</v>
      </c>
      <c r="AL337" t="s">
        <v>87</v>
      </c>
      <c r="AM337" t="s">
        <v>88</v>
      </c>
      <c r="AN337" t="s">
        <v>89</v>
      </c>
      <c r="AO337" t="s">
        <v>6263</v>
      </c>
      <c r="AP337" t="s">
        <v>6264</v>
      </c>
      <c r="AQ337" t="s">
        <v>74</v>
      </c>
      <c r="AR337" t="s">
        <v>6255</v>
      </c>
      <c r="AS337" t="s">
        <v>6265</v>
      </c>
      <c r="AT337" t="s">
        <v>6725</v>
      </c>
      <c r="AU337">
        <v>2023</v>
      </c>
      <c r="AV337">
        <v>31</v>
      </c>
      <c r="AW337">
        <v>9</v>
      </c>
      <c r="AX337" t="s">
        <v>74</v>
      </c>
      <c r="AY337" t="s">
        <v>74</v>
      </c>
      <c r="AZ337" t="s">
        <v>74</v>
      </c>
      <c r="BA337" t="s">
        <v>74</v>
      </c>
      <c r="BB337">
        <v>2386</v>
      </c>
      <c r="BC337">
        <v>2397</v>
      </c>
      <c r="BD337" t="s">
        <v>74</v>
      </c>
      <c r="BE337" t="s">
        <v>6726</v>
      </c>
      <c r="BF337" t="str">
        <f>HYPERLINK("http://dx.doi.org/10.1002/oby.23812","http://dx.doi.org/10.1002/oby.23812")</f>
        <v>http://dx.doi.org/10.1002/oby.23812</v>
      </c>
      <c r="BG337" t="s">
        <v>74</v>
      </c>
      <c r="BH337" t="s">
        <v>74</v>
      </c>
      <c r="BI337">
        <v>12</v>
      </c>
      <c r="BJ337" t="s">
        <v>6267</v>
      </c>
      <c r="BK337" t="s">
        <v>119</v>
      </c>
      <c r="BL337" t="s">
        <v>6267</v>
      </c>
      <c r="BM337" t="s">
        <v>6727</v>
      </c>
      <c r="BN337">
        <v>37605634</v>
      </c>
      <c r="BO337" t="s">
        <v>301</v>
      </c>
      <c r="BP337" t="s">
        <v>74</v>
      </c>
      <c r="BQ337" t="s">
        <v>74</v>
      </c>
      <c r="BR337" t="s">
        <v>99</v>
      </c>
      <c r="BS337" t="s">
        <v>6728</v>
      </c>
      <c r="BT337" t="str">
        <f>HYPERLINK("https%3A%2F%2Fwww.webofscience.com%2Fwos%2Fwoscc%2Ffull-record%2FWOS:001051980400019","View Full Record in Web of Science")</f>
        <v>View Full Record in Web of Science</v>
      </c>
    </row>
    <row r="338" spans="1:72" x14ac:dyDescent="0.15">
      <c r="A338" t="s">
        <v>72</v>
      </c>
      <c r="B338" t="s">
        <v>6729</v>
      </c>
      <c r="C338" t="s">
        <v>74</v>
      </c>
      <c r="D338" t="s">
        <v>74</v>
      </c>
      <c r="E338" t="s">
        <v>74</v>
      </c>
      <c r="F338" t="s">
        <v>6730</v>
      </c>
      <c r="G338" t="s">
        <v>74</v>
      </c>
      <c r="H338" t="s">
        <v>74</v>
      </c>
      <c r="I338" t="s">
        <v>6731</v>
      </c>
      <c r="J338" t="s">
        <v>6732</v>
      </c>
      <c r="K338" t="s">
        <v>74</v>
      </c>
      <c r="L338" t="s">
        <v>74</v>
      </c>
      <c r="M338" t="s">
        <v>78</v>
      </c>
      <c r="N338" t="s">
        <v>79</v>
      </c>
      <c r="O338" t="s">
        <v>74</v>
      </c>
      <c r="P338" t="s">
        <v>74</v>
      </c>
      <c r="Q338" t="s">
        <v>74</v>
      </c>
      <c r="R338" t="s">
        <v>74</v>
      </c>
      <c r="S338" t="s">
        <v>74</v>
      </c>
      <c r="T338" t="s">
        <v>6733</v>
      </c>
      <c r="U338" t="s">
        <v>6734</v>
      </c>
      <c r="V338" t="s">
        <v>6735</v>
      </c>
      <c r="W338" t="s">
        <v>6736</v>
      </c>
      <c r="X338" t="s">
        <v>6737</v>
      </c>
      <c r="Y338" t="s">
        <v>6738</v>
      </c>
      <c r="Z338" t="s">
        <v>6739</v>
      </c>
      <c r="AA338" t="s">
        <v>74</v>
      </c>
      <c r="AB338" t="s">
        <v>74</v>
      </c>
      <c r="AC338" t="s">
        <v>6740</v>
      </c>
      <c r="AD338" t="s">
        <v>6740</v>
      </c>
      <c r="AE338" t="s">
        <v>6741</v>
      </c>
      <c r="AF338" t="s">
        <v>74</v>
      </c>
      <c r="AG338">
        <v>148</v>
      </c>
      <c r="AH338">
        <v>0</v>
      </c>
      <c r="AI338">
        <v>0</v>
      </c>
      <c r="AJ338">
        <v>2</v>
      </c>
      <c r="AK338">
        <v>2</v>
      </c>
      <c r="AL338" t="s">
        <v>87</v>
      </c>
      <c r="AM338" t="s">
        <v>88</v>
      </c>
      <c r="AN338" t="s">
        <v>89</v>
      </c>
      <c r="AO338" t="s">
        <v>6742</v>
      </c>
      <c r="AP338" t="s">
        <v>74</v>
      </c>
      <c r="AQ338" t="s">
        <v>74</v>
      </c>
      <c r="AR338" t="s">
        <v>6743</v>
      </c>
      <c r="AS338" t="s">
        <v>6744</v>
      </c>
      <c r="AT338" t="s">
        <v>6725</v>
      </c>
      <c r="AU338">
        <v>2023</v>
      </c>
      <c r="AV338">
        <v>13</v>
      </c>
      <c r="AW338">
        <v>9</v>
      </c>
      <c r="AX338" t="s">
        <v>74</v>
      </c>
      <c r="AY338" t="s">
        <v>74</v>
      </c>
      <c r="AZ338" t="s">
        <v>74</v>
      </c>
      <c r="BA338" t="s">
        <v>74</v>
      </c>
      <c r="BB338" t="s">
        <v>74</v>
      </c>
      <c r="BC338" t="s">
        <v>74</v>
      </c>
      <c r="BD338" t="s">
        <v>6745</v>
      </c>
      <c r="BE338" t="s">
        <v>6746</v>
      </c>
      <c r="BF338" t="str">
        <f>HYPERLINK("http://dx.doi.org/10.1002/ece3.10481","http://dx.doi.org/10.1002/ece3.10481")</f>
        <v>http://dx.doi.org/10.1002/ece3.10481</v>
      </c>
      <c r="BG338" t="s">
        <v>74</v>
      </c>
      <c r="BH338" t="s">
        <v>74</v>
      </c>
      <c r="BI338">
        <v>16</v>
      </c>
      <c r="BJ338" t="s">
        <v>6747</v>
      </c>
      <c r="BK338" t="s">
        <v>119</v>
      </c>
      <c r="BL338" t="s">
        <v>6748</v>
      </c>
      <c r="BM338" t="s">
        <v>6749</v>
      </c>
      <c r="BN338">
        <v>37711498</v>
      </c>
      <c r="BO338" t="s">
        <v>234</v>
      </c>
      <c r="BP338" t="s">
        <v>74</v>
      </c>
      <c r="BQ338" t="s">
        <v>74</v>
      </c>
      <c r="BR338" t="s">
        <v>99</v>
      </c>
      <c r="BS338" t="s">
        <v>6750</v>
      </c>
      <c r="BT338" t="str">
        <f>HYPERLINK("https%3A%2F%2Fwww.webofscience.com%2Fwos%2Fwoscc%2Ffull-record%2FWOS:001066105900001","View Full Record in Web of Science")</f>
        <v>View Full Record in Web of Science</v>
      </c>
    </row>
    <row r="339" spans="1:72" x14ac:dyDescent="0.15">
      <c r="A339" t="s">
        <v>72</v>
      </c>
      <c r="B339" t="s">
        <v>6751</v>
      </c>
      <c r="C339" t="s">
        <v>74</v>
      </c>
      <c r="D339" t="s">
        <v>74</v>
      </c>
      <c r="E339" t="s">
        <v>74</v>
      </c>
      <c r="F339" t="s">
        <v>6752</v>
      </c>
      <c r="G339" t="s">
        <v>74</v>
      </c>
      <c r="H339" t="s">
        <v>74</v>
      </c>
      <c r="I339" t="s">
        <v>6753</v>
      </c>
      <c r="J339" t="s">
        <v>6754</v>
      </c>
      <c r="K339" t="s">
        <v>74</v>
      </c>
      <c r="L339" t="s">
        <v>74</v>
      </c>
      <c r="M339" t="s">
        <v>78</v>
      </c>
      <c r="N339" t="s">
        <v>307</v>
      </c>
      <c r="O339" t="s">
        <v>74</v>
      </c>
      <c r="P339" t="s">
        <v>74</v>
      </c>
      <c r="Q339" t="s">
        <v>74</v>
      </c>
      <c r="R339" t="s">
        <v>74</v>
      </c>
      <c r="S339" t="s">
        <v>74</v>
      </c>
      <c r="T339" t="s">
        <v>6755</v>
      </c>
      <c r="U339" t="s">
        <v>74</v>
      </c>
      <c r="V339" t="s">
        <v>6756</v>
      </c>
      <c r="W339" t="s">
        <v>6757</v>
      </c>
      <c r="X339" t="s">
        <v>6758</v>
      </c>
      <c r="Y339" t="s">
        <v>6759</v>
      </c>
      <c r="Z339" t="s">
        <v>6760</v>
      </c>
      <c r="AA339" t="s">
        <v>6761</v>
      </c>
      <c r="AB339" t="s">
        <v>6762</v>
      </c>
      <c r="AC339" t="s">
        <v>1708</v>
      </c>
      <c r="AD339" t="s">
        <v>1708</v>
      </c>
      <c r="AE339" t="s">
        <v>1708</v>
      </c>
      <c r="AF339" t="s">
        <v>74</v>
      </c>
      <c r="AG339">
        <v>3</v>
      </c>
      <c r="AH339">
        <v>0</v>
      </c>
      <c r="AI339">
        <v>0</v>
      </c>
      <c r="AJ339">
        <v>0</v>
      </c>
      <c r="AK339">
        <v>0</v>
      </c>
      <c r="AL339" t="s">
        <v>87</v>
      </c>
      <c r="AM339" t="s">
        <v>88</v>
      </c>
      <c r="AN339" t="s">
        <v>89</v>
      </c>
      <c r="AO339" t="s">
        <v>6763</v>
      </c>
      <c r="AP339" t="s">
        <v>74</v>
      </c>
      <c r="AQ339" t="s">
        <v>74</v>
      </c>
      <c r="AR339" t="s">
        <v>6764</v>
      </c>
      <c r="AS339" t="s">
        <v>6765</v>
      </c>
      <c r="AT339" t="s">
        <v>6725</v>
      </c>
      <c r="AU339">
        <v>2023</v>
      </c>
      <c r="AV339">
        <v>11</v>
      </c>
      <c r="AW339">
        <v>9</v>
      </c>
      <c r="AX339" t="s">
        <v>74</v>
      </c>
      <c r="AY339" t="s">
        <v>74</v>
      </c>
      <c r="AZ339" t="s">
        <v>74</v>
      </c>
      <c r="BA339" t="s">
        <v>74</v>
      </c>
      <c r="BB339" t="s">
        <v>74</v>
      </c>
      <c r="BC339" t="s">
        <v>74</v>
      </c>
      <c r="BD339" t="s">
        <v>6766</v>
      </c>
      <c r="BE339" t="s">
        <v>6767</v>
      </c>
      <c r="BF339" t="str">
        <f>HYPERLINK("http://dx.doi.org/10.1002/ccr3.7772","http://dx.doi.org/10.1002/ccr3.7772")</f>
        <v>http://dx.doi.org/10.1002/ccr3.7772</v>
      </c>
      <c r="BG339" t="s">
        <v>74</v>
      </c>
      <c r="BH339" t="s">
        <v>74</v>
      </c>
      <c r="BI339">
        <v>3</v>
      </c>
      <c r="BJ339" t="s">
        <v>4689</v>
      </c>
      <c r="BK339" t="s">
        <v>96</v>
      </c>
      <c r="BL339" t="s">
        <v>4690</v>
      </c>
      <c r="BM339" t="s">
        <v>6768</v>
      </c>
      <c r="BN339">
        <v>37744632</v>
      </c>
      <c r="BO339" t="s">
        <v>234</v>
      </c>
      <c r="BP339" t="s">
        <v>74</v>
      </c>
      <c r="BQ339" t="s">
        <v>74</v>
      </c>
      <c r="BR339" t="s">
        <v>99</v>
      </c>
      <c r="BS339" t="s">
        <v>6769</v>
      </c>
      <c r="BT339" t="str">
        <f>HYPERLINK("https%3A%2F%2Fwww.webofscience.com%2Fwos%2Fwoscc%2Ffull-record%2FWOS:001067257100001","View Full Record in Web of Science")</f>
        <v>View Full Record in Web of Science</v>
      </c>
    </row>
    <row r="340" spans="1:72" x14ac:dyDescent="0.15">
      <c r="A340" t="s">
        <v>72</v>
      </c>
      <c r="B340" t="s">
        <v>6770</v>
      </c>
      <c r="C340" t="s">
        <v>74</v>
      </c>
      <c r="D340" t="s">
        <v>74</v>
      </c>
      <c r="E340" t="s">
        <v>74</v>
      </c>
      <c r="F340" t="s">
        <v>6771</v>
      </c>
      <c r="G340" t="s">
        <v>74</v>
      </c>
      <c r="H340" t="s">
        <v>74</v>
      </c>
      <c r="I340" t="s">
        <v>6772</v>
      </c>
      <c r="J340" t="s">
        <v>6732</v>
      </c>
      <c r="K340" t="s">
        <v>74</v>
      </c>
      <c r="L340" t="s">
        <v>74</v>
      </c>
      <c r="M340" t="s">
        <v>78</v>
      </c>
      <c r="N340" t="s">
        <v>79</v>
      </c>
      <c r="O340" t="s">
        <v>74</v>
      </c>
      <c r="P340" t="s">
        <v>74</v>
      </c>
      <c r="Q340" t="s">
        <v>74</v>
      </c>
      <c r="R340" t="s">
        <v>74</v>
      </c>
      <c r="S340" t="s">
        <v>74</v>
      </c>
      <c r="T340" t="s">
        <v>6773</v>
      </c>
      <c r="U340" t="s">
        <v>6774</v>
      </c>
      <c r="V340" t="s">
        <v>6775</v>
      </c>
      <c r="W340" t="s">
        <v>6776</v>
      </c>
      <c r="X340" t="s">
        <v>6777</v>
      </c>
      <c r="Y340" t="s">
        <v>6778</v>
      </c>
      <c r="Z340" t="s">
        <v>6779</v>
      </c>
      <c r="AA340" t="s">
        <v>6780</v>
      </c>
      <c r="AB340" t="s">
        <v>6781</v>
      </c>
      <c r="AC340" t="s">
        <v>6782</v>
      </c>
      <c r="AD340" t="s">
        <v>6782</v>
      </c>
      <c r="AE340" t="s">
        <v>6782</v>
      </c>
      <c r="AF340" t="s">
        <v>74</v>
      </c>
      <c r="AG340">
        <v>95</v>
      </c>
      <c r="AH340">
        <v>0</v>
      </c>
      <c r="AI340">
        <v>0</v>
      </c>
      <c r="AJ340">
        <v>4</v>
      </c>
      <c r="AK340">
        <v>4</v>
      </c>
      <c r="AL340" t="s">
        <v>87</v>
      </c>
      <c r="AM340" t="s">
        <v>88</v>
      </c>
      <c r="AN340" t="s">
        <v>89</v>
      </c>
      <c r="AO340" t="s">
        <v>6742</v>
      </c>
      <c r="AP340" t="s">
        <v>74</v>
      </c>
      <c r="AQ340" t="s">
        <v>74</v>
      </c>
      <c r="AR340" t="s">
        <v>6743</v>
      </c>
      <c r="AS340" t="s">
        <v>6744</v>
      </c>
      <c r="AT340" t="s">
        <v>6725</v>
      </c>
      <c r="AU340">
        <v>2023</v>
      </c>
      <c r="AV340">
        <v>13</v>
      </c>
      <c r="AW340">
        <v>9</v>
      </c>
      <c r="AX340" t="s">
        <v>74</v>
      </c>
      <c r="AY340" t="s">
        <v>74</v>
      </c>
      <c r="AZ340" t="s">
        <v>74</v>
      </c>
      <c r="BA340" t="s">
        <v>74</v>
      </c>
      <c r="BB340" t="s">
        <v>74</v>
      </c>
      <c r="BC340" t="s">
        <v>74</v>
      </c>
      <c r="BD340" t="s">
        <v>6783</v>
      </c>
      <c r="BE340" t="s">
        <v>6784</v>
      </c>
      <c r="BF340" t="str">
        <f>HYPERLINK("http://dx.doi.org/10.1002/ece3.10449","http://dx.doi.org/10.1002/ece3.10449")</f>
        <v>http://dx.doi.org/10.1002/ece3.10449</v>
      </c>
      <c r="BG340" t="s">
        <v>74</v>
      </c>
      <c r="BH340" t="s">
        <v>74</v>
      </c>
      <c r="BI340">
        <v>13</v>
      </c>
      <c r="BJ340" t="s">
        <v>6747</v>
      </c>
      <c r="BK340" t="s">
        <v>119</v>
      </c>
      <c r="BL340" t="s">
        <v>6748</v>
      </c>
      <c r="BM340" t="s">
        <v>6785</v>
      </c>
      <c r="BN340">
        <v>37664505</v>
      </c>
      <c r="BO340" t="s">
        <v>6786</v>
      </c>
      <c r="BP340" t="s">
        <v>74</v>
      </c>
      <c r="BQ340" t="s">
        <v>74</v>
      </c>
      <c r="BR340" t="s">
        <v>99</v>
      </c>
      <c r="BS340" t="s">
        <v>6787</v>
      </c>
      <c r="BT340" t="str">
        <f>HYPERLINK("https%3A%2F%2Fwww.webofscience.com%2Fwos%2Fwoscc%2Ffull-record%2FWOS:001058464200001","View Full Record in Web of Science")</f>
        <v>View Full Record in Web of Science</v>
      </c>
    </row>
    <row r="341" spans="1:72" x14ac:dyDescent="0.15">
      <c r="A341" t="s">
        <v>72</v>
      </c>
      <c r="B341" t="s">
        <v>6788</v>
      </c>
      <c r="C341" t="s">
        <v>74</v>
      </c>
      <c r="D341" t="s">
        <v>74</v>
      </c>
      <c r="E341" t="s">
        <v>74</v>
      </c>
      <c r="F341" t="s">
        <v>6789</v>
      </c>
      <c r="G341" t="s">
        <v>74</v>
      </c>
      <c r="H341" t="s">
        <v>6790</v>
      </c>
      <c r="I341" t="s">
        <v>6791</v>
      </c>
      <c r="J341" t="s">
        <v>6792</v>
      </c>
      <c r="K341" t="s">
        <v>74</v>
      </c>
      <c r="L341" t="s">
        <v>74</v>
      </c>
      <c r="M341" t="s">
        <v>78</v>
      </c>
      <c r="N341" t="s">
        <v>79</v>
      </c>
      <c r="O341" t="s">
        <v>74</v>
      </c>
      <c r="P341" t="s">
        <v>74</v>
      </c>
      <c r="Q341" t="s">
        <v>74</v>
      </c>
      <c r="R341" t="s">
        <v>74</v>
      </c>
      <c r="S341" t="s">
        <v>74</v>
      </c>
      <c r="T341" t="s">
        <v>6793</v>
      </c>
      <c r="U341" t="s">
        <v>6794</v>
      </c>
      <c r="V341" t="s">
        <v>6795</v>
      </c>
      <c r="W341" t="s">
        <v>6796</v>
      </c>
      <c r="X341" t="s">
        <v>6797</v>
      </c>
      <c r="Y341" t="s">
        <v>6798</v>
      </c>
      <c r="Z341" t="s">
        <v>6799</v>
      </c>
      <c r="AA341" t="s">
        <v>6800</v>
      </c>
      <c r="AB341" t="s">
        <v>6801</v>
      </c>
      <c r="AC341" t="s">
        <v>74</v>
      </c>
      <c r="AD341" t="s">
        <v>74</v>
      </c>
      <c r="AE341" t="s">
        <v>74</v>
      </c>
      <c r="AF341" t="s">
        <v>74</v>
      </c>
      <c r="AG341">
        <v>24</v>
      </c>
      <c r="AH341">
        <v>0</v>
      </c>
      <c r="AI341">
        <v>0</v>
      </c>
      <c r="AJ341">
        <v>3</v>
      </c>
      <c r="AK341">
        <v>3</v>
      </c>
      <c r="AL341" t="s">
        <v>87</v>
      </c>
      <c r="AM341" t="s">
        <v>88</v>
      </c>
      <c r="AN341" t="s">
        <v>89</v>
      </c>
      <c r="AO341" t="s">
        <v>6802</v>
      </c>
      <c r="AP341" t="s">
        <v>6803</v>
      </c>
      <c r="AQ341" t="s">
        <v>74</v>
      </c>
      <c r="AR341" t="s">
        <v>6792</v>
      </c>
      <c r="AS341" t="s">
        <v>6804</v>
      </c>
      <c r="AT341" t="s">
        <v>6725</v>
      </c>
      <c r="AU341">
        <v>2023</v>
      </c>
      <c r="AV341">
        <v>89</v>
      </c>
      <c r="AW341">
        <v>3</v>
      </c>
      <c r="AX341" t="s">
        <v>74</v>
      </c>
      <c r="AY341" t="s">
        <v>74</v>
      </c>
      <c r="AZ341" t="s">
        <v>74</v>
      </c>
      <c r="BA341" t="s">
        <v>74</v>
      </c>
      <c r="BB341">
        <v>190</v>
      </c>
      <c r="BC341">
        <v>197</v>
      </c>
      <c r="BD341" t="s">
        <v>74</v>
      </c>
      <c r="BE341" t="s">
        <v>6805</v>
      </c>
      <c r="BF341" t="str">
        <f>HYPERLINK("http://dx.doi.org/10.1111/cod.14377","http://dx.doi.org/10.1111/cod.14377")</f>
        <v>http://dx.doi.org/10.1111/cod.14377</v>
      </c>
      <c r="BG341" t="s">
        <v>74</v>
      </c>
      <c r="BH341" t="s">
        <v>74</v>
      </c>
      <c r="BI341">
        <v>8</v>
      </c>
      <c r="BJ341" t="s">
        <v>6806</v>
      </c>
      <c r="BK341" t="s">
        <v>119</v>
      </c>
      <c r="BL341" t="s">
        <v>6806</v>
      </c>
      <c r="BM341" t="s">
        <v>6807</v>
      </c>
      <c r="BN341">
        <v>37403438</v>
      </c>
      <c r="BO341" t="s">
        <v>122</v>
      </c>
      <c r="BP341" t="s">
        <v>74</v>
      </c>
      <c r="BQ341" t="s">
        <v>74</v>
      </c>
      <c r="BR341" t="s">
        <v>99</v>
      </c>
      <c r="BS341" t="s">
        <v>6808</v>
      </c>
      <c r="BT341" t="str">
        <f>HYPERLINK("https%3A%2F%2Fwww.webofscience.com%2Fwos%2Fwoscc%2Ffull-record%2FWOS:001038362300006","View Full Record in Web of Science")</f>
        <v>View Full Record in Web of Science</v>
      </c>
    </row>
    <row r="342" spans="1:72" x14ac:dyDescent="0.15">
      <c r="A342" t="s">
        <v>72</v>
      </c>
      <c r="B342" t="s">
        <v>6809</v>
      </c>
      <c r="C342" t="s">
        <v>74</v>
      </c>
      <c r="D342" t="s">
        <v>74</v>
      </c>
      <c r="E342" t="s">
        <v>74</v>
      </c>
      <c r="F342" t="s">
        <v>6810</v>
      </c>
      <c r="G342" t="s">
        <v>74</v>
      </c>
      <c r="H342" t="s">
        <v>74</v>
      </c>
      <c r="I342" t="s">
        <v>6811</v>
      </c>
      <c r="J342" t="s">
        <v>1001</v>
      </c>
      <c r="K342" t="s">
        <v>74</v>
      </c>
      <c r="L342" t="s">
        <v>74</v>
      </c>
      <c r="M342" t="s">
        <v>78</v>
      </c>
      <c r="N342" t="s">
        <v>338</v>
      </c>
      <c r="O342" t="s">
        <v>74</v>
      </c>
      <c r="P342" t="s">
        <v>74</v>
      </c>
      <c r="Q342" t="s">
        <v>74</v>
      </c>
      <c r="R342" t="s">
        <v>74</v>
      </c>
      <c r="S342" t="s">
        <v>74</v>
      </c>
      <c r="T342" t="s">
        <v>6812</v>
      </c>
      <c r="U342" t="s">
        <v>6813</v>
      </c>
      <c r="V342" t="s">
        <v>6814</v>
      </c>
      <c r="W342" t="s">
        <v>6815</v>
      </c>
      <c r="X342" t="s">
        <v>6816</v>
      </c>
      <c r="Y342" t="s">
        <v>6817</v>
      </c>
      <c r="Z342" t="s">
        <v>6818</v>
      </c>
      <c r="AA342" t="s">
        <v>6819</v>
      </c>
      <c r="AB342" t="s">
        <v>6820</v>
      </c>
      <c r="AC342" t="s">
        <v>6821</v>
      </c>
      <c r="AD342" t="s">
        <v>6822</v>
      </c>
      <c r="AE342" t="s">
        <v>6823</v>
      </c>
      <c r="AF342" t="s">
        <v>74</v>
      </c>
      <c r="AG342">
        <v>40</v>
      </c>
      <c r="AH342">
        <v>0</v>
      </c>
      <c r="AI342">
        <v>0</v>
      </c>
      <c r="AJ342">
        <v>14</v>
      </c>
      <c r="AK342">
        <v>14</v>
      </c>
      <c r="AL342" t="s">
        <v>426</v>
      </c>
      <c r="AM342" t="s">
        <v>427</v>
      </c>
      <c r="AN342" t="s">
        <v>428</v>
      </c>
      <c r="AO342" t="s">
        <v>1014</v>
      </c>
      <c r="AP342" t="s">
        <v>1015</v>
      </c>
      <c r="AQ342" t="s">
        <v>74</v>
      </c>
      <c r="AR342" t="s">
        <v>1016</v>
      </c>
      <c r="AS342" t="s">
        <v>1017</v>
      </c>
      <c r="AT342" t="s">
        <v>6824</v>
      </c>
      <c r="AU342">
        <v>2023</v>
      </c>
      <c r="AV342" t="s">
        <v>74</v>
      </c>
      <c r="AW342" t="s">
        <v>74</v>
      </c>
      <c r="AX342" t="s">
        <v>74</v>
      </c>
      <c r="AY342" t="s">
        <v>74</v>
      </c>
      <c r="AZ342" t="s">
        <v>74</v>
      </c>
      <c r="BA342" t="s">
        <v>74</v>
      </c>
      <c r="BB342" t="s">
        <v>74</v>
      </c>
      <c r="BC342" t="s">
        <v>74</v>
      </c>
      <c r="BD342" t="s">
        <v>74</v>
      </c>
      <c r="BE342" t="s">
        <v>6825</v>
      </c>
      <c r="BF342" t="str">
        <f>HYPERLINK("http://dx.doi.org/10.1002/anie.202308971","http://dx.doi.org/10.1002/anie.202308971")</f>
        <v>http://dx.doi.org/10.1002/anie.202308971</v>
      </c>
      <c r="BG342" t="s">
        <v>74</v>
      </c>
      <c r="BH342" t="s">
        <v>407</v>
      </c>
      <c r="BI342">
        <v>9</v>
      </c>
      <c r="BJ342" t="s">
        <v>523</v>
      </c>
      <c r="BK342" t="s">
        <v>119</v>
      </c>
      <c r="BL342" t="s">
        <v>524</v>
      </c>
      <c r="BM342" t="s">
        <v>6826</v>
      </c>
      <c r="BN342">
        <v>37597250</v>
      </c>
      <c r="BO342" t="s">
        <v>74</v>
      </c>
      <c r="BP342" t="s">
        <v>74</v>
      </c>
      <c r="BQ342" t="s">
        <v>74</v>
      </c>
      <c r="BR342" t="s">
        <v>99</v>
      </c>
      <c r="BS342" t="s">
        <v>6827</v>
      </c>
      <c r="BT342" t="str">
        <f>HYPERLINK("https%3A%2F%2Fwww.webofscience.com%2Fwos%2Fwoscc%2Ffull-record%2FWOS:001055945200001","View Full Record in Web of Science")</f>
        <v>View Full Record in Web of Science</v>
      </c>
    </row>
    <row r="343" spans="1:72" x14ac:dyDescent="0.15">
      <c r="A343" t="s">
        <v>72</v>
      </c>
      <c r="B343" t="s">
        <v>6828</v>
      </c>
      <c r="C343" t="s">
        <v>74</v>
      </c>
      <c r="D343" t="s">
        <v>74</v>
      </c>
      <c r="E343" t="s">
        <v>74</v>
      </c>
      <c r="F343" t="s">
        <v>6829</v>
      </c>
      <c r="G343" t="s">
        <v>74</v>
      </c>
      <c r="H343" t="s">
        <v>74</v>
      </c>
      <c r="I343" t="s">
        <v>6830</v>
      </c>
      <c r="J343" t="s">
        <v>6831</v>
      </c>
      <c r="K343" t="s">
        <v>74</v>
      </c>
      <c r="L343" t="s">
        <v>74</v>
      </c>
      <c r="M343" t="s">
        <v>78</v>
      </c>
      <c r="N343" t="s">
        <v>79</v>
      </c>
      <c r="O343" t="s">
        <v>74</v>
      </c>
      <c r="P343" t="s">
        <v>74</v>
      </c>
      <c r="Q343" t="s">
        <v>74</v>
      </c>
      <c r="R343" t="s">
        <v>74</v>
      </c>
      <c r="S343" t="s">
        <v>74</v>
      </c>
      <c r="T343" t="s">
        <v>74</v>
      </c>
      <c r="U343" t="s">
        <v>74</v>
      </c>
      <c r="V343" t="s">
        <v>74</v>
      </c>
      <c r="W343" t="s">
        <v>74</v>
      </c>
      <c r="X343" t="s">
        <v>74</v>
      </c>
      <c r="Y343" t="s">
        <v>74</v>
      </c>
      <c r="Z343" t="s">
        <v>74</v>
      </c>
      <c r="AA343" t="s">
        <v>74</v>
      </c>
      <c r="AB343" t="s">
        <v>74</v>
      </c>
      <c r="AC343" t="s">
        <v>74</v>
      </c>
      <c r="AD343" t="s">
        <v>74</v>
      </c>
      <c r="AE343" t="s">
        <v>74</v>
      </c>
      <c r="AF343" t="s">
        <v>74</v>
      </c>
      <c r="AG343">
        <v>0</v>
      </c>
      <c r="AH343">
        <v>0</v>
      </c>
      <c r="AI343">
        <v>0</v>
      </c>
      <c r="AJ343">
        <v>0</v>
      </c>
      <c r="AK343">
        <v>0</v>
      </c>
      <c r="AL343" t="s">
        <v>87</v>
      </c>
      <c r="AM343" t="s">
        <v>88</v>
      </c>
      <c r="AN343" t="s">
        <v>89</v>
      </c>
      <c r="AO343" t="s">
        <v>6832</v>
      </c>
      <c r="AP343" t="s">
        <v>6833</v>
      </c>
      <c r="AQ343" t="s">
        <v>74</v>
      </c>
      <c r="AR343" t="s">
        <v>6834</v>
      </c>
      <c r="AS343" t="s">
        <v>6835</v>
      </c>
      <c r="AT343" t="s">
        <v>6725</v>
      </c>
      <c r="AU343">
        <v>2023</v>
      </c>
      <c r="AV343">
        <v>52</v>
      </c>
      <c r="AW343">
        <v>1</v>
      </c>
      <c r="AX343" t="s">
        <v>74</v>
      </c>
      <c r="AY343" t="s">
        <v>74</v>
      </c>
      <c r="AZ343" t="s">
        <v>74</v>
      </c>
      <c r="BA343" t="s">
        <v>74</v>
      </c>
      <c r="BB343">
        <v>67</v>
      </c>
      <c r="BC343">
        <v>68</v>
      </c>
      <c r="BD343" t="s">
        <v>74</v>
      </c>
      <c r="BE343" t="s">
        <v>6836</v>
      </c>
      <c r="BF343" t="str">
        <f>HYPERLINK("http://dx.doi.org/10.1111/fcsr.12491","http://dx.doi.org/10.1111/fcsr.12491")</f>
        <v>http://dx.doi.org/10.1111/fcsr.12491</v>
      </c>
      <c r="BG343" t="s">
        <v>74</v>
      </c>
      <c r="BH343" t="s">
        <v>74</v>
      </c>
      <c r="BI343">
        <v>2</v>
      </c>
      <c r="BJ343" t="s">
        <v>6837</v>
      </c>
      <c r="BK343" t="s">
        <v>96</v>
      </c>
      <c r="BL343" t="s">
        <v>6837</v>
      </c>
      <c r="BM343" t="s">
        <v>6838</v>
      </c>
      <c r="BN343" t="s">
        <v>74</v>
      </c>
      <c r="BO343" t="s">
        <v>74</v>
      </c>
      <c r="BP343" t="s">
        <v>74</v>
      </c>
      <c r="BQ343" t="s">
        <v>74</v>
      </c>
      <c r="BR343" t="s">
        <v>99</v>
      </c>
      <c r="BS343" t="s">
        <v>6839</v>
      </c>
      <c r="BT343" t="str">
        <f>HYPERLINK("https%3A%2F%2Fwww.webofscience.com%2Fwos%2Fwoscc%2Ffull-record%2FWOS:001060605100006","View Full Record in Web of Science")</f>
        <v>View Full Record in Web of Science</v>
      </c>
    </row>
    <row r="344" spans="1:72" x14ac:dyDescent="0.15">
      <c r="A344" t="s">
        <v>72</v>
      </c>
      <c r="B344" t="s">
        <v>6840</v>
      </c>
      <c r="C344" t="s">
        <v>74</v>
      </c>
      <c r="D344" t="s">
        <v>74</v>
      </c>
      <c r="E344" t="s">
        <v>74</v>
      </c>
      <c r="F344" t="s">
        <v>6841</v>
      </c>
      <c r="G344" t="s">
        <v>74</v>
      </c>
      <c r="H344" t="s">
        <v>74</v>
      </c>
      <c r="I344" t="s">
        <v>6842</v>
      </c>
      <c r="J344" t="s">
        <v>6843</v>
      </c>
      <c r="K344" t="s">
        <v>74</v>
      </c>
      <c r="L344" t="s">
        <v>74</v>
      </c>
      <c r="M344" t="s">
        <v>78</v>
      </c>
      <c r="N344" t="s">
        <v>307</v>
      </c>
      <c r="O344" t="s">
        <v>74</v>
      </c>
      <c r="P344" t="s">
        <v>74</v>
      </c>
      <c r="Q344" t="s">
        <v>74</v>
      </c>
      <c r="R344" t="s">
        <v>74</v>
      </c>
      <c r="S344" t="s">
        <v>74</v>
      </c>
      <c r="T344" t="s">
        <v>74</v>
      </c>
      <c r="U344" t="s">
        <v>6844</v>
      </c>
      <c r="V344" t="s">
        <v>74</v>
      </c>
      <c r="W344" t="s">
        <v>6845</v>
      </c>
      <c r="X344" t="s">
        <v>6846</v>
      </c>
      <c r="Y344" t="s">
        <v>6847</v>
      </c>
      <c r="Z344" t="s">
        <v>6848</v>
      </c>
      <c r="AA344" t="s">
        <v>74</v>
      </c>
      <c r="AB344" t="s">
        <v>74</v>
      </c>
      <c r="AC344" t="s">
        <v>74</v>
      </c>
      <c r="AD344" t="s">
        <v>74</v>
      </c>
      <c r="AE344" t="s">
        <v>74</v>
      </c>
      <c r="AF344" t="s">
        <v>74</v>
      </c>
      <c r="AG344">
        <v>26</v>
      </c>
      <c r="AH344">
        <v>0</v>
      </c>
      <c r="AI344">
        <v>0</v>
      </c>
      <c r="AJ344">
        <v>0</v>
      </c>
      <c r="AK344">
        <v>0</v>
      </c>
      <c r="AL344" t="s">
        <v>87</v>
      </c>
      <c r="AM344" t="s">
        <v>88</v>
      </c>
      <c r="AN344" t="s">
        <v>89</v>
      </c>
      <c r="AO344" t="s">
        <v>6849</v>
      </c>
      <c r="AP344" t="s">
        <v>6850</v>
      </c>
      <c r="AQ344" t="s">
        <v>74</v>
      </c>
      <c r="AR344" t="s">
        <v>6851</v>
      </c>
      <c r="AS344" t="s">
        <v>6852</v>
      </c>
      <c r="AT344" t="s">
        <v>6725</v>
      </c>
      <c r="AU344">
        <v>2023</v>
      </c>
      <c r="AV344">
        <v>62</v>
      </c>
      <c r="AW344">
        <v>3</v>
      </c>
      <c r="AX344" t="s">
        <v>74</v>
      </c>
      <c r="AY344" t="s">
        <v>74</v>
      </c>
      <c r="AZ344" t="s">
        <v>74</v>
      </c>
      <c r="BA344" t="s">
        <v>74</v>
      </c>
      <c r="BB344">
        <v>317</v>
      </c>
      <c r="BC344">
        <v>319</v>
      </c>
      <c r="BD344" t="s">
        <v>74</v>
      </c>
      <c r="BE344" t="s">
        <v>6853</v>
      </c>
      <c r="BF344" t="str">
        <f>HYPERLINK("http://dx.doi.org/10.1002/uog.26304","http://dx.doi.org/10.1002/uog.26304")</f>
        <v>http://dx.doi.org/10.1002/uog.26304</v>
      </c>
      <c r="BG344" t="s">
        <v>74</v>
      </c>
      <c r="BH344" t="s">
        <v>74</v>
      </c>
      <c r="BI344">
        <v>3</v>
      </c>
      <c r="BJ344" t="s">
        <v>6854</v>
      </c>
      <c r="BK344" t="s">
        <v>119</v>
      </c>
      <c r="BL344" t="s">
        <v>6854</v>
      </c>
      <c r="BM344" t="s">
        <v>6855</v>
      </c>
      <c r="BN344">
        <v>37428946</v>
      </c>
      <c r="BO344" t="s">
        <v>301</v>
      </c>
      <c r="BP344" t="s">
        <v>74</v>
      </c>
      <c r="BQ344" t="s">
        <v>74</v>
      </c>
      <c r="BR344" t="s">
        <v>99</v>
      </c>
      <c r="BS344" t="s">
        <v>6856</v>
      </c>
      <c r="BT344" t="str">
        <f>HYPERLINK("https%3A%2F%2Fwww.webofscience.com%2Fwos%2Fwoscc%2Ffull-record%2FWOS:001059666400001","View Full Record in Web of Science")</f>
        <v>View Full Record in Web of Science</v>
      </c>
    </row>
    <row r="345" spans="1:72" x14ac:dyDescent="0.15">
      <c r="A345" t="s">
        <v>72</v>
      </c>
      <c r="B345" t="s">
        <v>6857</v>
      </c>
      <c r="C345" t="s">
        <v>74</v>
      </c>
      <c r="D345" t="s">
        <v>74</v>
      </c>
      <c r="E345" t="s">
        <v>74</v>
      </c>
      <c r="F345" t="s">
        <v>6858</v>
      </c>
      <c r="G345" t="s">
        <v>74</v>
      </c>
      <c r="H345" t="s">
        <v>74</v>
      </c>
      <c r="I345" t="s">
        <v>6859</v>
      </c>
      <c r="J345" t="s">
        <v>6860</v>
      </c>
      <c r="K345" t="s">
        <v>74</v>
      </c>
      <c r="L345" t="s">
        <v>74</v>
      </c>
      <c r="M345" t="s">
        <v>78</v>
      </c>
      <c r="N345" t="s">
        <v>79</v>
      </c>
      <c r="O345" t="s">
        <v>74</v>
      </c>
      <c r="P345" t="s">
        <v>74</v>
      </c>
      <c r="Q345" t="s">
        <v>74</v>
      </c>
      <c r="R345" t="s">
        <v>74</v>
      </c>
      <c r="S345" t="s">
        <v>74</v>
      </c>
      <c r="T345" t="s">
        <v>74</v>
      </c>
      <c r="U345" t="s">
        <v>6861</v>
      </c>
      <c r="V345" t="s">
        <v>6862</v>
      </c>
      <c r="W345" t="s">
        <v>6863</v>
      </c>
      <c r="X345" t="s">
        <v>6864</v>
      </c>
      <c r="Y345" t="s">
        <v>6865</v>
      </c>
      <c r="Z345" t="s">
        <v>6866</v>
      </c>
      <c r="AA345" t="s">
        <v>6867</v>
      </c>
      <c r="AB345" t="s">
        <v>6868</v>
      </c>
      <c r="AC345" t="s">
        <v>74</v>
      </c>
      <c r="AD345" t="s">
        <v>74</v>
      </c>
      <c r="AE345" t="s">
        <v>74</v>
      </c>
      <c r="AF345" t="s">
        <v>74</v>
      </c>
      <c r="AG345">
        <v>76</v>
      </c>
      <c r="AH345">
        <v>0</v>
      </c>
      <c r="AI345">
        <v>0</v>
      </c>
      <c r="AJ345">
        <v>1</v>
      </c>
      <c r="AK345">
        <v>1</v>
      </c>
      <c r="AL345" t="s">
        <v>87</v>
      </c>
      <c r="AM345" t="s">
        <v>88</v>
      </c>
      <c r="AN345" t="s">
        <v>89</v>
      </c>
      <c r="AO345" t="s">
        <v>74</v>
      </c>
      <c r="AP345" t="s">
        <v>6869</v>
      </c>
      <c r="AQ345" t="s">
        <v>74</v>
      </c>
      <c r="AR345" t="s">
        <v>6870</v>
      </c>
      <c r="AS345" t="s">
        <v>6871</v>
      </c>
      <c r="AT345" t="s">
        <v>6725</v>
      </c>
      <c r="AU345">
        <v>2023</v>
      </c>
      <c r="AV345">
        <v>19</v>
      </c>
      <c r="AW345">
        <v>3</v>
      </c>
      <c r="AX345" t="s">
        <v>74</v>
      </c>
      <c r="AY345" t="s">
        <v>74</v>
      </c>
      <c r="AZ345" t="s">
        <v>74</v>
      </c>
      <c r="BA345" t="s">
        <v>74</v>
      </c>
      <c r="BB345" t="s">
        <v>74</v>
      </c>
      <c r="BC345" t="s">
        <v>74</v>
      </c>
      <c r="BD345" t="s">
        <v>6872</v>
      </c>
      <c r="BE345" t="s">
        <v>6873</v>
      </c>
      <c r="BF345" t="str">
        <f>HYPERLINK("http://dx.doi.org/10.1002/cl2.1347","http://dx.doi.org/10.1002/cl2.1347")</f>
        <v>http://dx.doi.org/10.1002/cl2.1347</v>
      </c>
      <c r="BG345" t="s">
        <v>74</v>
      </c>
      <c r="BH345" t="s">
        <v>74</v>
      </c>
      <c r="BI345">
        <v>14</v>
      </c>
      <c r="BJ345" t="s">
        <v>6874</v>
      </c>
      <c r="BK345" t="s">
        <v>96</v>
      </c>
      <c r="BL345" t="s">
        <v>6875</v>
      </c>
      <c r="BM345" t="s">
        <v>6876</v>
      </c>
      <c r="BN345">
        <v>37475878</v>
      </c>
      <c r="BO345" t="s">
        <v>6877</v>
      </c>
      <c r="BP345" t="s">
        <v>74</v>
      </c>
      <c r="BQ345" t="s">
        <v>74</v>
      </c>
      <c r="BR345" t="s">
        <v>99</v>
      </c>
      <c r="BS345" t="s">
        <v>6878</v>
      </c>
      <c r="BT345" t="str">
        <f>HYPERLINK("https%3A%2F%2Fwww.webofscience.com%2Fwos%2Fwoscc%2Ffull-record%2FWOS:001028037800001","View Full Record in Web of Science")</f>
        <v>View Full Record in Web of Science</v>
      </c>
    </row>
    <row r="346" spans="1:72" x14ac:dyDescent="0.15">
      <c r="A346" t="s">
        <v>72</v>
      </c>
      <c r="B346" t="s">
        <v>6879</v>
      </c>
      <c r="C346" t="s">
        <v>74</v>
      </c>
      <c r="D346" t="s">
        <v>74</v>
      </c>
      <c r="E346" t="s">
        <v>74</v>
      </c>
      <c r="F346" t="s">
        <v>6880</v>
      </c>
      <c r="G346" t="s">
        <v>74</v>
      </c>
      <c r="H346" t="s">
        <v>74</v>
      </c>
      <c r="I346" t="s">
        <v>6881</v>
      </c>
      <c r="J346" t="s">
        <v>6754</v>
      </c>
      <c r="K346" t="s">
        <v>74</v>
      </c>
      <c r="L346" t="s">
        <v>74</v>
      </c>
      <c r="M346" t="s">
        <v>78</v>
      </c>
      <c r="N346" t="s">
        <v>79</v>
      </c>
      <c r="O346" t="s">
        <v>74</v>
      </c>
      <c r="P346" t="s">
        <v>74</v>
      </c>
      <c r="Q346" t="s">
        <v>74</v>
      </c>
      <c r="R346" t="s">
        <v>74</v>
      </c>
      <c r="S346" t="s">
        <v>74</v>
      </c>
      <c r="T346" t="s">
        <v>6882</v>
      </c>
      <c r="U346" t="s">
        <v>74</v>
      </c>
      <c r="V346" t="s">
        <v>6883</v>
      </c>
      <c r="W346" t="s">
        <v>6884</v>
      </c>
      <c r="X346" t="s">
        <v>6885</v>
      </c>
      <c r="Y346" t="s">
        <v>6886</v>
      </c>
      <c r="Z346" t="s">
        <v>6887</v>
      </c>
      <c r="AA346" t="s">
        <v>74</v>
      </c>
      <c r="AB346" t="s">
        <v>6888</v>
      </c>
      <c r="AC346" t="s">
        <v>1708</v>
      </c>
      <c r="AD346" t="s">
        <v>1708</v>
      </c>
      <c r="AE346" t="s">
        <v>1708</v>
      </c>
      <c r="AF346" t="s">
        <v>74</v>
      </c>
      <c r="AG346">
        <v>10</v>
      </c>
      <c r="AH346">
        <v>0</v>
      </c>
      <c r="AI346">
        <v>0</v>
      </c>
      <c r="AJ346">
        <v>0</v>
      </c>
      <c r="AK346">
        <v>0</v>
      </c>
      <c r="AL346" t="s">
        <v>87</v>
      </c>
      <c r="AM346" t="s">
        <v>88</v>
      </c>
      <c r="AN346" t="s">
        <v>89</v>
      </c>
      <c r="AO346" t="s">
        <v>6763</v>
      </c>
      <c r="AP346" t="s">
        <v>74</v>
      </c>
      <c r="AQ346" t="s">
        <v>74</v>
      </c>
      <c r="AR346" t="s">
        <v>6764</v>
      </c>
      <c r="AS346" t="s">
        <v>6765</v>
      </c>
      <c r="AT346" t="s">
        <v>6725</v>
      </c>
      <c r="AU346">
        <v>2023</v>
      </c>
      <c r="AV346">
        <v>11</v>
      </c>
      <c r="AW346">
        <v>9</v>
      </c>
      <c r="AX346" t="s">
        <v>74</v>
      </c>
      <c r="AY346" t="s">
        <v>74</v>
      </c>
      <c r="AZ346" t="s">
        <v>74</v>
      </c>
      <c r="BA346" t="s">
        <v>74</v>
      </c>
      <c r="BB346" t="s">
        <v>74</v>
      </c>
      <c r="BC346" t="s">
        <v>74</v>
      </c>
      <c r="BD346" t="s">
        <v>6889</v>
      </c>
      <c r="BE346" t="s">
        <v>6890</v>
      </c>
      <c r="BF346" t="str">
        <f>HYPERLINK("http://dx.doi.org/10.1002/ccr3.7895","http://dx.doi.org/10.1002/ccr3.7895")</f>
        <v>http://dx.doi.org/10.1002/ccr3.7895</v>
      </c>
      <c r="BG346" t="s">
        <v>74</v>
      </c>
      <c r="BH346" t="s">
        <v>74</v>
      </c>
      <c r="BI346">
        <v>4</v>
      </c>
      <c r="BJ346" t="s">
        <v>4689</v>
      </c>
      <c r="BK346" t="s">
        <v>96</v>
      </c>
      <c r="BL346" t="s">
        <v>4690</v>
      </c>
      <c r="BM346" t="s">
        <v>6891</v>
      </c>
      <c r="BN346">
        <v>37692145</v>
      </c>
      <c r="BO346" t="s">
        <v>234</v>
      </c>
      <c r="BP346" t="s">
        <v>74</v>
      </c>
      <c r="BQ346" t="s">
        <v>74</v>
      </c>
      <c r="BR346" t="s">
        <v>99</v>
      </c>
      <c r="BS346" t="s">
        <v>6892</v>
      </c>
      <c r="BT346" t="str">
        <f>HYPERLINK("https%3A%2F%2Fwww.webofscience.com%2Fwos%2Fwoscc%2Ffull-record%2FWOS:001060071000001","View Full Record in Web of Science")</f>
        <v>View Full Record in Web of Science</v>
      </c>
    </row>
    <row r="347" spans="1:72" x14ac:dyDescent="0.15">
      <c r="A347" t="s">
        <v>72</v>
      </c>
      <c r="B347" t="s">
        <v>6893</v>
      </c>
      <c r="C347" t="s">
        <v>74</v>
      </c>
      <c r="D347" t="s">
        <v>74</v>
      </c>
      <c r="E347" t="s">
        <v>74</v>
      </c>
      <c r="F347" t="s">
        <v>6894</v>
      </c>
      <c r="G347" t="s">
        <v>74</v>
      </c>
      <c r="H347" t="s">
        <v>74</v>
      </c>
      <c r="I347" t="s">
        <v>6895</v>
      </c>
      <c r="J347" t="s">
        <v>6896</v>
      </c>
      <c r="K347" t="s">
        <v>74</v>
      </c>
      <c r="L347" t="s">
        <v>74</v>
      </c>
      <c r="M347" t="s">
        <v>78</v>
      </c>
      <c r="N347" t="s">
        <v>288</v>
      </c>
      <c r="O347" t="s">
        <v>74</v>
      </c>
      <c r="P347" t="s">
        <v>74</v>
      </c>
      <c r="Q347" t="s">
        <v>74</v>
      </c>
      <c r="R347" t="s">
        <v>74</v>
      </c>
      <c r="S347" t="s">
        <v>74</v>
      </c>
      <c r="T347" t="s">
        <v>74</v>
      </c>
      <c r="U347" t="s">
        <v>6897</v>
      </c>
      <c r="V347" t="s">
        <v>74</v>
      </c>
      <c r="W347" t="s">
        <v>6898</v>
      </c>
      <c r="X347" t="s">
        <v>6899</v>
      </c>
      <c r="Y347" t="s">
        <v>6900</v>
      </c>
      <c r="Z347" t="s">
        <v>6901</v>
      </c>
      <c r="AA347" t="s">
        <v>6902</v>
      </c>
      <c r="AB347" t="s">
        <v>6903</v>
      </c>
      <c r="AC347" t="s">
        <v>74</v>
      </c>
      <c r="AD347" t="s">
        <v>74</v>
      </c>
      <c r="AE347" t="s">
        <v>74</v>
      </c>
      <c r="AF347" t="s">
        <v>74</v>
      </c>
      <c r="AG347">
        <v>67</v>
      </c>
      <c r="AH347">
        <v>0</v>
      </c>
      <c r="AI347">
        <v>0</v>
      </c>
      <c r="AJ347">
        <v>0</v>
      </c>
      <c r="AK347">
        <v>0</v>
      </c>
      <c r="AL347" t="s">
        <v>87</v>
      </c>
      <c r="AM347" t="s">
        <v>88</v>
      </c>
      <c r="AN347" t="s">
        <v>89</v>
      </c>
      <c r="AO347" t="s">
        <v>6904</v>
      </c>
      <c r="AP347" t="s">
        <v>6905</v>
      </c>
      <c r="AQ347" t="s">
        <v>74</v>
      </c>
      <c r="AR347" t="s">
        <v>6896</v>
      </c>
      <c r="AS347" t="s">
        <v>6906</v>
      </c>
      <c r="AT347" t="s">
        <v>6725</v>
      </c>
      <c r="AU347">
        <v>2023</v>
      </c>
      <c r="AV347">
        <v>43</v>
      </c>
      <c r="AW347">
        <v>9</v>
      </c>
      <c r="AX347" t="s">
        <v>74</v>
      </c>
      <c r="AY347" t="s">
        <v>74</v>
      </c>
      <c r="AZ347" t="s">
        <v>74</v>
      </c>
      <c r="BA347" t="s">
        <v>74</v>
      </c>
      <c r="BB347">
        <v>991</v>
      </c>
      <c r="BC347">
        <v>991</v>
      </c>
      <c r="BD347" t="s">
        <v>74</v>
      </c>
      <c r="BE347" t="s">
        <v>6907</v>
      </c>
      <c r="BF347" t="str">
        <f>HYPERLINK("http://dx.doi.org/10.1002/phar.2862","http://dx.doi.org/10.1002/phar.2862")</f>
        <v>http://dx.doi.org/10.1002/phar.2862</v>
      </c>
      <c r="BG347" t="s">
        <v>74</v>
      </c>
      <c r="BH347" t="s">
        <v>74</v>
      </c>
      <c r="BI347">
        <v>1</v>
      </c>
      <c r="BJ347" t="s">
        <v>299</v>
      </c>
      <c r="BK347" t="s">
        <v>119</v>
      </c>
      <c r="BL347" t="s">
        <v>299</v>
      </c>
      <c r="BM347" t="s">
        <v>6908</v>
      </c>
      <c r="BN347">
        <v>37701937</v>
      </c>
      <c r="BO347" t="s">
        <v>74</v>
      </c>
      <c r="BP347" t="s">
        <v>74</v>
      </c>
      <c r="BQ347" t="s">
        <v>74</v>
      </c>
      <c r="BR347" t="s">
        <v>99</v>
      </c>
      <c r="BS347" t="s">
        <v>6909</v>
      </c>
      <c r="BT347" t="str">
        <f>HYPERLINK("https%3A%2F%2Fwww.webofscience.com%2Fwos%2Fwoscc%2Ffull-record%2FWOS:001066971300010","View Full Record in Web of Science")</f>
        <v>View Full Record in Web of Science</v>
      </c>
    </row>
    <row r="348" spans="1:72" x14ac:dyDescent="0.15">
      <c r="A348" t="s">
        <v>72</v>
      </c>
      <c r="B348" t="s">
        <v>6910</v>
      </c>
      <c r="C348" t="s">
        <v>74</v>
      </c>
      <c r="D348" t="s">
        <v>74</v>
      </c>
      <c r="E348" t="s">
        <v>74</v>
      </c>
      <c r="F348" t="s">
        <v>6911</v>
      </c>
      <c r="G348" t="s">
        <v>74</v>
      </c>
      <c r="H348" t="s">
        <v>74</v>
      </c>
      <c r="I348" t="s">
        <v>6912</v>
      </c>
      <c r="J348" t="s">
        <v>6754</v>
      </c>
      <c r="K348" t="s">
        <v>74</v>
      </c>
      <c r="L348" t="s">
        <v>74</v>
      </c>
      <c r="M348" t="s">
        <v>78</v>
      </c>
      <c r="N348" t="s">
        <v>79</v>
      </c>
      <c r="O348" t="s">
        <v>74</v>
      </c>
      <c r="P348" t="s">
        <v>74</v>
      </c>
      <c r="Q348" t="s">
        <v>74</v>
      </c>
      <c r="R348" t="s">
        <v>74</v>
      </c>
      <c r="S348" t="s">
        <v>74</v>
      </c>
      <c r="T348" t="s">
        <v>6913</v>
      </c>
      <c r="U348" t="s">
        <v>6914</v>
      </c>
      <c r="V348" t="s">
        <v>6915</v>
      </c>
      <c r="W348" t="s">
        <v>6916</v>
      </c>
      <c r="X348" t="s">
        <v>6917</v>
      </c>
      <c r="Y348" t="s">
        <v>6918</v>
      </c>
      <c r="Z348" t="s">
        <v>6919</v>
      </c>
      <c r="AA348" t="s">
        <v>74</v>
      </c>
      <c r="AB348" t="s">
        <v>74</v>
      </c>
      <c r="AC348" t="s">
        <v>74</v>
      </c>
      <c r="AD348" t="s">
        <v>74</v>
      </c>
      <c r="AE348" t="s">
        <v>74</v>
      </c>
      <c r="AF348" t="s">
        <v>74</v>
      </c>
      <c r="AG348">
        <v>45</v>
      </c>
      <c r="AH348">
        <v>0</v>
      </c>
      <c r="AI348">
        <v>0</v>
      </c>
      <c r="AJ348">
        <v>0</v>
      </c>
      <c r="AK348">
        <v>0</v>
      </c>
      <c r="AL348" t="s">
        <v>87</v>
      </c>
      <c r="AM348" t="s">
        <v>88</v>
      </c>
      <c r="AN348" t="s">
        <v>89</v>
      </c>
      <c r="AO348" t="s">
        <v>6763</v>
      </c>
      <c r="AP348" t="s">
        <v>74</v>
      </c>
      <c r="AQ348" t="s">
        <v>74</v>
      </c>
      <c r="AR348" t="s">
        <v>6764</v>
      </c>
      <c r="AS348" t="s">
        <v>6765</v>
      </c>
      <c r="AT348" t="s">
        <v>6725</v>
      </c>
      <c r="AU348">
        <v>2023</v>
      </c>
      <c r="AV348">
        <v>11</v>
      </c>
      <c r="AW348">
        <v>9</v>
      </c>
      <c r="AX348" t="s">
        <v>74</v>
      </c>
      <c r="AY348" t="s">
        <v>74</v>
      </c>
      <c r="AZ348" t="s">
        <v>74</v>
      </c>
      <c r="BA348" t="s">
        <v>74</v>
      </c>
      <c r="BB348" t="s">
        <v>74</v>
      </c>
      <c r="BC348" t="s">
        <v>74</v>
      </c>
      <c r="BD348" t="s">
        <v>6920</v>
      </c>
      <c r="BE348" t="s">
        <v>6921</v>
      </c>
      <c r="BF348" t="str">
        <f>HYPERLINK("http://dx.doi.org/10.1002/ccr3.7812","http://dx.doi.org/10.1002/ccr3.7812")</f>
        <v>http://dx.doi.org/10.1002/ccr3.7812</v>
      </c>
      <c r="BG348" t="s">
        <v>74</v>
      </c>
      <c r="BH348" t="s">
        <v>74</v>
      </c>
      <c r="BI348">
        <v>8</v>
      </c>
      <c r="BJ348" t="s">
        <v>4689</v>
      </c>
      <c r="BK348" t="s">
        <v>96</v>
      </c>
      <c r="BL348" t="s">
        <v>4690</v>
      </c>
      <c r="BM348" t="s">
        <v>6922</v>
      </c>
      <c r="BN348">
        <v>37636871</v>
      </c>
      <c r="BO348" t="s">
        <v>6923</v>
      </c>
      <c r="BP348" t="s">
        <v>74</v>
      </c>
      <c r="BQ348" t="s">
        <v>74</v>
      </c>
      <c r="BR348" t="s">
        <v>99</v>
      </c>
      <c r="BS348" t="s">
        <v>6924</v>
      </c>
      <c r="BT348" t="str">
        <f>HYPERLINK("https%3A%2F%2Fwww.webofscience.com%2Fwos%2Fwoscc%2Ffull-record%2FWOS:001053627000001","View Full Record in Web of Science")</f>
        <v>View Full Record in Web of Science</v>
      </c>
    </row>
    <row r="349" spans="1:72" x14ac:dyDescent="0.15">
      <c r="A349" t="s">
        <v>72</v>
      </c>
      <c r="B349" t="s">
        <v>6925</v>
      </c>
      <c r="C349" t="s">
        <v>74</v>
      </c>
      <c r="D349" t="s">
        <v>74</v>
      </c>
      <c r="E349" t="s">
        <v>74</v>
      </c>
      <c r="F349" t="s">
        <v>6926</v>
      </c>
      <c r="G349" t="s">
        <v>74</v>
      </c>
      <c r="H349" t="s">
        <v>74</v>
      </c>
      <c r="I349" t="s">
        <v>6927</v>
      </c>
      <c r="J349" t="s">
        <v>264</v>
      </c>
      <c r="K349" t="s">
        <v>74</v>
      </c>
      <c r="L349" t="s">
        <v>74</v>
      </c>
      <c r="M349" t="s">
        <v>78</v>
      </c>
      <c r="N349" t="s">
        <v>79</v>
      </c>
      <c r="O349" t="s">
        <v>74</v>
      </c>
      <c r="P349" t="s">
        <v>74</v>
      </c>
      <c r="Q349" t="s">
        <v>74</v>
      </c>
      <c r="R349" t="s">
        <v>74</v>
      </c>
      <c r="S349" t="s">
        <v>74</v>
      </c>
      <c r="T349" t="s">
        <v>6928</v>
      </c>
      <c r="U349" t="s">
        <v>6929</v>
      </c>
      <c r="V349" t="s">
        <v>6930</v>
      </c>
      <c r="W349" t="s">
        <v>6931</v>
      </c>
      <c r="X349" t="s">
        <v>6932</v>
      </c>
      <c r="Y349" t="s">
        <v>6933</v>
      </c>
      <c r="Z349" t="s">
        <v>6934</v>
      </c>
      <c r="AA349" t="s">
        <v>74</v>
      </c>
      <c r="AB349" t="s">
        <v>74</v>
      </c>
      <c r="AC349" t="s">
        <v>6935</v>
      </c>
      <c r="AD349" t="s">
        <v>6935</v>
      </c>
      <c r="AE349" t="s">
        <v>6936</v>
      </c>
      <c r="AF349" t="s">
        <v>74</v>
      </c>
      <c r="AG349">
        <v>37</v>
      </c>
      <c r="AH349">
        <v>0</v>
      </c>
      <c r="AI349">
        <v>0</v>
      </c>
      <c r="AJ349">
        <v>1</v>
      </c>
      <c r="AK349">
        <v>1</v>
      </c>
      <c r="AL349" t="s">
        <v>87</v>
      </c>
      <c r="AM349" t="s">
        <v>88</v>
      </c>
      <c r="AN349" t="s">
        <v>89</v>
      </c>
      <c r="AO349" t="s">
        <v>275</v>
      </c>
      <c r="AP349" t="s">
        <v>276</v>
      </c>
      <c r="AQ349" t="s">
        <v>74</v>
      </c>
      <c r="AR349" t="s">
        <v>277</v>
      </c>
      <c r="AS349" t="s">
        <v>278</v>
      </c>
      <c r="AT349" t="s">
        <v>6725</v>
      </c>
      <c r="AU349">
        <v>2023</v>
      </c>
      <c r="AV349">
        <v>284</v>
      </c>
      <c r="AW349">
        <v>9</v>
      </c>
      <c r="AX349" t="s">
        <v>74</v>
      </c>
      <c r="AY349" t="s">
        <v>74</v>
      </c>
      <c r="AZ349" t="s">
        <v>74</v>
      </c>
      <c r="BA349" t="s">
        <v>74</v>
      </c>
      <c r="BB349" t="s">
        <v>74</v>
      </c>
      <c r="BC349" t="s">
        <v>74</v>
      </c>
      <c r="BD349" t="s">
        <v>6937</v>
      </c>
      <c r="BE349" t="s">
        <v>6938</v>
      </c>
      <c r="BF349" t="str">
        <f>HYPERLINK("http://dx.doi.org/10.1002/jmor.21618","http://dx.doi.org/10.1002/jmor.21618")</f>
        <v>http://dx.doi.org/10.1002/jmor.21618</v>
      </c>
      <c r="BG349" t="s">
        <v>74</v>
      </c>
      <c r="BH349" t="s">
        <v>74</v>
      </c>
      <c r="BI349">
        <v>7</v>
      </c>
      <c r="BJ349" t="s">
        <v>281</v>
      </c>
      <c r="BK349" t="s">
        <v>119</v>
      </c>
      <c r="BL349" t="s">
        <v>281</v>
      </c>
      <c r="BM349" t="s">
        <v>6939</v>
      </c>
      <c r="BN349">
        <v>37585223</v>
      </c>
      <c r="BO349" t="s">
        <v>122</v>
      </c>
      <c r="BP349" t="s">
        <v>74</v>
      </c>
      <c r="BQ349" t="s">
        <v>74</v>
      </c>
      <c r="BR349" t="s">
        <v>99</v>
      </c>
      <c r="BS349" t="s">
        <v>6940</v>
      </c>
      <c r="BT349" t="str">
        <f>HYPERLINK("https%3A%2F%2Fwww.webofscience.com%2Fwos%2Fwoscc%2Ffull-record%2FWOS:001032386500001","View Full Record in Web of Science")</f>
        <v>View Full Record in Web of Science</v>
      </c>
    </row>
    <row r="350" spans="1:72" x14ac:dyDescent="0.15">
      <c r="A350" t="s">
        <v>72</v>
      </c>
      <c r="B350" t="s">
        <v>6941</v>
      </c>
      <c r="C350" t="s">
        <v>74</v>
      </c>
      <c r="D350" t="s">
        <v>74</v>
      </c>
      <c r="E350" t="s">
        <v>74</v>
      </c>
      <c r="F350" t="s">
        <v>6942</v>
      </c>
      <c r="G350" t="s">
        <v>74</v>
      </c>
      <c r="H350" t="s">
        <v>74</v>
      </c>
      <c r="I350" t="s">
        <v>6943</v>
      </c>
      <c r="J350" t="s">
        <v>6255</v>
      </c>
      <c r="K350" t="s">
        <v>74</v>
      </c>
      <c r="L350" t="s">
        <v>74</v>
      </c>
      <c r="M350" t="s">
        <v>78</v>
      </c>
      <c r="N350" t="s">
        <v>79</v>
      </c>
      <c r="O350" t="s">
        <v>74</v>
      </c>
      <c r="P350" t="s">
        <v>74</v>
      </c>
      <c r="Q350" t="s">
        <v>74</v>
      </c>
      <c r="R350" t="s">
        <v>74</v>
      </c>
      <c r="S350" t="s">
        <v>74</v>
      </c>
      <c r="T350" t="s">
        <v>74</v>
      </c>
      <c r="U350" t="s">
        <v>6944</v>
      </c>
      <c r="V350" t="s">
        <v>6945</v>
      </c>
      <c r="W350" t="s">
        <v>6946</v>
      </c>
      <c r="X350" t="s">
        <v>6947</v>
      </c>
      <c r="Y350" t="s">
        <v>6948</v>
      </c>
      <c r="Z350" t="s">
        <v>6949</v>
      </c>
      <c r="AA350" t="s">
        <v>6950</v>
      </c>
      <c r="AB350" t="s">
        <v>6951</v>
      </c>
      <c r="AC350" t="s">
        <v>6952</v>
      </c>
      <c r="AD350" t="s">
        <v>6953</v>
      </c>
      <c r="AE350" t="s">
        <v>6954</v>
      </c>
      <c r="AF350" t="s">
        <v>74</v>
      </c>
      <c r="AG350">
        <v>45</v>
      </c>
      <c r="AH350">
        <v>0</v>
      </c>
      <c r="AI350">
        <v>0</v>
      </c>
      <c r="AJ350">
        <v>0</v>
      </c>
      <c r="AK350">
        <v>0</v>
      </c>
      <c r="AL350" t="s">
        <v>87</v>
      </c>
      <c r="AM350" t="s">
        <v>88</v>
      </c>
      <c r="AN350" t="s">
        <v>89</v>
      </c>
      <c r="AO350" t="s">
        <v>6263</v>
      </c>
      <c r="AP350" t="s">
        <v>6264</v>
      </c>
      <c r="AQ350" t="s">
        <v>74</v>
      </c>
      <c r="AR350" t="s">
        <v>6255</v>
      </c>
      <c r="AS350" t="s">
        <v>6265</v>
      </c>
      <c r="AT350" t="s">
        <v>6725</v>
      </c>
      <c r="AU350">
        <v>2023</v>
      </c>
      <c r="AV350">
        <v>31</v>
      </c>
      <c r="AW350">
        <v>9</v>
      </c>
      <c r="AX350" t="s">
        <v>74</v>
      </c>
      <c r="AY350" t="s">
        <v>74</v>
      </c>
      <c r="AZ350" t="s">
        <v>74</v>
      </c>
      <c r="BA350" t="s">
        <v>74</v>
      </c>
      <c r="BB350">
        <v>2294</v>
      </c>
      <c r="BC350">
        <v>2303</v>
      </c>
      <c r="BD350" t="s">
        <v>74</v>
      </c>
      <c r="BE350" t="s">
        <v>6955</v>
      </c>
      <c r="BF350" t="str">
        <f>HYPERLINK("http://dx.doi.org/10.1002/oby.23834","http://dx.doi.org/10.1002/oby.23834")</f>
        <v>http://dx.doi.org/10.1002/oby.23834</v>
      </c>
      <c r="BG350" t="s">
        <v>74</v>
      </c>
      <c r="BH350" t="s">
        <v>74</v>
      </c>
      <c r="BI350">
        <v>10</v>
      </c>
      <c r="BJ350" t="s">
        <v>6267</v>
      </c>
      <c r="BK350" t="s">
        <v>119</v>
      </c>
      <c r="BL350" t="s">
        <v>6267</v>
      </c>
      <c r="BM350" t="s">
        <v>6727</v>
      </c>
      <c r="BN350">
        <v>37605635</v>
      </c>
      <c r="BO350" t="s">
        <v>6956</v>
      </c>
      <c r="BP350" t="s">
        <v>74</v>
      </c>
      <c r="BQ350" t="s">
        <v>74</v>
      </c>
      <c r="BR350" t="s">
        <v>99</v>
      </c>
      <c r="BS350" t="s">
        <v>6957</v>
      </c>
      <c r="BT350" t="str">
        <f>HYPERLINK("https%3A%2F%2Fwww.webofscience.com%2Fwos%2Fwoscc%2Ffull-record%2FWOS:001051980400010","View Full Record in Web of Science")</f>
        <v>View Full Record in Web of Science</v>
      </c>
    </row>
    <row r="351" spans="1:72" x14ac:dyDescent="0.15">
      <c r="A351" t="s">
        <v>72</v>
      </c>
      <c r="B351" t="s">
        <v>6958</v>
      </c>
      <c r="C351" t="s">
        <v>74</v>
      </c>
      <c r="D351" t="s">
        <v>74</v>
      </c>
      <c r="E351" t="s">
        <v>74</v>
      </c>
      <c r="F351" t="s">
        <v>6959</v>
      </c>
      <c r="G351" t="s">
        <v>74</v>
      </c>
      <c r="H351" t="s">
        <v>74</v>
      </c>
      <c r="I351" t="s">
        <v>6960</v>
      </c>
      <c r="J351" t="s">
        <v>6961</v>
      </c>
      <c r="K351" t="s">
        <v>74</v>
      </c>
      <c r="L351" t="s">
        <v>74</v>
      </c>
      <c r="M351" t="s">
        <v>78</v>
      </c>
      <c r="N351" t="s">
        <v>338</v>
      </c>
      <c r="O351" t="s">
        <v>74</v>
      </c>
      <c r="P351" t="s">
        <v>74</v>
      </c>
      <c r="Q351" t="s">
        <v>74</v>
      </c>
      <c r="R351" t="s">
        <v>74</v>
      </c>
      <c r="S351" t="s">
        <v>74</v>
      </c>
      <c r="T351" t="s">
        <v>6962</v>
      </c>
      <c r="U351" t="s">
        <v>6963</v>
      </c>
      <c r="V351" t="s">
        <v>6964</v>
      </c>
      <c r="W351" t="s">
        <v>6965</v>
      </c>
      <c r="X351" t="s">
        <v>6966</v>
      </c>
      <c r="Y351" t="s">
        <v>6967</v>
      </c>
      <c r="Z351" t="s">
        <v>6968</v>
      </c>
      <c r="AA351" t="s">
        <v>74</v>
      </c>
      <c r="AB351" t="s">
        <v>74</v>
      </c>
      <c r="AC351" t="s">
        <v>6969</v>
      </c>
      <c r="AD351" t="s">
        <v>6970</v>
      </c>
      <c r="AE351" t="s">
        <v>6971</v>
      </c>
      <c r="AF351" t="s">
        <v>74</v>
      </c>
      <c r="AG351">
        <v>37</v>
      </c>
      <c r="AH351">
        <v>0</v>
      </c>
      <c r="AI351">
        <v>0</v>
      </c>
      <c r="AJ351">
        <v>4</v>
      </c>
      <c r="AK351">
        <v>4</v>
      </c>
      <c r="AL351" t="s">
        <v>426</v>
      </c>
      <c r="AM351" t="s">
        <v>427</v>
      </c>
      <c r="AN351" t="s">
        <v>428</v>
      </c>
      <c r="AO351" t="s">
        <v>6972</v>
      </c>
      <c r="AP351" t="s">
        <v>6973</v>
      </c>
      <c r="AQ351" t="s">
        <v>74</v>
      </c>
      <c r="AR351" t="s">
        <v>6974</v>
      </c>
      <c r="AS351" t="s">
        <v>6975</v>
      </c>
      <c r="AT351" t="s">
        <v>6824</v>
      </c>
      <c r="AU351">
        <v>2023</v>
      </c>
      <c r="AV351" t="s">
        <v>74</v>
      </c>
      <c r="AW351" t="s">
        <v>74</v>
      </c>
      <c r="AX351" t="s">
        <v>74</v>
      </c>
      <c r="AY351" t="s">
        <v>74</v>
      </c>
      <c r="AZ351" t="s">
        <v>74</v>
      </c>
      <c r="BA351" t="s">
        <v>74</v>
      </c>
      <c r="BB351" t="s">
        <v>74</v>
      </c>
      <c r="BC351" t="s">
        <v>74</v>
      </c>
      <c r="BD351" t="s">
        <v>74</v>
      </c>
      <c r="BE351" t="s">
        <v>6976</v>
      </c>
      <c r="BF351" t="str">
        <f>HYPERLINK("http://dx.doi.org/10.1002/srin.202300328","http://dx.doi.org/10.1002/srin.202300328")</f>
        <v>http://dx.doi.org/10.1002/srin.202300328</v>
      </c>
      <c r="BG351" t="s">
        <v>74</v>
      </c>
      <c r="BH351" t="s">
        <v>407</v>
      </c>
      <c r="BI351">
        <v>11</v>
      </c>
      <c r="BJ351" t="s">
        <v>6977</v>
      </c>
      <c r="BK351" t="s">
        <v>119</v>
      </c>
      <c r="BL351" t="s">
        <v>6977</v>
      </c>
      <c r="BM351" t="s">
        <v>6978</v>
      </c>
      <c r="BN351" t="s">
        <v>74</v>
      </c>
      <c r="BO351" t="s">
        <v>74</v>
      </c>
      <c r="BP351" t="s">
        <v>74</v>
      </c>
      <c r="BQ351" t="s">
        <v>74</v>
      </c>
      <c r="BR351" t="s">
        <v>99</v>
      </c>
      <c r="BS351" t="s">
        <v>6979</v>
      </c>
      <c r="BT351" t="str">
        <f>HYPERLINK("https%3A%2F%2Fwww.webofscience.com%2Fwos%2Fwoscc%2Ffull-record%2FWOS:001056111100001","View Full Record in Web of Science")</f>
        <v>View Full Record in Web of Science</v>
      </c>
    </row>
    <row r="352" spans="1:72" x14ac:dyDescent="0.15">
      <c r="A352" t="s">
        <v>72</v>
      </c>
      <c r="B352" t="s">
        <v>6980</v>
      </c>
      <c r="C352" t="s">
        <v>74</v>
      </c>
      <c r="D352" t="s">
        <v>74</v>
      </c>
      <c r="E352" t="s">
        <v>74</v>
      </c>
      <c r="F352" t="s">
        <v>6981</v>
      </c>
      <c r="G352" t="s">
        <v>74</v>
      </c>
      <c r="H352" t="s">
        <v>74</v>
      </c>
      <c r="I352" t="s">
        <v>6982</v>
      </c>
      <c r="J352" t="s">
        <v>6983</v>
      </c>
      <c r="K352" t="s">
        <v>74</v>
      </c>
      <c r="L352" t="s">
        <v>74</v>
      </c>
      <c r="M352" t="s">
        <v>78</v>
      </c>
      <c r="N352" t="s">
        <v>338</v>
      </c>
      <c r="O352" t="s">
        <v>74</v>
      </c>
      <c r="P352" t="s">
        <v>74</v>
      </c>
      <c r="Q352" t="s">
        <v>74</v>
      </c>
      <c r="R352" t="s">
        <v>74</v>
      </c>
      <c r="S352" t="s">
        <v>74</v>
      </c>
      <c r="T352" t="s">
        <v>6984</v>
      </c>
      <c r="U352" t="s">
        <v>6985</v>
      </c>
      <c r="V352" t="s">
        <v>6986</v>
      </c>
      <c r="W352" t="s">
        <v>6987</v>
      </c>
      <c r="X352" t="s">
        <v>6988</v>
      </c>
      <c r="Y352" t="s">
        <v>6989</v>
      </c>
      <c r="Z352" t="s">
        <v>6990</v>
      </c>
      <c r="AA352" t="s">
        <v>6991</v>
      </c>
      <c r="AB352" t="s">
        <v>6992</v>
      </c>
      <c r="AC352" t="s">
        <v>6993</v>
      </c>
      <c r="AD352" t="s">
        <v>6993</v>
      </c>
      <c r="AE352" t="s">
        <v>6993</v>
      </c>
      <c r="AF352" t="s">
        <v>74</v>
      </c>
      <c r="AG352">
        <v>33</v>
      </c>
      <c r="AH352">
        <v>0</v>
      </c>
      <c r="AI352">
        <v>0</v>
      </c>
      <c r="AJ352">
        <v>1</v>
      </c>
      <c r="AK352">
        <v>1</v>
      </c>
      <c r="AL352" t="s">
        <v>426</v>
      </c>
      <c r="AM352" t="s">
        <v>427</v>
      </c>
      <c r="AN352" t="s">
        <v>428</v>
      </c>
      <c r="AO352" t="s">
        <v>6994</v>
      </c>
      <c r="AP352" t="s">
        <v>74</v>
      </c>
      <c r="AQ352" t="s">
        <v>74</v>
      </c>
      <c r="AR352" t="s">
        <v>6983</v>
      </c>
      <c r="AS352" t="s">
        <v>6995</v>
      </c>
      <c r="AT352" t="s">
        <v>6824</v>
      </c>
      <c r="AU352">
        <v>2023</v>
      </c>
      <c r="AV352" t="s">
        <v>74</v>
      </c>
      <c r="AW352" t="s">
        <v>74</v>
      </c>
      <c r="AX352" t="s">
        <v>74</v>
      </c>
      <c r="AY352" t="s">
        <v>74</v>
      </c>
      <c r="AZ352" t="s">
        <v>74</v>
      </c>
      <c r="BA352" t="s">
        <v>74</v>
      </c>
      <c r="BB352" t="s">
        <v>74</v>
      </c>
      <c r="BC352" t="s">
        <v>74</v>
      </c>
      <c r="BD352" t="s">
        <v>74</v>
      </c>
      <c r="BE352" t="s">
        <v>6996</v>
      </c>
      <c r="BF352" t="str">
        <f>HYPERLINK("http://dx.doi.org/10.1002/celc.202300286","http://dx.doi.org/10.1002/celc.202300286")</f>
        <v>http://dx.doi.org/10.1002/celc.202300286</v>
      </c>
      <c r="BG352" t="s">
        <v>74</v>
      </c>
      <c r="BH352" t="s">
        <v>407</v>
      </c>
      <c r="BI352">
        <v>8</v>
      </c>
      <c r="BJ352" t="s">
        <v>6997</v>
      </c>
      <c r="BK352" t="s">
        <v>119</v>
      </c>
      <c r="BL352" t="s">
        <v>6997</v>
      </c>
      <c r="BM352" t="s">
        <v>6998</v>
      </c>
      <c r="BN352" t="s">
        <v>74</v>
      </c>
      <c r="BO352" t="s">
        <v>234</v>
      </c>
      <c r="BP352" t="s">
        <v>74</v>
      </c>
      <c r="BQ352" t="s">
        <v>74</v>
      </c>
      <c r="BR352" t="s">
        <v>99</v>
      </c>
      <c r="BS352" t="s">
        <v>6999</v>
      </c>
      <c r="BT352" t="str">
        <f>HYPERLINK("https%3A%2F%2Fwww.webofscience.com%2Fwos%2Fwoscc%2Ffull-record%2FWOS:001055946100001","View Full Record in Web of Science")</f>
        <v>View Full Record in Web of Science</v>
      </c>
    </row>
    <row r="353" spans="1:72" x14ac:dyDescent="0.15">
      <c r="A353" t="s">
        <v>72</v>
      </c>
      <c r="B353" t="s">
        <v>7000</v>
      </c>
      <c r="C353" t="s">
        <v>74</v>
      </c>
      <c r="D353" t="s">
        <v>74</v>
      </c>
      <c r="E353" t="s">
        <v>74</v>
      </c>
      <c r="F353" t="s">
        <v>7001</v>
      </c>
      <c r="G353" t="s">
        <v>74</v>
      </c>
      <c r="H353" t="s">
        <v>74</v>
      </c>
      <c r="I353" t="s">
        <v>7002</v>
      </c>
      <c r="J353" t="s">
        <v>6640</v>
      </c>
      <c r="K353" t="s">
        <v>74</v>
      </c>
      <c r="L353" t="s">
        <v>74</v>
      </c>
      <c r="M353" t="s">
        <v>78</v>
      </c>
      <c r="N353" t="s">
        <v>338</v>
      </c>
      <c r="O353" t="s">
        <v>74</v>
      </c>
      <c r="P353" t="s">
        <v>74</v>
      </c>
      <c r="Q353" t="s">
        <v>74</v>
      </c>
      <c r="R353" t="s">
        <v>74</v>
      </c>
      <c r="S353" t="s">
        <v>74</v>
      </c>
      <c r="T353" t="s">
        <v>7003</v>
      </c>
      <c r="U353" t="s">
        <v>7004</v>
      </c>
      <c r="V353" t="s">
        <v>7005</v>
      </c>
      <c r="W353" t="s">
        <v>7006</v>
      </c>
      <c r="X353" t="s">
        <v>7007</v>
      </c>
      <c r="Y353" t="s">
        <v>7008</v>
      </c>
      <c r="Z353" t="s">
        <v>7009</v>
      </c>
      <c r="AA353" t="s">
        <v>7010</v>
      </c>
      <c r="AB353" t="s">
        <v>7011</v>
      </c>
      <c r="AC353" t="s">
        <v>7012</v>
      </c>
      <c r="AD353" t="s">
        <v>7013</v>
      </c>
      <c r="AE353" t="s">
        <v>7014</v>
      </c>
      <c r="AF353" t="s">
        <v>74</v>
      </c>
      <c r="AG353">
        <v>28</v>
      </c>
      <c r="AH353">
        <v>0</v>
      </c>
      <c r="AI353">
        <v>0</v>
      </c>
      <c r="AJ353">
        <v>0</v>
      </c>
      <c r="AK353">
        <v>0</v>
      </c>
      <c r="AL353" t="s">
        <v>87</v>
      </c>
      <c r="AM353" t="s">
        <v>88</v>
      </c>
      <c r="AN353" t="s">
        <v>1412</v>
      </c>
      <c r="AO353" t="s">
        <v>74</v>
      </c>
      <c r="AP353" t="s">
        <v>6649</v>
      </c>
      <c r="AQ353" t="s">
        <v>74</v>
      </c>
      <c r="AR353" t="s">
        <v>6650</v>
      </c>
      <c r="AS353" t="s">
        <v>6651</v>
      </c>
      <c r="AT353" t="s">
        <v>6824</v>
      </c>
      <c r="AU353">
        <v>2023</v>
      </c>
      <c r="AV353" t="s">
        <v>74</v>
      </c>
      <c r="AW353" t="s">
        <v>74</v>
      </c>
      <c r="AX353" t="s">
        <v>74</v>
      </c>
      <c r="AY353" t="s">
        <v>74</v>
      </c>
      <c r="AZ353" t="s">
        <v>74</v>
      </c>
      <c r="BA353" t="s">
        <v>74</v>
      </c>
      <c r="BB353" t="s">
        <v>74</v>
      </c>
      <c r="BC353" t="s">
        <v>74</v>
      </c>
      <c r="BD353" t="s">
        <v>74</v>
      </c>
      <c r="BE353" t="s">
        <v>7015</v>
      </c>
      <c r="BF353" t="str">
        <f>HYPERLINK("http://dx.doi.org/10.1002/vms3.1250","http://dx.doi.org/10.1002/vms3.1250")</f>
        <v>http://dx.doi.org/10.1002/vms3.1250</v>
      </c>
      <c r="BG353" t="s">
        <v>74</v>
      </c>
      <c r="BH353" t="s">
        <v>407</v>
      </c>
      <c r="BI353">
        <v>8</v>
      </c>
      <c r="BJ353" t="s">
        <v>354</v>
      </c>
      <c r="BK353" t="s">
        <v>119</v>
      </c>
      <c r="BL353" t="s">
        <v>354</v>
      </c>
      <c r="BM353" t="s">
        <v>7016</v>
      </c>
      <c r="BN353">
        <v>37655435</v>
      </c>
      <c r="BO353" t="s">
        <v>234</v>
      </c>
      <c r="BP353" t="s">
        <v>74</v>
      </c>
      <c r="BQ353" t="s">
        <v>74</v>
      </c>
      <c r="BR353" t="s">
        <v>99</v>
      </c>
      <c r="BS353" t="s">
        <v>7017</v>
      </c>
      <c r="BT353" t="str">
        <f>HYPERLINK("https%3A%2F%2Fwww.webofscience.com%2Fwos%2Fwoscc%2Ffull-record%2FWOS:001062575700001","View Full Record in Web of Science")</f>
        <v>View Full Record in Web of Science</v>
      </c>
    </row>
    <row r="354" spans="1:72" x14ac:dyDescent="0.15">
      <c r="A354" t="s">
        <v>72</v>
      </c>
      <c r="B354" t="s">
        <v>7018</v>
      </c>
      <c r="C354" t="s">
        <v>74</v>
      </c>
      <c r="D354" t="s">
        <v>74</v>
      </c>
      <c r="E354" t="s">
        <v>74</v>
      </c>
      <c r="F354" t="s">
        <v>7019</v>
      </c>
      <c r="G354" t="s">
        <v>74</v>
      </c>
      <c r="H354" t="s">
        <v>74</v>
      </c>
      <c r="I354" t="s">
        <v>7020</v>
      </c>
      <c r="J354" t="s">
        <v>7021</v>
      </c>
      <c r="K354" t="s">
        <v>74</v>
      </c>
      <c r="L354" t="s">
        <v>74</v>
      </c>
      <c r="M354" t="s">
        <v>78</v>
      </c>
      <c r="N354" t="s">
        <v>338</v>
      </c>
      <c r="O354" t="s">
        <v>74</v>
      </c>
      <c r="P354" t="s">
        <v>74</v>
      </c>
      <c r="Q354" t="s">
        <v>74</v>
      </c>
      <c r="R354" t="s">
        <v>74</v>
      </c>
      <c r="S354" t="s">
        <v>74</v>
      </c>
      <c r="T354" t="s">
        <v>7022</v>
      </c>
      <c r="U354" t="s">
        <v>7023</v>
      </c>
      <c r="V354" t="s">
        <v>7024</v>
      </c>
      <c r="W354" t="s">
        <v>7025</v>
      </c>
      <c r="X354" t="s">
        <v>7026</v>
      </c>
      <c r="Y354" t="s">
        <v>7027</v>
      </c>
      <c r="Z354" t="s">
        <v>7028</v>
      </c>
      <c r="AA354" t="s">
        <v>7029</v>
      </c>
      <c r="AB354" t="s">
        <v>7030</v>
      </c>
      <c r="AC354" t="s">
        <v>74</v>
      </c>
      <c r="AD354" t="s">
        <v>74</v>
      </c>
      <c r="AE354" t="s">
        <v>74</v>
      </c>
      <c r="AF354" t="s">
        <v>74</v>
      </c>
      <c r="AG354">
        <v>29</v>
      </c>
      <c r="AH354">
        <v>0</v>
      </c>
      <c r="AI354">
        <v>0</v>
      </c>
      <c r="AJ354">
        <v>0</v>
      </c>
      <c r="AK354">
        <v>0</v>
      </c>
      <c r="AL354" t="s">
        <v>87</v>
      </c>
      <c r="AM354" t="s">
        <v>88</v>
      </c>
      <c r="AN354" t="s">
        <v>89</v>
      </c>
      <c r="AO354" t="s">
        <v>7031</v>
      </c>
      <c r="AP354" t="s">
        <v>7032</v>
      </c>
      <c r="AQ354" t="s">
        <v>74</v>
      </c>
      <c r="AR354" t="s">
        <v>7033</v>
      </c>
      <c r="AS354" t="s">
        <v>7034</v>
      </c>
      <c r="AT354" t="s">
        <v>6824</v>
      </c>
      <c r="AU354">
        <v>2023</v>
      </c>
      <c r="AV354" t="s">
        <v>74</v>
      </c>
      <c r="AW354" t="s">
        <v>74</v>
      </c>
      <c r="AX354" t="s">
        <v>74</v>
      </c>
      <c r="AY354" t="s">
        <v>74</v>
      </c>
      <c r="AZ354" t="s">
        <v>74</v>
      </c>
      <c r="BA354" t="s">
        <v>74</v>
      </c>
      <c r="BB354" t="s">
        <v>74</v>
      </c>
      <c r="BC354" t="s">
        <v>74</v>
      </c>
      <c r="BD354" t="s">
        <v>74</v>
      </c>
      <c r="BE354" t="s">
        <v>7035</v>
      </c>
      <c r="BF354" t="str">
        <f>HYPERLINK("http://dx.doi.org/10.1002/cta.3786","http://dx.doi.org/10.1002/cta.3786")</f>
        <v>http://dx.doi.org/10.1002/cta.3786</v>
      </c>
      <c r="BG354" t="s">
        <v>74</v>
      </c>
      <c r="BH354" t="s">
        <v>407</v>
      </c>
      <c r="BI354">
        <v>23</v>
      </c>
      <c r="BJ354" t="s">
        <v>1249</v>
      </c>
      <c r="BK354" t="s">
        <v>119</v>
      </c>
      <c r="BL354" t="s">
        <v>1250</v>
      </c>
      <c r="BM354" t="s">
        <v>7036</v>
      </c>
      <c r="BN354" t="s">
        <v>74</v>
      </c>
      <c r="BO354" t="s">
        <v>74</v>
      </c>
      <c r="BP354" t="s">
        <v>74</v>
      </c>
      <c r="BQ354" t="s">
        <v>74</v>
      </c>
      <c r="BR354" t="s">
        <v>99</v>
      </c>
      <c r="BS354" t="s">
        <v>7037</v>
      </c>
      <c r="BT354" t="str">
        <f>HYPERLINK("https%3A%2F%2Fwww.webofscience.com%2Fwos%2Fwoscc%2Ffull-record%2FWOS:001056766700001","View Full Record in Web of Science")</f>
        <v>View Full Record in Web of Science</v>
      </c>
    </row>
    <row r="355" spans="1:72" x14ac:dyDescent="0.15">
      <c r="A355" t="s">
        <v>72</v>
      </c>
      <c r="B355" t="s">
        <v>7038</v>
      </c>
      <c r="C355" t="s">
        <v>74</v>
      </c>
      <c r="D355" t="s">
        <v>74</v>
      </c>
      <c r="E355" t="s">
        <v>74</v>
      </c>
      <c r="F355" t="s">
        <v>7039</v>
      </c>
      <c r="G355" t="s">
        <v>74</v>
      </c>
      <c r="H355" t="s">
        <v>74</v>
      </c>
      <c r="I355" t="s">
        <v>7040</v>
      </c>
      <c r="J355" t="s">
        <v>7041</v>
      </c>
      <c r="K355" t="s">
        <v>74</v>
      </c>
      <c r="L355" t="s">
        <v>74</v>
      </c>
      <c r="M355" t="s">
        <v>78</v>
      </c>
      <c r="N355" t="s">
        <v>338</v>
      </c>
      <c r="O355" t="s">
        <v>74</v>
      </c>
      <c r="P355" t="s">
        <v>74</v>
      </c>
      <c r="Q355" t="s">
        <v>74</v>
      </c>
      <c r="R355" t="s">
        <v>74</v>
      </c>
      <c r="S355" t="s">
        <v>74</v>
      </c>
      <c r="T355" t="s">
        <v>74</v>
      </c>
      <c r="U355" t="s">
        <v>7042</v>
      </c>
      <c r="V355" t="s">
        <v>7043</v>
      </c>
      <c r="W355" t="s">
        <v>7044</v>
      </c>
      <c r="X355" t="s">
        <v>7045</v>
      </c>
      <c r="Y355" t="s">
        <v>7046</v>
      </c>
      <c r="Z355" t="s">
        <v>7047</v>
      </c>
      <c r="AA355" t="s">
        <v>74</v>
      </c>
      <c r="AB355" t="s">
        <v>74</v>
      </c>
      <c r="AC355" t="s">
        <v>7048</v>
      </c>
      <c r="AD355" t="s">
        <v>7049</v>
      </c>
      <c r="AE355" t="s">
        <v>7050</v>
      </c>
      <c r="AF355" t="s">
        <v>74</v>
      </c>
      <c r="AG355">
        <v>41</v>
      </c>
      <c r="AH355">
        <v>0</v>
      </c>
      <c r="AI355">
        <v>0</v>
      </c>
      <c r="AJ355">
        <v>6</v>
      </c>
      <c r="AK355">
        <v>6</v>
      </c>
      <c r="AL355" t="s">
        <v>87</v>
      </c>
      <c r="AM355" t="s">
        <v>88</v>
      </c>
      <c r="AN355" t="s">
        <v>89</v>
      </c>
      <c r="AO355" t="s">
        <v>7051</v>
      </c>
      <c r="AP355" t="s">
        <v>74</v>
      </c>
      <c r="AQ355" t="s">
        <v>74</v>
      </c>
      <c r="AR355" t="s">
        <v>7052</v>
      </c>
      <c r="AS355" t="s">
        <v>7053</v>
      </c>
      <c r="AT355" t="s">
        <v>6824</v>
      </c>
      <c r="AU355">
        <v>2023</v>
      </c>
      <c r="AV355" t="s">
        <v>74</v>
      </c>
      <c r="AW355" t="s">
        <v>74</v>
      </c>
      <c r="AX355" t="s">
        <v>74</v>
      </c>
      <c r="AY355" t="s">
        <v>74</v>
      </c>
      <c r="AZ355" t="s">
        <v>74</v>
      </c>
      <c r="BA355" t="s">
        <v>74</v>
      </c>
      <c r="BB355" t="s">
        <v>74</v>
      </c>
      <c r="BC355" t="s">
        <v>74</v>
      </c>
      <c r="BD355" t="s">
        <v>74</v>
      </c>
      <c r="BE355" t="s">
        <v>7054</v>
      </c>
      <c r="BF355" t="str">
        <f>HYPERLINK("http://dx.doi.org/10.1049/hve2.12369","http://dx.doi.org/10.1049/hve2.12369")</f>
        <v>http://dx.doi.org/10.1049/hve2.12369</v>
      </c>
      <c r="BG355" t="s">
        <v>74</v>
      </c>
      <c r="BH355" t="s">
        <v>407</v>
      </c>
      <c r="BI355">
        <v>12</v>
      </c>
      <c r="BJ355" t="s">
        <v>1249</v>
      </c>
      <c r="BK355" t="s">
        <v>119</v>
      </c>
      <c r="BL355" t="s">
        <v>1250</v>
      </c>
      <c r="BM355" t="s">
        <v>7055</v>
      </c>
      <c r="BN355" t="s">
        <v>74</v>
      </c>
      <c r="BO355" t="s">
        <v>234</v>
      </c>
      <c r="BP355" t="s">
        <v>74</v>
      </c>
      <c r="BQ355" t="s">
        <v>74</v>
      </c>
      <c r="BR355" t="s">
        <v>99</v>
      </c>
      <c r="BS355" t="s">
        <v>7056</v>
      </c>
      <c r="BT355" t="str">
        <f>HYPERLINK("https%3A%2F%2Fwww.webofscience.com%2Fwos%2Fwoscc%2Ffull-record%2FWOS:001055697700001","View Full Record in Web of Science")</f>
        <v>View Full Record in Web of Science</v>
      </c>
    </row>
    <row r="356" spans="1:72" x14ac:dyDescent="0.15">
      <c r="A356" t="s">
        <v>72</v>
      </c>
      <c r="B356" t="s">
        <v>7057</v>
      </c>
      <c r="C356" t="s">
        <v>74</v>
      </c>
      <c r="D356" t="s">
        <v>74</v>
      </c>
      <c r="E356" t="s">
        <v>74</v>
      </c>
      <c r="F356" t="s">
        <v>7058</v>
      </c>
      <c r="G356" t="s">
        <v>74</v>
      </c>
      <c r="H356" t="s">
        <v>74</v>
      </c>
      <c r="I356" t="s">
        <v>7059</v>
      </c>
      <c r="J356" t="s">
        <v>2251</v>
      </c>
      <c r="K356" t="s">
        <v>74</v>
      </c>
      <c r="L356" t="s">
        <v>74</v>
      </c>
      <c r="M356" t="s">
        <v>78</v>
      </c>
      <c r="N356" t="s">
        <v>79</v>
      </c>
      <c r="O356" t="s">
        <v>74</v>
      </c>
      <c r="P356" t="s">
        <v>74</v>
      </c>
      <c r="Q356" t="s">
        <v>74</v>
      </c>
      <c r="R356" t="s">
        <v>74</v>
      </c>
      <c r="S356" t="s">
        <v>74</v>
      </c>
      <c r="T356" t="s">
        <v>7060</v>
      </c>
      <c r="U356" t="s">
        <v>7061</v>
      </c>
      <c r="V356" t="s">
        <v>7062</v>
      </c>
      <c r="W356" t="s">
        <v>7063</v>
      </c>
      <c r="X356" t="s">
        <v>7064</v>
      </c>
      <c r="Y356" t="s">
        <v>7065</v>
      </c>
      <c r="Z356" t="s">
        <v>7066</v>
      </c>
      <c r="AA356" t="s">
        <v>7067</v>
      </c>
      <c r="AB356" t="s">
        <v>7068</v>
      </c>
      <c r="AC356" t="s">
        <v>7069</v>
      </c>
      <c r="AD356" t="s">
        <v>7069</v>
      </c>
      <c r="AE356" t="s">
        <v>7070</v>
      </c>
      <c r="AF356" t="s">
        <v>74</v>
      </c>
      <c r="AG356">
        <v>51</v>
      </c>
      <c r="AH356">
        <v>0</v>
      </c>
      <c r="AI356">
        <v>0</v>
      </c>
      <c r="AJ356">
        <v>2</v>
      </c>
      <c r="AK356">
        <v>2</v>
      </c>
      <c r="AL356" t="s">
        <v>87</v>
      </c>
      <c r="AM356" t="s">
        <v>88</v>
      </c>
      <c r="AN356" t="s">
        <v>89</v>
      </c>
      <c r="AO356" t="s">
        <v>2263</v>
      </c>
      <c r="AP356" t="s">
        <v>2264</v>
      </c>
      <c r="AQ356" t="s">
        <v>74</v>
      </c>
      <c r="AR356" t="s">
        <v>2265</v>
      </c>
      <c r="AS356" t="s">
        <v>2266</v>
      </c>
      <c r="AT356" t="s">
        <v>6725</v>
      </c>
      <c r="AU356">
        <v>2023</v>
      </c>
      <c r="AV356">
        <v>36</v>
      </c>
      <c r="AW356">
        <v>9</v>
      </c>
      <c r="AX356" t="s">
        <v>74</v>
      </c>
      <c r="AY356" t="s">
        <v>74</v>
      </c>
      <c r="AZ356" t="s">
        <v>74</v>
      </c>
      <c r="BA356" t="s">
        <v>74</v>
      </c>
      <c r="BB356">
        <v>1282</v>
      </c>
      <c r="BC356">
        <v>1294</v>
      </c>
      <c r="BD356" t="s">
        <v>74</v>
      </c>
      <c r="BE356" t="s">
        <v>7071</v>
      </c>
      <c r="BF356" t="str">
        <f>HYPERLINK("http://dx.doi.org/10.1111/jeb.14204","http://dx.doi.org/10.1111/jeb.14204")</f>
        <v>http://dx.doi.org/10.1111/jeb.14204</v>
      </c>
      <c r="BG356" t="s">
        <v>74</v>
      </c>
      <c r="BH356" t="s">
        <v>74</v>
      </c>
      <c r="BI356">
        <v>13</v>
      </c>
      <c r="BJ356" t="s">
        <v>2268</v>
      </c>
      <c r="BK356" t="s">
        <v>119</v>
      </c>
      <c r="BL356" t="s">
        <v>2269</v>
      </c>
      <c r="BM356" t="s">
        <v>7072</v>
      </c>
      <c r="BN356">
        <v>37551039</v>
      </c>
      <c r="BO356" t="s">
        <v>7073</v>
      </c>
      <c r="BP356" t="s">
        <v>74</v>
      </c>
      <c r="BQ356" t="s">
        <v>74</v>
      </c>
      <c r="BR356" t="s">
        <v>99</v>
      </c>
      <c r="BS356" t="s">
        <v>7074</v>
      </c>
      <c r="BT356" t="str">
        <f>HYPERLINK("https%3A%2F%2Fwww.webofscience.com%2Fwos%2Fwoscc%2Ffull-record%2FWOS:001061424300006","View Full Record in Web of Science")</f>
        <v>View Full Record in Web of Science</v>
      </c>
    </row>
    <row r="357" spans="1:72" x14ac:dyDescent="0.15">
      <c r="A357" t="s">
        <v>72</v>
      </c>
      <c r="B357" t="s">
        <v>7075</v>
      </c>
      <c r="C357" t="s">
        <v>74</v>
      </c>
      <c r="D357" t="s">
        <v>74</v>
      </c>
      <c r="E357" t="s">
        <v>74</v>
      </c>
      <c r="F357" t="s">
        <v>7076</v>
      </c>
      <c r="G357" t="s">
        <v>74</v>
      </c>
      <c r="H357" t="s">
        <v>74</v>
      </c>
      <c r="I357" t="s">
        <v>7077</v>
      </c>
      <c r="J357" t="s">
        <v>7078</v>
      </c>
      <c r="K357" t="s">
        <v>74</v>
      </c>
      <c r="L357" t="s">
        <v>74</v>
      </c>
      <c r="M357" t="s">
        <v>78</v>
      </c>
      <c r="N357" t="s">
        <v>79</v>
      </c>
      <c r="O357" t="s">
        <v>74</v>
      </c>
      <c r="P357" t="s">
        <v>74</v>
      </c>
      <c r="Q357" t="s">
        <v>74</v>
      </c>
      <c r="R357" t="s">
        <v>74</v>
      </c>
      <c r="S357" t="s">
        <v>74</v>
      </c>
      <c r="T357" t="s">
        <v>7079</v>
      </c>
      <c r="U357" t="s">
        <v>7080</v>
      </c>
      <c r="V357" t="s">
        <v>7081</v>
      </c>
      <c r="W357" t="s">
        <v>7082</v>
      </c>
      <c r="X357" t="s">
        <v>7083</v>
      </c>
      <c r="Y357" t="s">
        <v>7084</v>
      </c>
      <c r="Z357" t="s">
        <v>7085</v>
      </c>
      <c r="AA357" t="s">
        <v>7086</v>
      </c>
      <c r="AB357" t="s">
        <v>7087</v>
      </c>
      <c r="AC357" t="s">
        <v>74</v>
      </c>
      <c r="AD357" t="s">
        <v>74</v>
      </c>
      <c r="AE357" t="s">
        <v>74</v>
      </c>
      <c r="AF357" t="s">
        <v>74</v>
      </c>
      <c r="AG357">
        <v>44</v>
      </c>
      <c r="AH357">
        <v>0</v>
      </c>
      <c r="AI357">
        <v>0</v>
      </c>
      <c r="AJ357">
        <v>0</v>
      </c>
      <c r="AK357">
        <v>0</v>
      </c>
      <c r="AL357" t="s">
        <v>87</v>
      </c>
      <c r="AM357" t="s">
        <v>88</v>
      </c>
      <c r="AN357" t="s">
        <v>1412</v>
      </c>
      <c r="AO357" t="s">
        <v>7088</v>
      </c>
      <c r="AP357" t="s">
        <v>7089</v>
      </c>
      <c r="AQ357" t="s">
        <v>74</v>
      </c>
      <c r="AR357" t="s">
        <v>7090</v>
      </c>
      <c r="AS357" t="s">
        <v>7091</v>
      </c>
      <c r="AT357" t="s">
        <v>6725</v>
      </c>
      <c r="AU357">
        <v>2023</v>
      </c>
      <c r="AV357">
        <v>52</v>
      </c>
      <c r="AW357">
        <v>6</v>
      </c>
      <c r="AX357" t="s">
        <v>74</v>
      </c>
      <c r="AY357" t="s">
        <v>74</v>
      </c>
      <c r="AZ357" t="s">
        <v>74</v>
      </c>
      <c r="BA357" t="s">
        <v>74</v>
      </c>
      <c r="BB357">
        <v>4137</v>
      </c>
      <c r="BC357">
        <v>4157</v>
      </c>
      <c r="BD357" t="s">
        <v>74</v>
      </c>
      <c r="BE357" t="s">
        <v>7092</v>
      </c>
      <c r="BF357" t="str">
        <f>HYPERLINK("http://dx.doi.org/10.1002/htj.22872","http://dx.doi.org/10.1002/htj.22872")</f>
        <v>http://dx.doi.org/10.1002/htj.22872</v>
      </c>
      <c r="BG357" t="s">
        <v>74</v>
      </c>
      <c r="BH357" t="s">
        <v>74</v>
      </c>
      <c r="BI357">
        <v>21</v>
      </c>
      <c r="BJ357" t="s">
        <v>7093</v>
      </c>
      <c r="BK357" t="s">
        <v>96</v>
      </c>
      <c r="BL357" t="s">
        <v>7093</v>
      </c>
      <c r="BM357" t="s">
        <v>7094</v>
      </c>
      <c r="BN357" t="s">
        <v>74</v>
      </c>
      <c r="BO357" t="s">
        <v>74</v>
      </c>
      <c r="BP357" t="s">
        <v>74</v>
      </c>
      <c r="BQ357" t="s">
        <v>74</v>
      </c>
      <c r="BR357" t="s">
        <v>99</v>
      </c>
      <c r="BS357" t="s">
        <v>7095</v>
      </c>
      <c r="BT357" t="str">
        <f>HYPERLINK("https%3A%2F%2Fwww.webofscience.com%2Fwos%2Fwoscc%2Ffull-record%2FWOS:001037741000013","View Full Record in Web of Science")</f>
        <v>View Full Record in Web of Science</v>
      </c>
    </row>
    <row r="358" spans="1:72" x14ac:dyDescent="0.15">
      <c r="A358" t="s">
        <v>72</v>
      </c>
      <c r="B358" t="s">
        <v>7096</v>
      </c>
      <c r="C358" t="s">
        <v>74</v>
      </c>
      <c r="D358" t="s">
        <v>74</v>
      </c>
      <c r="E358" t="s">
        <v>74</v>
      </c>
      <c r="F358" t="s">
        <v>7097</v>
      </c>
      <c r="G358" t="s">
        <v>74</v>
      </c>
      <c r="H358" t="s">
        <v>74</v>
      </c>
      <c r="I358" t="s">
        <v>7098</v>
      </c>
      <c r="J358" t="s">
        <v>7099</v>
      </c>
      <c r="K358" t="s">
        <v>74</v>
      </c>
      <c r="L358" t="s">
        <v>74</v>
      </c>
      <c r="M358" t="s">
        <v>78</v>
      </c>
      <c r="N358" t="s">
        <v>307</v>
      </c>
      <c r="O358" t="s">
        <v>74</v>
      </c>
      <c r="P358" t="s">
        <v>74</v>
      </c>
      <c r="Q358" t="s">
        <v>74</v>
      </c>
      <c r="R358" t="s">
        <v>74</v>
      </c>
      <c r="S358" t="s">
        <v>74</v>
      </c>
      <c r="T358" t="s">
        <v>74</v>
      </c>
      <c r="U358" t="s">
        <v>74</v>
      </c>
      <c r="V358" t="s">
        <v>74</v>
      </c>
      <c r="W358" t="s">
        <v>7100</v>
      </c>
      <c r="X358" t="s">
        <v>7101</v>
      </c>
      <c r="Y358" t="s">
        <v>7102</v>
      </c>
      <c r="Z358" t="s">
        <v>7103</v>
      </c>
      <c r="AA358" t="s">
        <v>74</v>
      </c>
      <c r="AB358" t="s">
        <v>74</v>
      </c>
      <c r="AC358" t="s">
        <v>74</v>
      </c>
      <c r="AD358" t="s">
        <v>74</v>
      </c>
      <c r="AE358" t="s">
        <v>74</v>
      </c>
      <c r="AF358" t="s">
        <v>74</v>
      </c>
      <c r="AG358">
        <v>20</v>
      </c>
      <c r="AH358">
        <v>1</v>
      </c>
      <c r="AI358">
        <v>1</v>
      </c>
      <c r="AJ358">
        <v>0</v>
      </c>
      <c r="AK358">
        <v>0</v>
      </c>
      <c r="AL358" t="s">
        <v>87</v>
      </c>
      <c r="AM358" t="s">
        <v>88</v>
      </c>
      <c r="AN358" t="s">
        <v>89</v>
      </c>
      <c r="AO358" t="s">
        <v>7104</v>
      </c>
      <c r="AP358" t="s">
        <v>7105</v>
      </c>
      <c r="AQ358" t="s">
        <v>74</v>
      </c>
      <c r="AR358" t="s">
        <v>7106</v>
      </c>
      <c r="AS358" t="s">
        <v>7107</v>
      </c>
      <c r="AT358" t="s">
        <v>6725</v>
      </c>
      <c r="AU358">
        <v>2023</v>
      </c>
      <c r="AV358">
        <v>54</v>
      </c>
      <c r="AW358">
        <v>3</v>
      </c>
      <c r="AX358" t="s">
        <v>74</v>
      </c>
      <c r="AY358" t="s">
        <v>74</v>
      </c>
      <c r="AZ358" t="s">
        <v>74</v>
      </c>
      <c r="BA358" t="s">
        <v>74</v>
      </c>
      <c r="BB358">
        <v>207</v>
      </c>
      <c r="BC358">
        <v>225</v>
      </c>
      <c r="BD358" t="s">
        <v>74</v>
      </c>
      <c r="BE358" t="s">
        <v>7108</v>
      </c>
      <c r="BF358" t="str">
        <f>HYPERLINK("http://dx.doi.org/10.1111/aeq.12473","http://dx.doi.org/10.1111/aeq.12473")</f>
        <v>http://dx.doi.org/10.1111/aeq.12473</v>
      </c>
      <c r="BG358" t="s">
        <v>74</v>
      </c>
      <c r="BH358" t="s">
        <v>74</v>
      </c>
      <c r="BI358">
        <v>19</v>
      </c>
      <c r="BJ358" t="s">
        <v>7109</v>
      </c>
      <c r="BK358" t="s">
        <v>546</v>
      </c>
      <c r="BL358" t="s">
        <v>7109</v>
      </c>
      <c r="BM358" t="s">
        <v>7110</v>
      </c>
      <c r="BN358" t="s">
        <v>74</v>
      </c>
      <c r="BO358" t="s">
        <v>122</v>
      </c>
      <c r="BP358" t="s">
        <v>74</v>
      </c>
      <c r="BQ358" t="s">
        <v>74</v>
      </c>
      <c r="BR358" t="s">
        <v>99</v>
      </c>
      <c r="BS358" t="s">
        <v>7111</v>
      </c>
      <c r="BT358" t="str">
        <f>HYPERLINK("https%3A%2F%2Fwww.webofscience.com%2Fwos%2Fwoscc%2Ffull-record%2FWOS:001059121800002","View Full Record in Web of Science")</f>
        <v>View Full Record in Web of Science</v>
      </c>
    </row>
    <row r="359" spans="1:72" x14ac:dyDescent="0.15">
      <c r="A359" t="s">
        <v>72</v>
      </c>
      <c r="B359" t="s">
        <v>7112</v>
      </c>
      <c r="C359" t="s">
        <v>74</v>
      </c>
      <c r="D359" t="s">
        <v>74</v>
      </c>
      <c r="E359" t="s">
        <v>74</v>
      </c>
      <c r="F359" t="s">
        <v>7113</v>
      </c>
      <c r="G359" t="s">
        <v>74</v>
      </c>
      <c r="H359" t="s">
        <v>74</v>
      </c>
      <c r="I359" t="s">
        <v>7114</v>
      </c>
      <c r="J359" t="s">
        <v>1587</v>
      </c>
      <c r="K359" t="s">
        <v>74</v>
      </c>
      <c r="L359" t="s">
        <v>74</v>
      </c>
      <c r="M359" t="s">
        <v>78</v>
      </c>
      <c r="N359" t="s">
        <v>307</v>
      </c>
      <c r="O359" t="s">
        <v>74</v>
      </c>
      <c r="P359" t="s">
        <v>74</v>
      </c>
      <c r="Q359" t="s">
        <v>74</v>
      </c>
      <c r="R359" t="s">
        <v>74</v>
      </c>
      <c r="S359" t="s">
        <v>74</v>
      </c>
      <c r="T359" t="s">
        <v>74</v>
      </c>
      <c r="U359" t="s">
        <v>7115</v>
      </c>
      <c r="V359" t="s">
        <v>74</v>
      </c>
      <c r="W359" t="s">
        <v>7116</v>
      </c>
      <c r="X359" t="s">
        <v>7117</v>
      </c>
      <c r="Y359" t="s">
        <v>7118</v>
      </c>
      <c r="Z359" t="s">
        <v>7119</v>
      </c>
      <c r="AA359" t="s">
        <v>74</v>
      </c>
      <c r="AB359" t="s">
        <v>7120</v>
      </c>
      <c r="AC359" t="s">
        <v>7121</v>
      </c>
      <c r="AD359" t="s">
        <v>7121</v>
      </c>
      <c r="AE359" t="s">
        <v>7122</v>
      </c>
      <c r="AF359" t="s">
        <v>74</v>
      </c>
      <c r="AG359">
        <v>27</v>
      </c>
      <c r="AH359">
        <v>0</v>
      </c>
      <c r="AI359">
        <v>0</v>
      </c>
      <c r="AJ359">
        <v>0</v>
      </c>
      <c r="AK359">
        <v>0</v>
      </c>
      <c r="AL359" t="s">
        <v>87</v>
      </c>
      <c r="AM359" t="s">
        <v>88</v>
      </c>
      <c r="AN359" t="s">
        <v>89</v>
      </c>
      <c r="AO359" t="s">
        <v>1599</v>
      </c>
      <c r="AP359" t="s">
        <v>1600</v>
      </c>
      <c r="AQ359" t="s">
        <v>74</v>
      </c>
      <c r="AR359" t="s">
        <v>1601</v>
      </c>
      <c r="AS359" t="s">
        <v>1602</v>
      </c>
      <c r="AT359" t="s">
        <v>6725</v>
      </c>
      <c r="AU359">
        <v>2023</v>
      </c>
      <c r="AV359">
        <v>26</v>
      </c>
      <c r="AW359">
        <v>9</v>
      </c>
      <c r="AX359" t="s">
        <v>74</v>
      </c>
      <c r="AY359" t="s">
        <v>74</v>
      </c>
      <c r="AZ359" t="s">
        <v>74</v>
      </c>
      <c r="BA359" t="s">
        <v>74</v>
      </c>
      <c r="BB359">
        <v>1656</v>
      </c>
      <c r="BC359">
        <v>1659</v>
      </c>
      <c r="BD359" t="s">
        <v>74</v>
      </c>
      <c r="BE359" t="s">
        <v>7123</v>
      </c>
      <c r="BF359" t="str">
        <f>HYPERLINK("http://dx.doi.org/10.1111/1756-185X.14793","http://dx.doi.org/10.1111/1756-185X.14793")</f>
        <v>http://dx.doi.org/10.1111/1756-185X.14793</v>
      </c>
      <c r="BG359" t="s">
        <v>74</v>
      </c>
      <c r="BH359" t="s">
        <v>74</v>
      </c>
      <c r="BI359">
        <v>4</v>
      </c>
      <c r="BJ359" t="s">
        <v>1604</v>
      </c>
      <c r="BK359" t="s">
        <v>119</v>
      </c>
      <c r="BL359" t="s">
        <v>1604</v>
      </c>
      <c r="BM359" t="s">
        <v>7124</v>
      </c>
      <c r="BN359">
        <v>37664958</v>
      </c>
      <c r="BO359" t="s">
        <v>301</v>
      </c>
      <c r="BP359" t="s">
        <v>74</v>
      </c>
      <c r="BQ359" t="s">
        <v>74</v>
      </c>
      <c r="BR359" t="s">
        <v>99</v>
      </c>
      <c r="BS359" t="s">
        <v>7125</v>
      </c>
      <c r="BT359" t="str">
        <f>HYPERLINK("https%3A%2F%2Fwww.webofscience.com%2Fwos%2Fwoscc%2Ffull-record%2FWOS:001063056800002","View Full Record in Web of Science")</f>
        <v>View Full Record in Web of Science</v>
      </c>
    </row>
    <row r="360" spans="1:72" x14ac:dyDescent="0.15">
      <c r="A360" t="s">
        <v>72</v>
      </c>
      <c r="B360" t="s">
        <v>7126</v>
      </c>
      <c r="C360" t="s">
        <v>74</v>
      </c>
      <c r="D360" t="s">
        <v>74</v>
      </c>
      <c r="E360" t="s">
        <v>74</v>
      </c>
      <c r="F360" t="s">
        <v>7127</v>
      </c>
      <c r="G360" t="s">
        <v>74</v>
      </c>
      <c r="H360" t="s">
        <v>74</v>
      </c>
      <c r="I360" t="s">
        <v>7128</v>
      </c>
      <c r="J360" t="s">
        <v>7129</v>
      </c>
      <c r="K360" t="s">
        <v>74</v>
      </c>
      <c r="L360" t="s">
        <v>74</v>
      </c>
      <c r="M360" t="s">
        <v>78</v>
      </c>
      <c r="N360" t="s">
        <v>338</v>
      </c>
      <c r="O360" t="s">
        <v>74</v>
      </c>
      <c r="P360" t="s">
        <v>74</v>
      </c>
      <c r="Q360" t="s">
        <v>74</v>
      </c>
      <c r="R360" t="s">
        <v>74</v>
      </c>
      <c r="S360" t="s">
        <v>74</v>
      </c>
      <c r="T360" t="s">
        <v>7130</v>
      </c>
      <c r="U360" t="s">
        <v>7131</v>
      </c>
      <c r="V360" t="s">
        <v>7132</v>
      </c>
      <c r="W360" t="s">
        <v>7133</v>
      </c>
      <c r="X360" t="s">
        <v>7134</v>
      </c>
      <c r="Y360" t="s">
        <v>7135</v>
      </c>
      <c r="Z360" t="s">
        <v>7136</v>
      </c>
      <c r="AA360" t="s">
        <v>74</v>
      </c>
      <c r="AB360" t="s">
        <v>74</v>
      </c>
      <c r="AC360" t="s">
        <v>7137</v>
      </c>
      <c r="AD360" t="s">
        <v>7138</v>
      </c>
      <c r="AE360" t="s">
        <v>7139</v>
      </c>
      <c r="AF360" t="s">
        <v>74</v>
      </c>
      <c r="AG360">
        <v>32</v>
      </c>
      <c r="AH360">
        <v>0</v>
      </c>
      <c r="AI360">
        <v>0</v>
      </c>
      <c r="AJ360">
        <v>3</v>
      </c>
      <c r="AK360">
        <v>3</v>
      </c>
      <c r="AL360" t="s">
        <v>87</v>
      </c>
      <c r="AM360" t="s">
        <v>88</v>
      </c>
      <c r="AN360" t="s">
        <v>89</v>
      </c>
      <c r="AO360" t="s">
        <v>7140</v>
      </c>
      <c r="AP360" t="s">
        <v>7141</v>
      </c>
      <c r="AQ360" t="s">
        <v>74</v>
      </c>
      <c r="AR360" t="s">
        <v>7142</v>
      </c>
      <c r="AS360" t="s">
        <v>7143</v>
      </c>
      <c r="AT360" t="s">
        <v>6824</v>
      </c>
      <c r="AU360">
        <v>2023</v>
      </c>
      <c r="AV360" t="s">
        <v>74</v>
      </c>
      <c r="AW360" t="s">
        <v>74</v>
      </c>
      <c r="AX360" t="s">
        <v>74</v>
      </c>
      <c r="AY360" t="s">
        <v>74</v>
      </c>
      <c r="AZ360" t="s">
        <v>74</v>
      </c>
      <c r="BA360" t="s">
        <v>74</v>
      </c>
      <c r="BB360" t="s">
        <v>74</v>
      </c>
      <c r="BC360" t="s">
        <v>74</v>
      </c>
      <c r="BD360" t="s">
        <v>74</v>
      </c>
      <c r="BE360" t="s">
        <v>7144</v>
      </c>
      <c r="BF360" t="str">
        <f>HYPERLINK("http://dx.doi.org/10.1002/rnc.6970","http://dx.doi.org/10.1002/rnc.6970")</f>
        <v>http://dx.doi.org/10.1002/rnc.6970</v>
      </c>
      <c r="BG360" t="s">
        <v>74</v>
      </c>
      <c r="BH360" t="s">
        <v>407</v>
      </c>
      <c r="BI360">
        <v>26</v>
      </c>
      <c r="BJ360" t="s">
        <v>7145</v>
      </c>
      <c r="BK360" t="s">
        <v>119</v>
      </c>
      <c r="BL360" t="s">
        <v>7146</v>
      </c>
      <c r="BM360" t="s">
        <v>7147</v>
      </c>
      <c r="BN360" t="s">
        <v>74</v>
      </c>
      <c r="BO360" t="s">
        <v>74</v>
      </c>
      <c r="BP360" t="s">
        <v>74</v>
      </c>
      <c r="BQ360" t="s">
        <v>74</v>
      </c>
      <c r="BR360" t="s">
        <v>99</v>
      </c>
      <c r="BS360" t="s">
        <v>7148</v>
      </c>
      <c r="BT360" t="str">
        <f>HYPERLINK("https%3A%2F%2Fwww.webofscience.com%2Fwos%2Fwoscc%2Ffull-record%2FWOS:001055624500001","View Full Record in Web of Science")</f>
        <v>View Full Record in Web of Science</v>
      </c>
    </row>
    <row r="361" spans="1:72" x14ac:dyDescent="0.15">
      <c r="A361" t="s">
        <v>72</v>
      </c>
      <c r="B361" t="s">
        <v>7149</v>
      </c>
      <c r="C361" t="s">
        <v>74</v>
      </c>
      <c r="D361" t="s">
        <v>74</v>
      </c>
      <c r="E361" t="s">
        <v>74</v>
      </c>
      <c r="F361" t="s">
        <v>7150</v>
      </c>
      <c r="G361" t="s">
        <v>74</v>
      </c>
      <c r="H361" t="s">
        <v>7151</v>
      </c>
      <c r="I361" t="s">
        <v>7152</v>
      </c>
      <c r="J361" t="s">
        <v>7153</v>
      </c>
      <c r="K361" t="s">
        <v>74</v>
      </c>
      <c r="L361" t="s">
        <v>74</v>
      </c>
      <c r="M361" t="s">
        <v>78</v>
      </c>
      <c r="N361" t="s">
        <v>79</v>
      </c>
      <c r="O361" t="s">
        <v>74</v>
      </c>
      <c r="P361" t="s">
        <v>74</v>
      </c>
      <c r="Q361" t="s">
        <v>74</v>
      </c>
      <c r="R361" t="s">
        <v>74</v>
      </c>
      <c r="S361" t="s">
        <v>74</v>
      </c>
      <c r="T361" t="s">
        <v>7154</v>
      </c>
      <c r="U361" t="s">
        <v>7155</v>
      </c>
      <c r="V361" t="s">
        <v>7156</v>
      </c>
      <c r="W361" t="s">
        <v>7157</v>
      </c>
      <c r="X361" t="s">
        <v>7158</v>
      </c>
      <c r="Y361" t="s">
        <v>7159</v>
      </c>
      <c r="Z361" t="s">
        <v>7160</v>
      </c>
      <c r="AA361" t="s">
        <v>74</v>
      </c>
      <c r="AB361" t="s">
        <v>7161</v>
      </c>
      <c r="AC361" t="s">
        <v>7162</v>
      </c>
      <c r="AD361" t="s">
        <v>7163</v>
      </c>
      <c r="AE361" t="s">
        <v>7162</v>
      </c>
      <c r="AF361" t="s">
        <v>74</v>
      </c>
      <c r="AG361">
        <v>68</v>
      </c>
      <c r="AH361">
        <v>0</v>
      </c>
      <c r="AI361">
        <v>0</v>
      </c>
      <c r="AJ361">
        <v>0</v>
      </c>
      <c r="AK361">
        <v>0</v>
      </c>
      <c r="AL361" t="s">
        <v>87</v>
      </c>
      <c r="AM361" t="s">
        <v>88</v>
      </c>
      <c r="AN361" t="s">
        <v>89</v>
      </c>
      <c r="AO361" t="s">
        <v>7164</v>
      </c>
      <c r="AP361" t="s">
        <v>7165</v>
      </c>
      <c r="AQ361" t="s">
        <v>74</v>
      </c>
      <c r="AR361" t="s">
        <v>7166</v>
      </c>
      <c r="AS361" t="s">
        <v>7167</v>
      </c>
      <c r="AT361" t="s">
        <v>6725</v>
      </c>
      <c r="AU361">
        <v>2023</v>
      </c>
      <c r="AV361">
        <v>38</v>
      </c>
      <c r="AW361">
        <v>9</v>
      </c>
      <c r="AX361" t="s">
        <v>74</v>
      </c>
      <c r="AY361" t="s">
        <v>74</v>
      </c>
      <c r="AZ361" t="s">
        <v>74</v>
      </c>
      <c r="BA361" t="s">
        <v>74</v>
      </c>
      <c r="BB361" t="s">
        <v>74</v>
      </c>
      <c r="BC361" t="s">
        <v>74</v>
      </c>
      <c r="BD361" t="s">
        <v>7168</v>
      </c>
      <c r="BE361" t="s">
        <v>7169</v>
      </c>
      <c r="BF361" t="str">
        <f>HYPERLINK("http://dx.doi.org/10.1002/gps.5993","http://dx.doi.org/10.1002/gps.5993")</f>
        <v>http://dx.doi.org/10.1002/gps.5993</v>
      </c>
      <c r="BG361" t="s">
        <v>74</v>
      </c>
      <c r="BH361" t="s">
        <v>74</v>
      </c>
      <c r="BI361">
        <v>10</v>
      </c>
      <c r="BJ361" t="s">
        <v>7170</v>
      </c>
      <c r="BK361" t="s">
        <v>409</v>
      </c>
      <c r="BL361" t="s">
        <v>1309</v>
      </c>
      <c r="BM361" t="s">
        <v>7171</v>
      </c>
      <c r="BN361">
        <v>37655505</v>
      </c>
      <c r="BO361" t="s">
        <v>74</v>
      </c>
      <c r="BP361" t="s">
        <v>74</v>
      </c>
      <c r="BQ361" t="s">
        <v>74</v>
      </c>
      <c r="BR361" t="s">
        <v>99</v>
      </c>
      <c r="BS361" t="s">
        <v>7172</v>
      </c>
      <c r="BT361" t="str">
        <f>HYPERLINK("https%3A%2F%2Fwww.webofscience.com%2Fwos%2Fwoscc%2Ffull-record%2FWOS:001059530400001","View Full Record in Web of Science")</f>
        <v>View Full Record in Web of Science</v>
      </c>
    </row>
    <row r="362" spans="1:72" x14ac:dyDescent="0.15">
      <c r="A362" t="s">
        <v>72</v>
      </c>
      <c r="B362" t="s">
        <v>7173</v>
      </c>
      <c r="C362" t="s">
        <v>74</v>
      </c>
      <c r="D362" t="s">
        <v>74</v>
      </c>
      <c r="E362" t="s">
        <v>74</v>
      </c>
      <c r="F362" t="s">
        <v>7174</v>
      </c>
      <c r="G362" t="s">
        <v>74</v>
      </c>
      <c r="H362" t="s">
        <v>74</v>
      </c>
      <c r="I362" t="s">
        <v>7175</v>
      </c>
      <c r="J362" t="s">
        <v>4340</v>
      </c>
      <c r="K362" t="s">
        <v>74</v>
      </c>
      <c r="L362" t="s">
        <v>74</v>
      </c>
      <c r="M362" t="s">
        <v>78</v>
      </c>
      <c r="N362" t="s">
        <v>1297</v>
      </c>
      <c r="O362" t="s">
        <v>74</v>
      </c>
      <c r="P362" t="s">
        <v>74</v>
      </c>
      <c r="Q362" t="s">
        <v>74</v>
      </c>
      <c r="R362" t="s">
        <v>74</v>
      </c>
      <c r="S362" t="s">
        <v>74</v>
      </c>
      <c r="T362" t="s">
        <v>74</v>
      </c>
      <c r="U362" t="s">
        <v>74</v>
      </c>
      <c r="V362" t="s">
        <v>74</v>
      </c>
      <c r="W362" t="s">
        <v>7176</v>
      </c>
      <c r="X362" t="s">
        <v>7177</v>
      </c>
      <c r="Y362" t="s">
        <v>7178</v>
      </c>
      <c r="Z362" t="s">
        <v>7179</v>
      </c>
      <c r="AA362" t="s">
        <v>74</v>
      </c>
      <c r="AB362" t="s">
        <v>74</v>
      </c>
      <c r="AC362" t="s">
        <v>7180</v>
      </c>
      <c r="AD362" t="s">
        <v>7181</v>
      </c>
      <c r="AE362" t="s">
        <v>7182</v>
      </c>
      <c r="AF362" t="s">
        <v>74</v>
      </c>
      <c r="AG362">
        <v>7</v>
      </c>
      <c r="AH362">
        <v>0</v>
      </c>
      <c r="AI362">
        <v>0</v>
      </c>
      <c r="AJ362">
        <v>0</v>
      </c>
      <c r="AK362">
        <v>0</v>
      </c>
      <c r="AL362" t="s">
        <v>87</v>
      </c>
      <c r="AM362" t="s">
        <v>88</v>
      </c>
      <c r="AN362" t="s">
        <v>89</v>
      </c>
      <c r="AO362" t="s">
        <v>4353</v>
      </c>
      <c r="AP362" t="s">
        <v>4354</v>
      </c>
      <c r="AQ362" t="s">
        <v>74</v>
      </c>
      <c r="AR362" t="s">
        <v>4355</v>
      </c>
      <c r="AS362" t="s">
        <v>4356</v>
      </c>
      <c r="AT362" t="s">
        <v>6824</v>
      </c>
      <c r="AU362">
        <v>2023</v>
      </c>
      <c r="AV362" t="s">
        <v>74</v>
      </c>
      <c r="AW362" t="s">
        <v>74</v>
      </c>
      <c r="AX362" t="s">
        <v>74</v>
      </c>
      <c r="AY362" t="s">
        <v>74</v>
      </c>
      <c r="AZ362" t="s">
        <v>74</v>
      </c>
      <c r="BA362" t="s">
        <v>74</v>
      </c>
      <c r="BB362" t="s">
        <v>74</v>
      </c>
      <c r="BC362" t="s">
        <v>74</v>
      </c>
      <c r="BD362" t="s">
        <v>74</v>
      </c>
      <c r="BE362" t="s">
        <v>7183</v>
      </c>
      <c r="BF362" t="str">
        <f>HYPERLINK("http://dx.doi.org/10.1002/ijc.34709","http://dx.doi.org/10.1002/ijc.34709")</f>
        <v>http://dx.doi.org/10.1002/ijc.34709</v>
      </c>
      <c r="BG362" t="s">
        <v>74</v>
      </c>
      <c r="BH362" t="s">
        <v>407</v>
      </c>
      <c r="BI362">
        <v>2</v>
      </c>
      <c r="BJ362" t="s">
        <v>789</v>
      </c>
      <c r="BK362" t="s">
        <v>119</v>
      </c>
      <c r="BL362" t="s">
        <v>789</v>
      </c>
      <c r="BM362" t="s">
        <v>7184</v>
      </c>
      <c r="BN362">
        <v>37655960</v>
      </c>
      <c r="BO362" t="s">
        <v>301</v>
      </c>
      <c r="BP362" t="s">
        <v>74</v>
      </c>
      <c r="BQ362" t="s">
        <v>74</v>
      </c>
      <c r="BR362" t="s">
        <v>99</v>
      </c>
      <c r="BS362" t="s">
        <v>7185</v>
      </c>
      <c r="BT362" t="str">
        <f>HYPERLINK("https%3A%2F%2Fwww.webofscience.com%2Fwos%2Fwoscc%2Ffull-record%2FWOS:001059709200001","View Full Record in Web of Science")</f>
        <v>View Full Record in Web of Science</v>
      </c>
    </row>
    <row r="363" spans="1:72" x14ac:dyDescent="0.15">
      <c r="A363" t="s">
        <v>72</v>
      </c>
      <c r="B363" t="s">
        <v>7186</v>
      </c>
      <c r="C363" t="s">
        <v>74</v>
      </c>
      <c r="D363" t="s">
        <v>74</v>
      </c>
      <c r="E363" t="s">
        <v>74</v>
      </c>
      <c r="F363" t="s">
        <v>7187</v>
      </c>
      <c r="G363" t="s">
        <v>74</v>
      </c>
      <c r="H363" t="s">
        <v>74</v>
      </c>
      <c r="I363" t="s">
        <v>7188</v>
      </c>
      <c r="J363" t="s">
        <v>7189</v>
      </c>
      <c r="K363" t="s">
        <v>74</v>
      </c>
      <c r="L363" t="s">
        <v>74</v>
      </c>
      <c r="M363" t="s">
        <v>78</v>
      </c>
      <c r="N363" t="s">
        <v>79</v>
      </c>
      <c r="O363" t="s">
        <v>74</v>
      </c>
      <c r="P363" t="s">
        <v>74</v>
      </c>
      <c r="Q363" t="s">
        <v>74</v>
      </c>
      <c r="R363" t="s">
        <v>74</v>
      </c>
      <c r="S363" t="s">
        <v>74</v>
      </c>
      <c r="T363" t="s">
        <v>7190</v>
      </c>
      <c r="U363" t="s">
        <v>7191</v>
      </c>
      <c r="V363" t="s">
        <v>7192</v>
      </c>
      <c r="W363" t="s">
        <v>7193</v>
      </c>
      <c r="X363" t="s">
        <v>7194</v>
      </c>
      <c r="Y363" t="s">
        <v>7195</v>
      </c>
      <c r="Z363" t="s">
        <v>7196</v>
      </c>
      <c r="AA363" t="s">
        <v>74</v>
      </c>
      <c r="AB363" t="s">
        <v>74</v>
      </c>
      <c r="AC363" t="s">
        <v>7197</v>
      </c>
      <c r="AD363" t="s">
        <v>7198</v>
      </c>
      <c r="AE363" t="s">
        <v>7199</v>
      </c>
      <c r="AF363" t="s">
        <v>74</v>
      </c>
      <c r="AG363">
        <v>54</v>
      </c>
      <c r="AH363">
        <v>0</v>
      </c>
      <c r="AI363">
        <v>0</v>
      </c>
      <c r="AJ363">
        <v>0</v>
      </c>
      <c r="AK363">
        <v>0</v>
      </c>
      <c r="AL363" t="s">
        <v>87</v>
      </c>
      <c r="AM363" t="s">
        <v>88</v>
      </c>
      <c r="AN363" t="s">
        <v>89</v>
      </c>
      <c r="AO363" t="s">
        <v>7200</v>
      </c>
      <c r="AP363" t="s">
        <v>7201</v>
      </c>
      <c r="AQ363" t="s">
        <v>74</v>
      </c>
      <c r="AR363" t="s">
        <v>7202</v>
      </c>
      <c r="AS363" t="s">
        <v>7203</v>
      </c>
      <c r="AT363" t="s">
        <v>6725</v>
      </c>
      <c r="AU363">
        <v>2023</v>
      </c>
      <c r="AV363">
        <v>37</v>
      </c>
      <c r="AW363">
        <v>9</v>
      </c>
      <c r="AX363" t="s">
        <v>74</v>
      </c>
      <c r="AY363" t="s">
        <v>74</v>
      </c>
      <c r="AZ363" t="s">
        <v>74</v>
      </c>
      <c r="BA363" t="s">
        <v>74</v>
      </c>
      <c r="BB363" t="s">
        <v>74</v>
      </c>
      <c r="BC363" t="s">
        <v>74</v>
      </c>
      <c r="BD363" t="s">
        <v>7204</v>
      </c>
      <c r="BE363" t="s">
        <v>7205</v>
      </c>
      <c r="BF363" t="str">
        <f>HYPERLINK("http://dx.doi.org/10.1002/hyp.14980","http://dx.doi.org/10.1002/hyp.14980")</f>
        <v>http://dx.doi.org/10.1002/hyp.14980</v>
      </c>
      <c r="BG363" t="s">
        <v>74</v>
      </c>
      <c r="BH363" t="s">
        <v>74</v>
      </c>
      <c r="BI363">
        <v>21</v>
      </c>
      <c r="BJ363" t="s">
        <v>7206</v>
      </c>
      <c r="BK363" t="s">
        <v>119</v>
      </c>
      <c r="BL363" t="s">
        <v>7206</v>
      </c>
      <c r="BM363" t="s">
        <v>7207</v>
      </c>
      <c r="BN363" t="s">
        <v>74</v>
      </c>
      <c r="BO363" t="s">
        <v>74</v>
      </c>
      <c r="BP363" t="s">
        <v>74</v>
      </c>
      <c r="BQ363" t="s">
        <v>74</v>
      </c>
      <c r="BR363" t="s">
        <v>99</v>
      </c>
      <c r="BS363" t="s">
        <v>7208</v>
      </c>
      <c r="BT363" t="str">
        <f>HYPERLINK("https%3A%2F%2Fwww.webofscience.com%2Fwos%2Fwoscc%2Ffull-record%2FWOS:001061379800001","View Full Record in Web of Science")</f>
        <v>View Full Record in Web of Science</v>
      </c>
    </row>
    <row r="364" spans="1:72" x14ac:dyDescent="0.15">
      <c r="A364" t="s">
        <v>72</v>
      </c>
      <c r="B364" t="s">
        <v>7209</v>
      </c>
      <c r="C364" t="s">
        <v>74</v>
      </c>
      <c r="D364" t="s">
        <v>74</v>
      </c>
      <c r="E364" t="s">
        <v>74</v>
      </c>
      <c r="F364" t="s">
        <v>7210</v>
      </c>
      <c r="G364" t="s">
        <v>74</v>
      </c>
      <c r="H364" t="s">
        <v>74</v>
      </c>
      <c r="I364" t="s">
        <v>7211</v>
      </c>
      <c r="J364" t="s">
        <v>6754</v>
      </c>
      <c r="K364" t="s">
        <v>74</v>
      </c>
      <c r="L364" t="s">
        <v>74</v>
      </c>
      <c r="M364" t="s">
        <v>78</v>
      </c>
      <c r="N364" t="s">
        <v>79</v>
      </c>
      <c r="O364" t="s">
        <v>74</v>
      </c>
      <c r="P364" t="s">
        <v>74</v>
      </c>
      <c r="Q364" t="s">
        <v>74</v>
      </c>
      <c r="R364" t="s">
        <v>74</v>
      </c>
      <c r="S364" t="s">
        <v>74</v>
      </c>
      <c r="T364" t="s">
        <v>7212</v>
      </c>
      <c r="U364" t="s">
        <v>7213</v>
      </c>
      <c r="V364" t="s">
        <v>7214</v>
      </c>
      <c r="W364" t="s">
        <v>7215</v>
      </c>
      <c r="X364" t="s">
        <v>7216</v>
      </c>
      <c r="Y364" t="s">
        <v>7217</v>
      </c>
      <c r="Z364" t="s">
        <v>7218</v>
      </c>
      <c r="AA364" t="s">
        <v>7219</v>
      </c>
      <c r="AB364" t="s">
        <v>7220</v>
      </c>
      <c r="AC364" t="s">
        <v>74</v>
      </c>
      <c r="AD364" t="s">
        <v>74</v>
      </c>
      <c r="AE364" t="s">
        <v>74</v>
      </c>
      <c r="AF364" t="s">
        <v>74</v>
      </c>
      <c r="AG364">
        <v>15</v>
      </c>
      <c r="AH364">
        <v>0</v>
      </c>
      <c r="AI364">
        <v>0</v>
      </c>
      <c r="AJ364">
        <v>0</v>
      </c>
      <c r="AK364">
        <v>0</v>
      </c>
      <c r="AL364" t="s">
        <v>87</v>
      </c>
      <c r="AM364" t="s">
        <v>88</v>
      </c>
      <c r="AN364" t="s">
        <v>89</v>
      </c>
      <c r="AO364" t="s">
        <v>6763</v>
      </c>
      <c r="AP364" t="s">
        <v>74</v>
      </c>
      <c r="AQ364" t="s">
        <v>74</v>
      </c>
      <c r="AR364" t="s">
        <v>6764</v>
      </c>
      <c r="AS364" t="s">
        <v>6765</v>
      </c>
      <c r="AT364" t="s">
        <v>6725</v>
      </c>
      <c r="AU364">
        <v>2023</v>
      </c>
      <c r="AV364">
        <v>11</v>
      </c>
      <c r="AW364">
        <v>9</v>
      </c>
      <c r="AX364" t="s">
        <v>74</v>
      </c>
      <c r="AY364" t="s">
        <v>74</v>
      </c>
      <c r="AZ364" t="s">
        <v>74</v>
      </c>
      <c r="BA364" t="s">
        <v>74</v>
      </c>
      <c r="BB364" t="s">
        <v>74</v>
      </c>
      <c r="BC364" t="s">
        <v>74</v>
      </c>
      <c r="BD364" t="s">
        <v>7221</v>
      </c>
      <c r="BE364" t="s">
        <v>7222</v>
      </c>
      <c r="BF364" t="str">
        <f>HYPERLINK("http://dx.doi.org/10.1002/ccr3.7876","http://dx.doi.org/10.1002/ccr3.7876")</f>
        <v>http://dx.doi.org/10.1002/ccr3.7876</v>
      </c>
      <c r="BG364" t="s">
        <v>74</v>
      </c>
      <c r="BH364" t="s">
        <v>74</v>
      </c>
      <c r="BI364">
        <v>5</v>
      </c>
      <c r="BJ364" t="s">
        <v>4689</v>
      </c>
      <c r="BK364" t="s">
        <v>96</v>
      </c>
      <c r="BL364" t="s">
        <v>4690</v>
      </c>
      <c r="BM364" t="s">
        <v>7223</v>
      </c>
      <c r="BN364">
        <v>37675412</v>
      </c>
      <c r="BO364" t="s">
        <v>234</v>
      </c>
      <c r="BP364" t="s">
        <v>74</v>
      </c>
      <c r="BQ364" t="s">
        <v>74</v>
      </c>
      <c r="BR364" t="s">
        <v>99</v>
      </c>
      <c r="BS364" t="s">
        <v>7224</v>
      </c>
      <c r="BT364" t="str">
        <f>HYPERLINK("https%3A%2F%2Fwww.webofscience.com%2Fwos%2Fwoscc%2Ffull-record%2FWOS:001061838400001","View Full Record in Web of Science")</f>
        <v>View Full Record in Web of Science</v>
      </c>
    </row>
    <row r="365" spans="1:72" x14ac:dyDescent="0.15">
      <c r="A365" t="s">
        <v>72</v>
      </c>
      <c r="B365" t="s">
        <v>7225</v>
      </c>
      <c r="C365" t="s">
        <v>74</v>
      </c>
      <c r="D365" t="s">
        <v>74</v>
      </c>
      <c r="E365" t="s">
        <v>74</v>
      </c>
      <c r="F365" t="s">
        <v>7226</v>
      </c>
      <c r="G365" t="s">
        <v>74</v>
      </c>
      <c r="H365" t="s">
        <v>74</v>
      </c>
      <c r="I365" t="s">
        <v>7227</v>
      </c>
      <c r="J365" t="s">
        <v>5957</v>
      </c>
      <c r="K365" t="s">
        <v>74</v>
      </c>
      <c r="L365" t="s">
        <v>74</v>
      </c>
      <c r="M365" t="s">
        <v>78</v>
      </c>
      <c r="N365" t="s">
        <v>338</v>
      </c>
      <c r="O365" t="s">
        <v>74</v>
      </c>
      <c r="P365" t="s">
        <v>74</v>
      </c>
      <c r="Q365" t="s">
        <v>74</v>
      </c>
      <c r="R365" t="s">
        <v>74</v>
      </c>
      <c r="S365" t="s">
        <v>74</v>
      </c>
      <c r="T365" t="s">
        <v>7228</v>
      </c>
      <c r="U365" t="s">
        <v>7229</v>
      </c>
      <c r="V365" t="s">
        <v>7230</v>
      </c>
      <c r="W365" t="s">
        <v>7231</v>
      </c>
      <c r="X365" t="s">
        <v>7232</v>
      </c>
      <c r="Y365" t="s">
        <v>7233</v>
      </c>
      <c r="Z365" t="s">
        <v>7234</v>
      </c>
      <c r="AA365" t="s">
        <v>74</v>
      </c>
      <c r="AB365" t="s">
        <v>7235</v>
      </c>
      <c r="AC365" t="s">
        <v>7236</v>
      </c>
      <c r="AD365" t="s">
        <v>7237</v>
      </c>
      <c r="AE365" t="s">
        <v>7238</v>
      </c>
      <c r="AF365" t="s">
        <v>74</v>
      </c>
      <c r="AG365">
        <v>85</v>
      </c>
      <c r="AH365">
        <v>0</v>
      </c>
      <c r="AI365">
        <v>0</v>
      </c>
      <c r="AJ365">
        <v>4</v>
      </c>
      <c r="AK365">
        <v>4</v>
      </c>
      <c r="AL365" t="s">
        <v>426</v>
      </c>
      <c r="AM365" t="s">
        <v>427</v>
      </c>
      <c r="AN365" t="s">
        <v>428</v>
      </c>
      <c r="AO365" t="s">
        <v>5967</v>
      </c>
      <c r="AP365" t="s">
        <v>5968</v>
      </c>
      <c r="AQ365" t="s">
        <v>74</v>
      </c>
      <c r="AR365" t="s">
        <v>5957</v>
      </c>
      <c r="AS365" t="s">
        <v>5969</v>
      </c>
      <c r="AT365" t="s">
        <v>6824</v>
      </c>
      <c r="AU365">
        <v>2023</v>
      </c>
      <c r="AV365" t="s">
        <v>74</v>
      </c>
      <c r="AW365" t="s">
        <v>74</v>
      </c>
      <c r="AX365" t="s">
        <v>74</v>
      </c>
      <c r="AY365" t="s">
        <v>74</v>
      </c>
      <c r="AZ365" t="s">
        <v>74</v>
      </c>
      <c r="BA365" t="s">
        <v>74</v>
      </c>
      <c r="BB365" t="s">
        <v>74</v>
      </c>
      <c r="BC365" t="s">
        <v>74</v>
      </c>
      <c r="BD365" t="s">
        <v>74</v>
      </c>
      <c r="BE365" t="s">
        <v>7239</v>
      </c>
      <c r="BF365" t="str">
        <f>HYPERLINK("http://dx.doi.org/10.1002/cctc.202300828","http://dx.doi.org/10.1002/cctc.202300828")</f>
        <v>http://dx.doi.org/10.1002/cctc.202300828</v>
      </c>
      <c r="BG365" t="s">
        <v>74</v>
      </c>
      <c r="BH365" t="s">
        <v>407</v>
      </c>
      <c r="BI365">
        <v>13</v>
      </c>
      <c r="BJ365" t="s">
        <v>5972</v>
      </c>
      <c r="BK365" t="s">
        <v>119</v>
      </c>
      <c r="BL365" t="s">
        <v>524</v>
      </c>
      <c r="BM365" t="s">
        <v>7240</v>
      </c>
      <c r="BN365" t="s">
        <v>74</v>
      </c>
      <c r="BO365" t="s">
        <v>74</v>
      </c>
      <c r="BP365" t="s">
        <v>74</v>
      </c>
      <c r="BQ365" t="s">
        <v>74</v>
      </c>
      <c r="BR365" t="s">
        <v>99</v>
      </c>
      <c r="BS365" t="s">
        <v>7241</v>
      </c>
      <c r="BT365" t="str">
        <f>HYPERLINK("https%3A%2F%2Fwww.webofscience.com%2Fwos%2Fwoscc%2Ffull-record%2FWOS:001055949300001","View Full Record in Web of Science")</f>
        <v>View Full Record in Web of Science</v>
      </c>
    </row>
    <row r="366" spans="1:72" x14ac:dyDescent="0.15">
      <c r="A366" t="s">
        <v>72</v>
      </c>
      <c r="B366" t="s">
        <v>7242</v>
      </c>
      <c r="C366" t="s">
        <v>74</v>
      </c>
      <c r="D366" t="s">
        <v>74</v>
      </c>
      <c r="E366" t="s">
        <v>74</v>
      </c>
      <c r="F366" t="s">
        <v>7243</v>
      </c>
      <c r="G366" t="s">
        <v>74</v>
      </c>
      <c r="H366" t="s">
        <v>74</v>
      </c>
      <c r="I366" t="s">
        <v>7244</v>
      </c>
      <c r="J366" t="s">
        <v>3936</v>
      </c>
      <c r="K366" t="s">
        <v>74</v>
      </c>
      <c r="L366" t="s">
        <v>74</v>
      </c>
      <c r="M366" t="s">
        <v>78</v>
      </c>
      <c r="N366" t="s">
        <v>338</v>
      </c>
      <c r="O366" t="s">
        <v>74</v>
      </c>
      <c r="P366" t="s">
        <v>74</v>
      </c>
      <c r="Q366" t="s">
        <v>74</v>
      </c>
      <c r="R366" t="s">
        <v>74</v>
      </c>
      <c r="S366" t="s">
        <v>74</v>
      </c>
      <c r="T366" t="s">
        <v>7245</v>
      </c>
      <c r="U366" t="s">
        <v>7246</v>
      </c>
      <c r="V366" t="s">
        <v>7247</v>
      </c>
      <c r="W366" t="s">
        <v>7248</v>
      </c>
      <c r="X366" t="s">
        <v>7249</v>
      </c>
      <c r="Y366" t="s">
        <v>7250</v>
      </c>
      <c r="Z366" t="s">
        <v>7251</v>
      </c>
      <c r="AA366" t="s">
        <v>74</v>
      </c>
      <c r="AB366" t="s">
        <v>7252</v>
      </c>
      <c r="AC366" t="s">
        <v>74</v>
      </c>
      <c r="AD366" t="s">
        <v>74</v>
      </c>
      <c r="AE366" t="s">
        <v>74</v>
      </c>
      <c r="AF366" t="s">
        <v>74</v>
      </c>
      <c r="AG366">
        <v>33</v>
      </c>
      <c r="AH366">
        <v>0</v>
      </c>
      <c r="AI366">
        <v>0</v>
      </c>
      <c r="AJ366">
        <v>2</v>
      </c>
      <c r="AK366">
        <v>2</v>
      </c>
      <c r="AL366" t="s">
        <v>87</v>
      </c>
      <c r="AM366" t="s">
        <v>88</v>
      </c>
      <c r="AN366" t="s">
        <v>89</v>
      </c>
      <c r="AO366" t="s">
        <v>3947</v>
      </c>
      <c r="AP366" t="s">
        <v>3948</v>
      </c>
      <c r="AQ366" t="s">
        <v>74</v>
      </c>
      <c r="AR366" t="s">
        <v>3949</v>
      </c>
      <c r="AS366" t="s">
        <v>3950</v>
      </c>
      <c r="AT366" t="s">
        <v>6824</v>
      </c>
      <c r="AU366">
        <v>2023</v>
      </c>
      <c r="AV366" t="s">
        <v>74</v>
      </c>
      <c r="AW366" t="s">
        <v>74</v>
      </c>
      <c r="AX366" t="s">
        <v>74</v>
      </c>
      <c r="AY366" t="s">
        <v>74</v>
      </c>
      <c r="AZ366" t="s">
        <v>74</v>
      </c>
      <c r="BA366" t="s">
        <v>74</v>
      </c>
      <c r="BB366" t="s">
        <v>74</v>
      </c>
      <c r="BC366" t="s">
        <v>74</v>
      </c>
      <c r="BD366" t="s">
        <v>74</v>
      </c>
      <c r="BE366" t="s">
        <v>7253</v>
      </c>
      <c r="BF366" t="str">
        <f>HYPERLINK("http://dx.doi.org/10.1002/pc.27700","http://dx.doi.org/10.1002/pc.27700")</f>
        <v>http://dx.doi.org/10.1002/pc.27700</v>
      </c>
      <c r="BG366" t="s">
        <v>74</v>
      </c>
      <c r="BH366" t="s">
        <v>407</v>
      </c>
      <c r="BI366">
        <v>9</v>
      </c>
      <c r="BJ366" t="s">
        <v>3952</v>
      </c>
      <c r="BK366" t="s">
        <v>119</v>
      </c>
      <c r="BL366" t="s">
        <v>3953</v>
      </c>
      <c r="BM366" t="s">
        <v>7254</v>
      </c>
      <c r="BN366" t="s">
        <v>74</v>
      </c>
      <c r="BO366" t="s">
        <v>74</v>
      </c>
      <c r="BP366" t="s">
        <v>74</v>
      </c>
      <c r="BQ366" t="s">
        <v>74</v>
      </c>
      <c r="BR366" t="s">
        <v>99</v>
      </c>
      <c r="BS366" t="s">
        <v>7255</v>
      </c>
      <c r="BT366" t="str">
        <f>HYPERLINK("https%3A%2F%2Fwww.webofscience.com%2Fwos%2Fwoscc%2Ffull-record%2FWOS:001059897200001","View Full Record in Web of Science")</f>
        <v>View Full Record in Web of Science</v>
      </c>
    </row>
    <row r="367" spans="1:72" x14ac:dyDescent="0.15">
      <c r="A367" t="s">
        <v>72</v>
      </c>
      <c r="B367" t="s">
        <v>7256</v>
      </c>
      <c r="C367" t="s">
        <v>74</v>
      </c>
      <c r="D367" t="s">
        <v>74</v>
      </c>
      <c r="E367" t="s">
        <v>74</v>
      </c>
      <c r="F367" t="s">
        <v>7257</v>
      </c>
      <c r="G367" t="s">
        <v>74</v>
      </c>
      <c r="H367" t="s">
        <v>74</v>
      </c>
      <c r="I367" t="s">
        <v>7258</v>
      </c>
      <c r="J367" t="s">
        <v>7259</v>
      </c>
      <c r="K367" t="s">
        <v>74</v>
      </c>
      <c r="L367" t="s">
        <v>74</v>
      </c>
      <c r="M367" t="s">
        <v>78</v>
      </c>
      <c r="N367" t="s">
        <v>307</v>
      </c>
      <c r="O367" t="s">
        <v>74</v>
      </c>
      <c r="P367" t="s">
        <v>74</v>
      </c>
      <c r="Q367" t="s">
        <v>74</v>
      </c>
      <c r="R367" t="s">
        <v>74</v>
      </c>
      <c r="S367" t="s">
        <v>74</v>
      </c>
      <c r="T367" t="s">
        <v>74</v>
      </c>
      <c r="U367" t="s">
        <v>74</v>
      </c>
      <c r="V367" t="s">
        <v>74</v>
      </c>
      <c r="W367" t="s">
        <v>7260</v>
      </c>
      <c r="X367" t="s">
        <v>7261</v>
      </c>
      <c r="Y367" t="s">
        <v>7262</v>
      </c>
      <c r="Z367" t="s">
        <v>7263</v>
      </c>
      <c r="AA367" t="s">
        <v>74</v>
      </c>
      <c r="AB367" t="s">
        <v>74</v>
      </c>
      <c r="AC367" t="s">
        <v>74</v>
      </c>
      <c r="AD367" t="s">
        <v>74</v>
      </c>
      <c r="AE367" t="s">
        <v>74</v>
      </c>
      <c r="AF367" t="s">
        <v>74</v>
      </c>
      <c r="AG367">
        <v>1</v>
      </c>
      <c r="AH367">
        <v>0</v>
      </c>
      <c r="AI367">
        <v>0</v>
      </c>
      <c r="AJ367">
        <v>0</v>
      </c>
      <c r="AK367">
        <v>0</v>
      </c>
      <c r="AL367" t="s">
        <v>87</v>
      </c>
      <c r="AM367" t="s">
        <v>88</v>
      </c>
      <c r="AN367" t="s">
        <v>89</v>
      </c>
      <c r="AO367" t="s">
        <v>7264</v>
      </c>
      <c r="AP367" t="s">
        <v>7265</v>
      </c>
      <c r="AQ367" t="s">
        <v>74</v>
      </c>
      <c r="AR367" t="s">
        <v>7266</v>
      </c>
      <c r="AS367" t="s">
        <v>7267</v>
      </c>
      <c r="AT367" t="s">
        <v>6725</v>
      </c>
      <c r="AU367">
        <v>2023</v>
      </c>
      <c r="AV367">
        <v>37</v>
      </c>
      <c r="AW367">
        <v>9</v>
      </c>
      <c r="AX367" t="s">
        <v>74</v>
      </c>
      <c r="AY367" t="s">
        <v>74</v>
      </c>
      <c r="AZ367" t="s">
        <v>74</v>
      </c>
      <c r="BA367" t="s">
        <v>74</v>
      </c>
      <c r="BB367">
        <v>1683</v>
      </c>
      <c r="BC367">
        <v>1684</v>
      </c>
      <c r="BD367" t="s">
        <v>74</v>
      </c>
      <c r="BE367" t="s">
        <v>7268</v>
      </c>
      <c r="BF367" t="str">
        <f>HYPERLINK("http://dx.doi.org/10.1111/jdv.19333","http://dx.doi.org/10.1111/jdv.19333")</f>
        <v>http://dx.doi.org/10.1111/jdv.19333</v>
      </c>
      <c r="BG367" t="s">
        <v>74</v>
      </c>
      <c r="BH367" t="s">
        <v>74</v>
      </c>
      <c r="BI367">
        <v>2</v>
      </c>
      <c r="BJ367" t="s">
        <v>2541</v>
      </c>
      <c r="BK367" t="s">
        <v>119</v>
      </c>
      <c r="BL367" t="s">
        <v>2541</v>
      </c>
      <c r="BM367" t="s">
        <v>7269</v>
      </c>
      <c r="BN367">
        <v>37622219</v>
      </c>
      <c r="BO367" t="s">
        <v>301</v>
      </c>
      <c r="BP367" t="s">
        <v>74</v>
      </c>
      <c r="BQ367" t="s">
        <v>74</v>
      </c>
      <c r="BR367" t="s">
        <v>99</v>
      </c>
      <c r="BS367" t="s">
        <v>7270</v>
      </c>
      <c r="BT367" t="str">
        <f>HYPERLINK("https%3A%2F%2Fwww.webofscience.com%2Fwos%2Fwoscc%2Ffull-record%2FWOS:001059161200004","View Full Record in Web of Science")</f>
        <v>View Full Record in Web of Science</v>
      </c>
    </row>
    <row r="368" spans="1:72" x14ac:dyDescent="0.15">
      <c r="A368" t="s">
        <v>72</v>
      </c>
      <c r="B368" t="s">
        <v>7271</v>
      </c>
      <c r="C368" t="s">
        <v>74</v>
      </c>
      <c r="D368" t="s">
        <v>74</v>
      </c>
      <c r="E368" t="s">
        <v>74</v>
      </c>
      <c r="F368" t="s">
        <v>7272</v>
      </c>
      <c r="G368" t="s">
        <v>74</v>
      </c>
      <c r="H368" t="s">
        <v>74</v>
      </c>
      <c r="I368" t="s">
        <v>7273</v>
      </c>
      <c r="J368" t="s">
        <v>194</v>
      </c>
      <c r="K368" t="s">
        <v>74</v>
      </c>
      <c r="L368" t="s">
        <v>74</v>
      </c>
      <c r="M368" t="s">
        <v>78</v>
      </c>
      <c r="N368" t="s">
        <v>79</v>
      </c>
      <c r="O368" t="s">
        <v>74</v>
      </c>
      <c r="P368" t="s">
        <v>74</v>
      </c>
      <c r="Q368" t="s">
        <v>74</v>
      </c>
      <c r="R368" t="s">
        <v>74</v>
      </c>
      <c r="S368" t="s">
        <v>74</v>
      </c>
      <c r="T368" t="s">
        <v>7274</v>
      </c>
      <c r="U368" t="s">
        <v>7275</v>
      </c>
      <c r="V368" t="s">
        <v>7276</v>
      </c>
      <c r="W368" t="s">
        <v>7277</v>
      </c>
      <c r="X368" t="s">
        <v>7278</v>
      </c>
      <c r="Y368" t="s">
        <v>7279</v>
      </c>
      <c r="Z368" t="s">
        <v>7280</v>
      </c>
      <c r="AA368" t="s">
        <v>74</v>
      </c>
      <c r="AB368" t="s">
        <v>74</v>
      </c>
      <c r="AC368" t="s">
        <v>7281</v>
      </c>
      <c r="AD368" t="s">
        <v>7282</v>
      </c>
      <c r="AE368" t="s">
        <v>7283</v>
      </c>
      <c r="AF368" t="s">
        <v>74</v>
      </c>
      <c r="AG368">
        <v>100</v>
      </c>
      <c r="AH368">
        <v>0</v>
      </c>
      <c r="AI368">
        <v>0</v>
      </c>
      <c r="AJ368">
        <v>1</v>
      </c>
      <c r="AK368">
        <v>1</v>
      </c>
      <c r="AL368" t="s">
        <v>87</v>
      </c>
      <c r="AM368" t="s">
        <v>88</v>
      </c>
      <c r="AN368" t="s">
        <v>89</v>
      </c>
      <c r="AO368" t="s">
        <v>206</v>
      </c>
      <c r="AP368" t="s">
        <v>207</v>
      </c>
      <c r="AQ368" t="s">
        <v>74</v>
      </c>
      <c r="AR368" t="s">
        <v>208</v>
      </c>
      <c r="AS368" t="s">
        <v>209</v>
      </c>
      <c r="AT368" t="s">
        <v>6725</v>
      </c>
      <c r="AU368">
        <v>2023</v>
      </c>
      <c r="AV368">
        <v>32</v>
      </c>
      <c r="AW368">
        <v>9</v>
      </c>
      <c r="AX368" t="s">
        <v>74</v>
      </c>
      <c r="AY368" t="s">
        <v>74</v>
      </c>
      <c r="AZ368" t="s">
        <v>74</v>
      </c>
      <c r="BA368" t="s">
        <v>74</v>
      </c>
      <c r="BB368" t="s">
        <v>74</v>
      </c>
      <c r="BC368" t="s">
        <v>74</v>
      </c>
      <c r="BD368" t="s">
        <v>7284</v>
      </c>
      <c r="BE368" t="s">
        <v>7285</v>
      </c>
      <c r="BF368" t="str">
        <f>HYPERLINK("http://dx.doi.org/10.1002/pro.4742","http://dx.doi.org/10.1002/pro.4742")</f>
        <v>http://dx.doi.org/10.1002/pro.4742</v>
      </c>
      <c r="BG368" t="s">
        <v>74</v>
      </c>
      <c r="BH368" t="s">
        <v>74</v>
      </c>
      <c r="BI368">
        <v>17</v>
      </c>
      <c r="BJ368" t="s">
        <v>212</v>
      </c>
      <c r="BK368" t="s">
        <v>119</v>
      </c>
      <c r="BL368" t="s">
        <v>212</v>
      </c>
      <c r="BM368" t="s">
        <v>7286</v>
      </c>
      <c r="BN368" t="s">
        <v>74</v>
      </c>
      <c r="BO368" t="s">
        <v>7287</v>
      </c>
      <c r="BP368" t="s">
        <v>74</v>
      </c>
      <c r="BQ368" t="s">
        <v>74</v>
      </c>
      <c r="BR368" t="s">
        <v>99</v>
      </c>
      <c r="BS368" t="s">
        <v>7288</v>
      </c>
      <c r="BT368" t="str">
        <f>HYPERLINK("https%3A%2F%2Fwww.webofscience.com%2Fwos%2Fwoscc%2Ffull-record%2FWOS:001058430700010","View Full Record in Web of Science")</f>
        <v>View Full Record in Web of Science</v>
      </c>
    </row>
    <row r="369" spans="1:72" x14ac:dyDescent="0.15">
      <c r="A369" t="s">
        <v>72</v>
      </c>
      <c r="B369" t="s">
        <v>7289</v>
      </c>
      <c r="C369" t="s">
        <v>74</v>
      </c>
      <c r="D369" t="s">
        <v>74</v>
      </c>
      <c r="E369" t="s">
        <v>74</v>
      </c>
      <c r="F369" t="s">
        <v>7290</v>
      </c>
      <c r="G369" t="s">
        <v>74</v>
      </c>
      <c r="H369" t="s">
        <v>74</v>
      </c>
      <c r="I369" t="s">
        <v>7291</v>
      </c>
      <c r="J369" t="s">
        <v>4340</v>
      </c>
      <c r="K369" t="s">
        <v>74</v>
      </c>
      <c r="L369" t="s">
        <v>74</v>
      </c>
      <c r="M369" t="s">
        <v>78</v>
      </c>
      <c r="N369" t="s">
        <v>338</v>
      </c>
      <c r="O369" t="s">
        <v>74</v>
      </c>
      <c r="P369" t="s">
        <v>74</v>
      </c>
      <c r="Q369" t="s">
        <v>74</v>
      </c>
      <c r="R369" t="s">
        <v>74</v>
      </c>
      <c r="S369" t="s">
        <v>74</v>
      </c>
      <c r="T369" t="s">
        <v>7292</v>
      </c>
      <c r="U369" t="s">
        <v>7293</v>
      </c>
      <c r="V369" t="s">
        <v>7294</v>
      </c>
      <c r="W369" t="s">
        <v>7295</v>
      </c>
      <c r="X369" t="s">
        <v>7296</v>
      </c>
      <c r="Y369" t="s">
        <v>7297</v>
      </c>
      <c r="Z369" t="s">
        <v>7298</v>
      </c>
      <c r="AA369" t="s">
        <v>7299</v>
      </c>
      <c r="AB369" t="s">
        <v>7300</v>
      </c>
      <c r="AC369" t="s">
        <v>7301</v>
      </c>
      <c r="AD369" t="s">
        <v>7302</v>
      </c>
      <c r="AE369" t="s">
        <v>7301</v>
      </c>
      <c r="AF369" t="s">
        <v>74</v>
      </c>
      <c r="AG369">
        <v>46</v>
      </c>
      <c r="AH369">
        <v>0</v>
      </c>
      <c r="AI369">
        <v>0</v>
      </c>
      <c r="AJ369">
        <v>1</v>
      </c>
      <c r="AK369">
        <v>1</v>
      </c>
      <c r="AL369" t="s">
        <v>87</v>
      </c>
      <c r="AM369" t="s">
        <v>88</v>
      </c>
      <c r="AN369" t="s">
        <v>89</v>
      </c>
      <c r="AO369" t="s">
        <v>4353</v>
      </c>
      <c r="AP369" t="s">
        <v>4354</v>
      </c>
      <c r="AQ369" t="s">
        <v>74</v>
      </c>
      <c r="AR369" t="s">
        <v>4355</v>
      </c>
      <c r="AS369" t="s">
        <v>4356</v>
      </c>
      <c r="AT369" t="s">
        <v>6824</v>
      </c>
      <c r="AU369">
        <v>2023</v>
      </c>
      <c r="AV369" t="s">
        <v>74</v>
      </c>
      <c r="AW369" t="s">
        <v>74</v>
      </c>
      <c r="AX369" t="s">
        <v>74</v>
      </c>
      <c r="AY369" t="s">
        <v>74</v>
      </c>
      <c r="AZ369" t="s">
        <v>74</v>
      </c>
      <c r="BA369" t="s">
        <v>74</v>
      </c>
      <c r="BB369" t="s">
        <v>74</v>
      </c>
      <c r="BC369" t="s">
        <v>74</v>
      </c>
      <c r="BD369" t="s">
        <v>74</v>
      </c>
      <c r="BE369" t="s">
        <v>7303</v>
      </c>
      <c r="BF369" t="str">
        <f>HYPERLINK("http://dx.doi.org/10.1002/ijc.34708","http://dx.doi.org/10.1002/ijc.34708")</f>
        <v>http://dx.doi.org/10.1002/ijc.34708</v>
      </c>
      <c r="BG369" t="s">
        <v>74</v>
      </c>
      <c r="BH369" t="s">
        <v>407</v>
      </c>
      <c r="BI369">
        <v>13</v>
      </c>
      <c r="BJ369" t="s">
        <v>789</v>
      </c>
      <c r="BK369" t="s">
        <v>119</v>
      </c>
      <c r="BL369" t="s">
        <v>789</v>
      </c>
      <c r="BM369" t="s">
        <v>7304</v>
      </c>
      <c r="BN369">
        <v>37655984</v>
      </c>
      <c r="BO369" t="s">
        <v>122</v>
      </c>
      <c r="BP369" t="s">
        <v>74</v>
      </c>
      <c r="BQ369" t="s">
        <v>74</v>
      </c>
      <c r="BR369" t="s">
        <v>99</v>
      </c>
      <c r="BS369" t="s">
        <v>7305</v>
      </c>
      <c r="BT369" t="str">
        <f>HYPERLINK("https%3A%2F%2Fwww.webofscience.com%2Fwos%2Fwoscc%2Ffull-record%2FWOS:001059767100001","View Full Record in Web of Science")</f>
        <v>View Full Record in Web of Science</v>
      </c>
    </row>
    <row r="370" spans="1:72" x14ac:dyDescent="0.15">
      <c r="A370" t="s">
        <v>72</v>
      </c>
      <c r="B370" t="s">
        <v>7306</v>
      </c>
      <c r="C370" t="s">
        <v>74</v>
      </c>
      <c r="D370" t="s">
        <v>74</v>
      </c>
      <c r="E370" t="s">
        <v>74</v>
      </c>
      <c r="F370" t="s">
        <v>7307</v>
      </c>
      <c r="G370" t="s">
        <v>74</v>
      </c>
      <c r="H370" t="s">
        <v>74</v>
      </c>
      <c r="I370" t="s">
        <v>7308</v>
      </c>
      <c r="J370" t="s">
        <v>6754</v>
      </c>
      <c r="K370" t="s">
        <v>74</v>
      </c>
      <c r="L370" t="s">
        <v>74</v>
      </c>
      <c r="M370" t="s">
        <v>78</v>
      </c>
      <c r="N370" t="s">
        <v>79</v>
      </c>
      <c r="O370" t="s">
        <v>74</v>
      </c>
      <c r="P370" t="s">
        <v>74</v>
      </c>
      <c r="Q370" t="s">
        <v>74</v>
      </c>
      <c r="R370" t="s">
        <v>74</v>
      </c>
      <c r="S370" t="s">
        <v>74</v>
      </c>
      <c r="T370" t="s">
        <v>7309</v>
      </c>
      <c r="U370" t="s">
        <v>74</v>
      </c>
      <c r="V370" t="s">
        <v>7310</v>
      </c>
      <c r="W370" t="s">
        <v>7311</v>
      </c>
      <c r="X370" t="s">
        <v>7312</v>
      </c>
      <c r="Y370" t="s">
        <v>7313</v>
      </c>
      <c r="Z370" t="s">
        <v>7314</v>
      </c>
      <c r="AA370" t="s">
        <v>7315</v>
      </c>
      <c r="AB370" t="s">
        <v>7316</v>
      </c>
      <c r="AC370" t="s">
        <v>7317</v>
      </c>
      <c r="AD370" t="s">
        <v>7317</v>
      </c>
      <c r="AE370" t="s">
        <v>7317</v>
      </c>
      <c r="AF370" t="s">
        <v>74</v>
      </c>
      <c r="AG370">
        <v>13</v>
      </c>
      <c r="AH370">
        <v>0</v>
      </c>
      <c r="AI370">
        <v>0</v>
      </c>
      <c r="AJ370">
        <v>0</v>
      </c>
      <c r="AK370">
        <v>0</v>
      </c>
      <c r="AL370" t="s">
        <v>87</v>
      </c>
      <c r="AM370" t="s">
        <v>88</v>
      </c>
      <c r="AN370" t="s">
        <v>89</v>
      </c>
      <c r="AO370" t="s">
        <v>6763</v>
      </c>
      <c r="AP370" t="s">
        <v>74</v>
      </c>
      <c r="AQ370" t="s">
        <v>74</v>
      </c>
      <c r="AR370" t="s">
        <v>6764</v>
      </c>
      <c r="AS370" t="s">
        <v>6765</v>
      </c>
      <c r="AT370" t="s">
        <v>6725</v>
      </c>
      <c r="AU370">
        <v>2023</v>
      </c>
      <c r="AV370">
        <v>11</v>
      </c>
      <c r="AW370">
        <v>9</v>
      </c>
      <c r="AX370" t="s">
        <v>74</v>
      </c>
      <c r="AY370" t="s">
        <v>74</v>
      </c>
      <c r="AZ370" t="s">
        <v>74</v>
      </c>
      <c r="BA370" t="s">
        <v>74</v>
      </c>
      <c r="BB370" t="s">
        <v>74</v>
      </c>
      <c r="BC370" t="s">
        <v>74</v>
      </c>
      <c r="BD370" t="s">
        <v>7318</v>
      </c>
      <c r="BE370" t="s">
        <v>7319</v>
      </c>
      <c r="BF370" t="str">
        <f>HYPERLINK("http://dx.doi.org/10.1002/ccr3.7940","http://dx.doi.org/10.1002/ccr3.7940")</f>
        <v>http://dx.doi.org/10.1002/ccr3.7940</v>
      </c>
      <c r="BG370" t="s">
        <v>74</v>
      </c>
      <c r="BH370" t="s">
        <v>74</v>
      </c>
      <c r="BI370">
        <v>5</v>
      </c>
      <c r="BJ370" t="s">
        <v>4689</v>
      </c>
      <c r="BK370" t="s">
        <v>96</v>
      </c>
      <c r="BL370" t="s">
        <v>4690</v>
      </c>
      <c r="BM370" t="s">
        <v>7320</v>
      </c>
      <c r="BN370">
        <v>37744625</v>
      </c>
      <c r="BO370" t="s">
        <v>234</v>
      </c>
      <c r="BP370" t="s">
        <v>74</v>
      </c>
      <c r="BQ370" t="s">
        <v>74</v>
      </c>
      <c r="BR370" t="s">
        <v>99</v>
      </c>
      <c r="BS370" t="s">
        <v>7321</v>
      </c>
      <c r="BT370" t="str">
        <f>HYPERLINK("https%3A%2F%2Fwww.webofscience.com%2Fwos%2Fwoscc%2Ffull-record%2FWOS:001068442900001","View Full Record in Web of Science")</f>
        <v>View Full Record in Web of Science</v>
      </c>
    </row>
    <row r="371" spans="1:72" x14ac:dyDescent="0.15">
      <c r="A371" t="s">
        <v>72</v>
      </c>
      <c r="B371" t="s">
        <v>7322</v>
      </c>
      <c r="C371" t="s">
        <v>74</v>
      </c>
      <c r="D371" t="s">
        <v>74</v>
      </c>
      <c r="E371" t="s">
        <v>74</v>
      </c>
      <c r="F371" t="s">
        <v>7323</v>
      </c>
      <c r="G371" t="s">
        <v>74</v>
      </c>
      <c r="H371" t="s">
        <v>74</v>
      </c>
      <c r="I371" t="s">
        <v>7324</v>
      </c>
      <c r="J371" t="s">
        <v>5796</v>
      </c>
      <c r="K371" t="s">
        <v>74</v>
      </c>
      <c r="L371" t="s">
        <v>74</v>
      </c>
      <c r="M371" t="s">
        <v>78</v>
      </c>
      <c r="N371" t="s">
        <v>338</v>
      </c>
      <c r="O371" t="s">
        <v>74</v>
      </c>
      <c r="P371" t="s">
        <v>74</v>
      </c>
      <c r="Q371" t="s">
        <v>74</v>
      </c>
      <c r="R371" t="s">
        <v>74</v>
      </c>
      <c r="S371" t="s">
        <v>74</v>
      </c>
      <c r="T371" t="s">
        <v>7325</v>
      </c>
      <c r="U371" t="s">
        <v>7326</v>
      </c>
      <c r="V371" t="s">
        <v>7327</v>
      </c>
      <c r="W371" t="s">
        <v>7328</v>
      </c>
      <c r="X371" t="s">
        <v>7329</v>
      </c>
      <c r="Y371" t="s">
        <v>7330</v>
      </c>
      <c r="Z371" t="s">
        <v>7331</v>
      </c>
      <c r="AA371" t="s">
        <v>74</v>
      </c>
      <c r="AB371" t="s">
        <v>7332</v>
      </c>
      <c r="AC371" t="s">
        <v>7333</v>
      </c>
      <c r="AD371" t="s">
        <v>7333</v>
      </c>
      <c r="AE371" t="s">
        <v>7334</v>
      </c>
      <c r="AF371" t="s">
        <v>74</v>
      </c>
      <c r="AG371">
        <v>35</v>
      </c>
      <c r="AH371">
        <v>0</v>
      </c>
      <c r="AI371">
        <v>0</v>
      </c>
      <c r="AJ371">
        <v>0</v>
      </c>
      <c r="AK371">
        <v>0</v>
      </c>
      <c r="AL371" t="s">
        <v>87</v>
      </c>
      <c r="AM371" t="s">
        <v>88</v>
      </c>
      <c r="AN371" t="s">
        <v>89</v>
      </c>
      <c r="AO371" t="s">
        <v>5805</v>
      </c>
      <c r="AP371" t="s">
        <v>5806</v>
      </c>
      <c r="AQ371" t="s">
        <v>74</v>
      </c>
      <c r="AR371" t="s">
        <v>5807</v>
      </c>
      <c r="AS371" t="s">
        <v>5808</v>
      </c>
      <c r="AT371" t="s">
        <v>6824</v>
      </c>
      <c r="AU371">
        <v>2023</v>
      </c>
      <c r="AV371" t="s">
        <v>74</v>
      </c>
      <c r="AW371" t="s">
        <v>74</v>
      </c>
      <c r="AX371" t="s">
        <v>74</v>
      </c>
      <c r="AY371" t="s">
        <v>74</v>
      </c>
      <c r="AZ371" t="s">
        <v>74</v>
      </c>
      <c r="BA371" t="s">
        <v>74</v>
      </c>
      <c r="BB371" t="s">
        <v>74</v>
      </c>
      <c r="BC371" t="s">
        <v>74</v>
      </c>
      <c r="BD371" t="s">
        <v>74</v>
      </c>
      <c r="BE371" t="s">
        <v>7335</v>
      </c>
      <c r="BF371" t="str">
        <f>HYPERLINK("http://dx.doi.org/10.1111/jan.15840","http://dx.doi.org/10.1111/jan.15840")</f>
        <v>http://dx.doi.org/10.1111/jan.15840</v>
      </c>
      <c r="BG371" t="s">
        <v>74</v>
      </c>
      <c r="BH371" t="s">
        <v>407</v>
      </c>
      <c r="BI371">
        <v>16</v>
      </c>
      <c r="BJ371" t="s">
        <v>5811</v>
      </c>
      <c r="BK371" t="s">
        <v>409</v>
      </c>
      <c r="BL371" t="s">
        <v>5811</v>
      </c>
      <c r="BM371" t="s">
        <v>7336</v>
      </c>
      <c r="BN371">
        <v>37658619</v>
      </c>
      <c r="BO371" t="s">
        <v>74</v>
      </c>
      <c r="BP371" t="s">
        <v>74</v>
      </c>
      <c r="BQ371" t="s">
        <v>74</v>
      </c>
      <c r="BR371" t="s">
        <v>99</v>
      </c>
      <c r="BS371" t="s">
        <v>7337</v>
      </c>
      <c r="BT371" t="str">
        <f>HYPERLINK("https%3A%2F%2Fwww.webofscience.com%2Fwos%2Fwoscc%2Ffull-record%2FWOS:001059852900001","View Full Record in Web of Science")</f>
        <v>View Full Record in Web of Science</v>
      </c>
    </row>
    <row r="372" spans="1:72" x14ac:dyDescent="0.15">
      <c r="A372" t="s">
        <v>72</v>
      </c>
      <c r="B372" t="s">
        <v>7338</v>
      </c>
      <c r="C372" t="s">
        <v>74</v>
      </c>
      <c r="D372" t="s">
        <v>74</v>
      </c>
      <c r="E372" t="s">
        <v>74</v>
      </c>
      <c r="F372" t="s">
        <v>7339</v>
      </c>
      <c r="G372" t="s">
        <v>74</v>
      </c>
      <c r="H372" t="s">
        <v>74</v>
      </c>
      <c r="I372" t="s">
        <v>7340</v>
      </c>
      <c r="J372" t="s">
        <v>7341</v>
      </c>
      <c r="K372" t="s">
        <v>74</v>
      </c>
      <c r="L372" t="s">
        <v>74</v>
      </c>
      <c r="M372" t="s">
        <v>78</v>
      </c>
      <c r="N372" t="s">
        <v>7342</v>
      </c>
      <c r="O372" t="s">
        <v>74</v>
      </c>
      <c r="P372" t="s">
        <v>74</v>
      </c>
      <c r="Q372" t="s">
        <v>74</v>
      </c>
      <c r="R372" t="s">
        <v>74</v>
      </c>
      <c r="S372" t="s">
        <v>74</v>
      </c>
      <c r="T372" t="s">
        <v>74</v>
      </c>
      <c r="U372" t="s">
        <v>74</v>
      </c>
      <c r="V372" t="s">
        <v>74</v>
      </c>
      <c r="W372" t="s">
        <v>7343</v>
      </c>
      <c r="X372" t="s">
        <v>7344</v>
      </c>
      <c r="Y372" t="s">
        <v>7345</v>
      </c>
      <c r="Z372" t="s">
        <v>74</v>
      </c>
      <c r="AA372" t="s">
        <v>74</v>
      </c>
      <c r="AB372" t="s">
        <v>7346</v>
      </c>
      <c r="AC372" t="s">
        <v>74</v>
      </c>
      <c r="AD372" t="s">
        <v>74</v>
      </c>
      <c r="AE372" t="s">
        <v>74</v>
      </c>
      <c r="AF372" t="s">
        <v>74</v>
      </c>
      <c r="AG372">
        <v>1</v>
      </c>
      <c r="AH372">
        <v>0</v>
      </c>
      <c r="AI372">
        <v>0</v>
      </c>
      <c r="AJ372">
        <v>0</v>
      </c>
      <c r="AK372">
        <v>0</v>
      </c>
      <c r="AL372" t="s">
        <v>87</v>
      </c>
      <c r="AM372" t="s">
        <v>88</v>
      </c>
      <c r="AN372" t="s">
        <v>89</v>
      </c>
      <c r="AO372" t="s">
        <v>7347</v>
      </c>
      <c r="AP372" t="s">
        <v>7348</v>
      </c>
      <c r="AQ372" t="s">
        <v>74</v>
      </c>
      <c r="AR372" t="s">
        <v>7341</v>
      </c>
      <c r="AS372" t="s">
        <v>7349</v>
      </c>
      <c r="AT372" t="s">
        <v>6725</v>
      </c>
      <c r="AU372">
        <v>2023</v>
      </c>
      <c r="AV372">
        <v>104</v>
      </c>
      <c r="AW372">
        <v>1113</v>
      </c>
      <c r="AX372" t="s">
        <v>74</v>
      </c>
      <c r="AY372" t="s">
        <v>74</v>
      </c>
      <c r="AZ372" t="s">
        <v>74</v>
      </c>
      <c r="BA372" t="s">
        <v>74</v>
      </c>
      <c r="BB372">
        <v>602</v>
      </c>
      <c r="BC372">
        <v>605</v>
      </c>
      <c r="BD372" t="s">
        <v>74</v>
      </c>
      <c r="BE372" t="s">
        <v>7350</v>
      </c>
      <c r="BF372" t="str">
        <f>HYPERLINK("http://dx.doi.org/10.1111/nbfr.12857","http://dx.doi.org/10.1111/nbfr.12857")</f>
        <v>http://dx.doi.org/10.1111/nbfr.12857</v>
      </c>
      <c r="BG372" t="s">
        <v>74</v>
      </c>
      <c r="BH372" t="s">
        <v>74</v>
      </c>
      <c r="BI372">
        <v>4</v>
      </c>
      <c r="BJ372" t="s">
        <v>3654</v>
      </c>
      <c r="BK372" t="s">
        <v>96</v>
      </c>
      <c r="BL372" t="s">
        <v>3654</v>
      </c>
      <c r="BM372" t="s">
        <v>7351</v>
      </c>
      <c r="BN372" t="s">
        <v>74</v>
      </c>
      <c r="BO372" t="s">
        <v>74</v>
      </c>
      <c r="BP372" t="s">
        <v>74</v>
      </c>
      <c r="BQ372" t="s">
        <v>74</v>
      </c>
      <c r="BR372" t="s">
        <v>99</v>
      </c>
      <c r="BS372" t="s">
        <v>7352</v>
      </c>
      <c r="BT372" t="str">
        <f>HYPERLINK("https%3A%2F%2Fwww.webofscience.com%2Fwos%2Fwoscc%2Ffull-record%2FWOS:001052338900012","View Full Record in Web of Science")</f>
        <v>View Full Record in Web of Science</v>
      </c>
    </row>
    <row r="373" spans="1:72" x14ac:dyDescent="0.15">
      <c r="A373" t="s">
        <v>72</v>
      </c>
      <c r="B373" t="s">
        <v>7353</v>
      </c>
      <c r="C373" t="s">
        <v>74</v>
      </c>
      <c r="D373" t="s">
        <v>74</v>
      </c>
      <c r="E373" t="s">
        <v>74</v>
      </c>
      <c r="F373" t="s">
        <v>7354</v>
      </c>
      <c r="G373" t="s">
        <v>74</v>
      </c>
      <c r="H373" t="s">
        <v>74</v>
      </c>
      <c r="I373" t="s">
        <v>7355</v>
      </c>
      <c r="J373" t="s">
        <v>7356</v>
      </c>
      <c r="K373" t="s">
        <v>74</v>
      </c>
      <c r="L373" t="s">
        <v>74</v>
      </c>
      <c r="M373" t="s">
        <v>78</v>
      </c>
      <c r="N373" t="s">
        <v>79</v>
      </c>
      <c r="O373" t="s">
        <v>74</v>
      </c>
      <c r="P373" t="s">
        <v>74</v>
      </c>
      <c r="Q373" t="s">
        <v>74</v>
      </c>
      <c r="R373" t="s">
        <v>74</v>
      </c>
      <c r="S373" t="s">
        <v>74</v>
      </c>
      <c r="T373" t="s">
        <v>7357</v>
      </c>
      <c r="U373" t="s">
        <v>7358</v>
      </c>
      <c r="V373" t="s">
        <v>7359</v>
      </c>
      <c r="W373" t="s">
        <v>7360</v>
      </c>
      <c r="X373" t="s">
        <v>7361</v>
      </c>
      <c r="Y373" t="s">
        <v>7362</v>
      </c>
      <c r="Z373" t="s">
        <v>7363</v>
      </c>
      <c r="AA373" t="s">
        <v>7364</v>
      </c>
      <c r="AB373" t="s">
        <v>7365</v>
      </c>
      <c r="AC373" t="s">
        <v>7366</v>
      </c>
      <c r="AD373" t="s">
        <v>7367</v>
      </c>
      <c r="AE373" t="s">
        <v>7368</v>
      </c>
      <c r="AF373" t="s">
        <v>74</v>
      </c>
      <c r="AG373">
        <v>38</v>
      </c>
      <c r="AH373">
        <v>0</v>
      </c>
      <c r="AI373">
        <v>0</v>
      </c>
      <c r="AJ373">
        <v>0</v>
      </c>
      <c r="AK373">
        <v>0</v>
      </c>
      <c r="AL373" t="s">
        <v>87</v>
      </c>
      <c r="AM373" t="s">
        <v>88</v>
      </c>
      <c r="AN373" t="s">
        <v>89</v>
      </c>
      <c r="AO373" t="s">
        <v>74</v>
      </c>
      <c r="AP373" t="s">
        <v>7369</v>
      </c>
      <c r="AQ373" t="s">
        <v>74</v>
      </c>
      <c r="AR373" t="s">
        <v>7370</v>
      </c>
      <c r="AS373" t="s">
        <v>7371</v>
      </c>
      <c r="AT373" t="s">
        <v>6725</v>
      </c>
      <c r="AU373">
        <v>2023</v>
      </c>
      <c r="AV373">
        <v>6</v>
      </c>
      <c r="AW373">
        <v>9</v>
      </c>
      <c r="AX373" t="s">
        <v>74</v>
      </c>
      <c r="AY373" t="s">
        <v>74</v>
      </c>
      <c r="AZ373" t="s">
        <v>74</v>
      </c>
      <c r="BA373" t="s">
        <v>74</v>
      </c>
      <c r="BB373" t="s">
        <v>74</v>
      </c>
      <c r="BC373" t="s">
        <v>74</v>
      </c>
      <c r="BD373" t="s">
        <v>7372</v>
      </c>
      <c r="BE373" t="s">
        <v>7373</v>
      </c>
      <c r="BF373" t="str">
        <f>HYPERLINK("http://dx.doi.org/10.1002/hsr2.1580","http://dx.doi.org/10.1002/hsr2.1580")</f>
        <v>http://dx.doi.org/10.1002/hsr2.1580</v>
      </c>
      <c r="BG373" t="s">
        <v>74</v>
      </c>
      <c r="BH373" t="s">
        <v>74</v>
      </c>
      <c r="BI373">
        <v>9</v>
      </c>
      <c r="BJ373" t="s">
        <v>7374</v>
      </c>
      <c r="BK373" t="s">
        <v>96</v>
      </c>
      <c r="BL373" t="s">
        <v>7375</v>
      </c>
      <c r="BM373" t="s">
        <v>7376</v>
      </c>
      <c r="BN373">
        <v>37752974</v>
      </c>
      <c r="BO373" t="s">
        <v>234</v>
      </c>
      <c r="BP373" t="s">
        <v>74</v>
      </c>
      <c r="BQ373" t="s">
        <v>74</v>
      </c>
      <c r="BR373" t="s">
        <v>99</v>
      </c>
      <c r="BS373" t="s">
        <v>7377</v>
      </c>
      <c r="BT373" t="str">
        <f>HYPERLINK("https%3A%2F%2Fwww.webofscience.com%2Fwos%2Fwoscc%2Ffull-record%2FWOS:001071067200001","View Full Record in Web of Science")</f>
        <v>View Full Record in Web of Science</v>
      </c>
    </row>
    <row r="374" spans="1:72" x14ac:dyDescent="0.15">
      <c r="A374" t="s">
        <v>72</v>
      </c>
      <c r="B374" t="s">
        <v>7378</v>
      </c>
      <c r="C374" t="s">
        <v>74</v>
      </c>
      <c r="D374" t="s">
        <v>74</v>
      </c>
      <c r="E374" t="s">
        <v>74</v>
      </c>
      <c r="F374" t="s">
        <v>7379</v>
      </c>
      <c r="G374" t="s">
        <v>74</v>
      </c>
      <c r="H374" t="s">
        <v>74</v>
      </c>
      <c r="I374" t="s">
        <v>7380</v>
      </c>
      <c r="J374" t="s">
        <v>239</v>
      </c>
      <c r="K374" t="s">
        <v>74</v>
      </c>
      <c r="L374" t="s">
        <v>74</v>
      </c>
      <c r="M374" t="s">
        <v>78</v>
      </c>
      <c r="N374" t="s">
        <v>79</v>
      </c>
      <c r="O374" t="s">
        <v>74</v>
      </c>
      <c r="P374" t="s">
        <v>74</v>
      </c>
      <c r="Q374" t="s">
        <v>74</v>
      </c>
      <c r="R374" t="s">
        <v>74</v>
      </c>
      <c r="S374" t="s">
        <v>74</v>
      </c>
      <c r="T374" t="s">
        <v>7381</v>
      </c>
      <c r="U374" t="s">
        <v>7382</v>
      </c>
      <c r="V374" t="s">
        <v>7383</v>
      </c>
      <c r="W374" t="s">
        <v>7384</v>
      </c>
      <c r="X374" t="s">
        <v>7385</v>
      </c>
      <c r="Y374" t="s">
        <v>7386</v>
      </c>
      <c r="Z374" t="s">
        <v>7387</v>
      </c>
      <c r="AA374" t="s">
        <v>74</v>
      </c>
      <c r="AB374" t="s">
        <v>74</v>
      </c>
      <c r="AC374" t="s">
        <v>7388</v>
      </c>
      <c r="AD374" t="s">
        <v>7389</v>
      </c>
      <c r="AE374" t="s">
        <v>7390</v>
      </c>
      <c r="AF374" t="s">
        <v>74</v>
      </c>
      <c r="AG374">
        <v>24</v>
      </c>
      <c r="AH374">
        <v>0</v>
      </c>
      <c r="AI374">
        <v>0</v>
      </c>
      <c r="AJ374">
        <v>1</v>
      </c>
      <c r="AK374">
        <v>1</v>
      </c>
      <c r="AL374" t="s">
        <v>87</v>
      </c>
      <c r="AM374" t="s">
        <v>88</v>
      </c>
      <c r="AN374" t="s">
        <v>89</v>
      </c>
      <c r="AO374" t="s">
        <v>251</v>
      </c>
      <c r="AP374" t="s">
        <v>252</v>
      </c>
      <c r="AQ374" t="s">
        <v>74</v>
      </c>
      <c r="AR374" t="s">
        <v>253</v>
      </c>
      <c r="AS374" t="s">
        <v>254</v>
      </c>
      <c r="AT374" t="s">
        <v>6725</v>
      </c>
      <c r="AU374">
        <v>2023</v>
      </c>
      <c r="AV374">
        <v>37</v>
      </c>
      <c r="AW374">
        <v>9</v>
      </c>
      <c r="AX374" t="s">
        <v>74</v>
      </c>
      <c r="AY374" t="s">
        <v>74</v>
      </c>
      <c r="AZ374" t="s">
        <v>74</v>
      </c>
      <c r="BA374" t="s">
        <v>74</v>
      </c>
      <c r="BB374" t="s">
        <v>74</v>
      </c>
      <c r="BC374" t="s">
        <v>74</v>
      </c>
      <c r="BD374" t="s">
        <v>7391</v>
      </c>
      <c r="BE374" t="s">
        <v>7392</v>
      </c>
      <c r="BF374" t="str">
        <f>HYPERLINK("http://dx.doi.org/10.1096/fj.202300439RR","http://dx.doi.org/10.1096/fj.202300439RR")</f>
        <v>http://dx.doi.org/10.1096/fj.202300439RR</v>
      </c>
      <c r="BG374" t="s">
        <v>74</v>
      </c>
      <c r="BH374" t="s">
        <v>74</v>
      </c>
      <c r="BI374">
        <v>13</v>
      </c>
      <c r="BJ374" t="s">
        <v>257</v>
      </c>
      <c r="BK374" t="s">
        <v>119</v>
      </c>
      <c r="BL374" t="s">
        <v>258</v>
      </c>
      <c r="BM374" t="s">
        <v>7393</v>
      </c>
      <c r="BN374">
        <v>37527279</v>
      </c>
      <c r="BO374" t="s">
        <v>122</v>
      </c>
      <c r="BP374" t="s">
        <v>74</v>
      </c>
      <c r="BQ374" t="s">
        <v>74</v>
      </c>
      <c r="BR374" t="s">
        <v>99</v>
      </c>
      <c r="BS374" t="s">
        <v>7394</v>
      </c>
      <c r="BT374" t="str">
        <f>HYPERLINK("https%3A%2F%2Fwww.webofscience.com%2Fwos%2Fwoscc%2Ffull-record%2FWOS:001041170000001","View Full Record in Web of Science")</f>
        <v>View Full Record in Web of Science</v>
      </c>
    </row>
    <row r="375" spans="1:72" x14ac:dyDescent="0.15">
      <c r="A375" t="s">
        <v>72</v>
      </c>
      <c r="B375" t="s">
        <v>7395</v>
      </c>
      <c r="C375" t="s">
        <v>74</v>
      </c>
      <c r="D375" t="s">
        <v>74</v>
      </c>
      <c r="E375" t="s">
        <v>74</v>
      </c>
      <c r="F375" t="s">
        <v>7396</v>
      </c>
      <c r="G375" t="s">
        <v>74</v>
      </c>
      <c r="H375" t="s">
        <v>74</v>
      </c>
      <c r="I375" t="s">
        <v>7397</v>
      </c>
      <c r="J375" t="s">
        <v>7356</v>
      </c>
      <c r="K375" t="s">
        <v>74</v>
      </c>
      <c r="L375" t="s">
        <v>74</v>
      </c>
      <c r="M375" t="s">
        <v>78</v>
      </c>
      <c r="N375" t="s">
        <v>3392</v>
      </c>
      <c r="O375" t="s">
        <v>74</v>
      </c>
      <c r="P375" t="s">
        <v>74</v>
      </c>
      <c r="Q375" t="s">
        <v>74</v>
      </c>
      <c r="R375" t="s">
        <v>74</v>
      </c>
      <c r="S375" t="s">
        <v>74</v>
      </c>
      <c r="T375" t="s">
        <v>7398</v>
      </c>
      <c r="U375" t="s">
        <v>7399</v>
      </c>
      <c r="V375" t="s">
        <v>7400</v>
      </c>
      <c r="W375" t="s">
        <v>7401</v>
      </c>
      <c r="X375" t="s">
        <v>7402</v>
      </c>
      <c r="Y375" t="s">
        <v>7403</v>
      </c>
      <c r="Z375" t="s">
        <v>7404</v>
      </c>
      <c r="AA375" t="s">
        <v>7405</v>
      </c>
      <c r="AB375" t="s">
        <v>7406</v>
      </c>
      <c r="AC375" t="s">
        <v>74</v>
      </c>
      <c r="AD375" t="s">
        <v>74</v>
      </c>
      <c r="AE375" t="s">
        <v>74</v>
      </c>
      <c r="AF375" t="s">
        <v>74</v>
      </c>
      <c r="AG375">
        <v>150</v>
      </c>
      <c r="AH375">
        <v>0</v>
      </c>
      <c r="AI375">
        <v>0</v>
      </c>
      <c r="AJ375">
        <v>1</v>
      </c>
      <c r="AK375">
        <v>1</v>
      </c>
      <c r="AL375" t="s">
        <v>87</v>
      </c>
      <c r="AM375" t="s">
        <v>88</v>
      </c>
      <c r="AN375" t="s">
        <v>89</v>
      </c>
      <c r="AO375" t="s">
        <v>74</v>
      </c>
      <c r="AP375" t="s">
        <v>7369</v>
      </c>
      <c r="AQ375" t="s">
        <v>74</v>
      </c>
      <c r="AR375" t="s">
        <v>7370</v>
      </c>
      <c r="AS375" t="s">
        <v>7371</v>
      </c>
      <c r="AT375" t="s">
        <v>6725</v>
      </c>
      <c r="AU375">
        <v>2023</v>
      </c>
      <c r="AV375">
        <v>6</v>
      </c>
      <c r="AW375">
        <v>9</v>
      </c>
      <c r="AX375" t="s">
        <v>74</v>
      </c>
      <c r="AY375" t="s">
        <v>74</v>
      </c>
      <c r="AZ375" t="s">
        <v>74</v>
      </c>
      <c r="BA375" t="s">
        <v>74</v>
      </c>
      <c r="BB375" t="s">
        <v>74</v>
      </c>
      <c r="BC375" t="s">
        <v>74</v>
      </c>
      <c r="BD375" t="s">
        <v>7407</v>
      </c>
      <c r="BE375" t="s">
        <v>7408</v>
      </c>
      <c r="BF375" t="str">
        <f>HYPERLINK("http://dx.doi.org/10.1002/hsr2.1435","http://dx.doi.org/10.1002/hsr2.1435")</f>
        <v>http://dx.doi.org/10.1002/hsr2.1435</v>
      </c>
      <c r="BG375" t="s">
        <v>74</v>
      </c>
      <c r="BH375" t="s">
        <v>74</v>
      </c>
      <c r="BI375">
        <v>14</v>
      </c>
      <c r="BJ375" t="s">
        <v>7374</v>
      </c>
      <c r="BK375" t="s">
        <v>96</v>
      </c>
      <c r="BL375" t="s">
        <v>7375</v>
      </c>
      <c r="BM375" t="s">
        <v>7409</v>
      </c>
      <c r="BN375">
        <v>37680208</v>
      </c>
      <c r="BO375" t="s">
        <v>234</v>
      </c>
      <c r="BP375" t="s">
        <v>74</v>
      </c>
      <c r="BQ375" t="s">
        <v>74</v>
      </c>
      <c r="BR375" t="s">
        <v>99</v>
      </c>
      <c r="BS375" t="s">
        <v>7410</v>
      </c>
      <c r="BT375" t="str">
        <f>HYPERLINK("https%3A%2F%2Fwww.webofscience.com%2Fwos%2Fwoscc%2Ffull-record%2FWOS:001058825100001","View Full Record in Web of Science")</f>
        <v>View Full Record in Web of Science</v>
      </c>
    </row>
    <row r="376" spans="1:72" x14ac:dyDescent="0.15">
      <c r="A376" t="s">
        <v>72</v>
      </c>
      <c r="B376" t="s">
        <v>7411</v>
      </c>
      <c r="C376" t="s">
        <v>74</v>
      </c>
      <c r="D376" t="s">
        <v>74</v>
      </c>
      <c r="E376" t="s">
        <v>74</v>
      </c>
      <c r="F376" t="s">
        <v>7412</v>
      </c>
      <c r="G376" t="s">
        <v>74</v>
      </c>
      <c r="H376" t="s">
        <v>74</v>
      </c>
      <c r="I376" t="s">
        <v>7413</v>
      </c>
      <c r="J376" t="s">
        <v>7414</v>
      </c>
      <c r="K376" t="s">
        <v>74</v>
      </c>
      <c r="L376" t="s">
        <v>74</v>
      </c>
      <c r="M376" t="s">
        <v>78</v>
      </c>
      <c r="N376" t="s">
        <v>1297</v>
      </c>
      <c r="O376" t="s">
        <v>74</v>
      </c>
      <c r="P376" t="s">
        <v>74</v>
      </c>
      <c r="Q376" t="s">
        <v>74</v>
      </c>
      <c r="R376" t="s">
        <v>74</v>
      </c>
      <c r="S376" t="s">
        <v>74</v>
      </c>
      <c r="T376" t="s">
        <v>74</v>
      </c>
      <c r="U376" t="s">
        <v>74</v>
      </c>
      <c r="V376" t="s">
        <v>74</v>
      </c>
      <c r="W376" t="s">
        <v>7415</v>
      </c>
      <c r="X376" t="s">
        <v>7416</v>
      </c>
      <c r="Y376" t="s">
        <v>7417</v>
      </c>
      <c r="Z376" t="s">
        <v>7418</v>
      </c>
      <c r="AA376" t="s">
        <v>74</v>
      </c>
      <c r="AB376" t="s">
        <v>7419</v>
      </c>
      <c r="AC376" t="s">
        <v>74</v>
      </c>
      <c r="AD376" t="s">
        <v>74</v>
      </c>
      <c r="AE376" t="s">
        <v>74</v>
      </c>
      <c r="AF376" t="s">
        <v>74</v>
      </c>
      <c r="AG376">
        <v>5</v>
      </c>
      <c r="AH376">
        <v>0</v>
      </c>
      <c r="AI376">
        <v>0</v>
      </c>
      <c r="AJ376">
        <v>0</v>
      </c>
      <c r="AK376">
        <v>0</v>
      </c>
      <c r="AL376" t="s">
        <v>87</v>
      </c>
      <c r="AM376" t="s">
        <v>88</v>
      </c>
      <c r="AN376" t="s">
        <v>89</v>
      </c>
      <c r="AO376" t="s">
        <v>7420</v>
      </c>
      <c r="AP376" t="s">
        <v>7421</v>
      </c>
      <c r="AQ376" t="s">
        <v>74</v>
      </c>
      <c r="AR376" t="s">
        <v>7422</v>
      </c>
      <c r="AS376" t="s">
        <v>7423</v>
      </c>
      <c r="AT376" t="s">
        <v>6824</v>
      </c>
      <c r="AU376">
        <v>2023</v>
      </c>
      <c r="AV376" t="s">
        <v>74</v>
      </c>
      <c r="AW376" t="s">
        <v>74</v>
      </c>
      <c r="AX376" t="s">
        <v>74</v>
      </c>
      <c r="AY376" t="s">
        <v>74</v>
      </c>
      <c r="AZ376" t="s">
        <v>74</v>
      </c>
      <c r="BA376" t="s">
        <v>74</v>
      </c>
      <c r="BB376" t="s">
        <v>74</v>
      </c>
      <c r="BC376" t="s">
        <v>74</v>
      </c>
      <c r="BD376" t="s">
        <v>74</v>
      </c>
      <c r="BE376" t="s">
        <v>7424</v>
      </c>
      <c r="BF376" t="str">
        <f>HYPERLINK("http://dx.doi.org/10.1002/jhbp.1348","http://dx.doi.org/10.1002/jhbp.1348")</f>
        <v>http://dx.doi.org/10.1002/jhbp.1348</v>
      </c>
      <c r="BG376" t="s">
        <v>74</v>
      </c>
      <c r="BH376" t="s">
        <v>407</v>
      </c>
      <c r="BI376">
        <v>4</v>
      </c>
      <c r="BJ376" t="s">
        <v>1350</v>
      </c>
      <c r="BK376" t="s">
        <v>119</v>
      </c>
      <c r="BL376" t="s">
        <v>1350</v>
      </c>
      <c r="BM376" t="s">
        <v>7425</v>
      </c>
      <c r="BN376">
        <v>37658642</v>
      </c>
      <c r="BO376" t="s">
        <v>74</v>
      </c>
      <c r="BP376" t="s">
        <v>74</v>
      </c>
      <c r="BQ376" t="s">
        <v>74</v>
      </c>
      <c r="BR376" t="s">
        <v>99</v>
      </c>
      <c r="BS376" t="s">
        <v>7426</v>
      </c>
      <c r="BT376" t="str">
        <f>HYPERLINK("https%3A%2F%2Fwww.webofscience.com%2Fwos%2Fwoscc%2Ffull-record%2FWOS:001056895100001","View Full Record in Web of Science")</f>
        <v>View Full Record in Web of Science</v>
      </c>
    </row>
    <row r="377" spans="1:72" x14ac:dyDescent="0.15">
      <c r="A377" t="s">
        <v>72</v>
      </c>
      <c r="B377" t="s">
        <v>7427</v>
      </c>
      <c r="C377" t="s">
        <v>74</v>
      </c>
      <c r="D377" t="s">
        <v>74</v>
      </c>
      <c r="E377" t="s">
        <v>74</v>
      </c>
      <c r="F377" t="s">
        <v>7428</v>
      </c>
      <c r="G377" t="s">
        <v>74</v>
      </c>
      <c r="H377" t="s">
        <v>74</v>
      </c>
      <c r="I377" t="s">
        <v>7429</v>
      </c>
      <c r="J377" t="s">
        <v>7430</v>
      </c>
      <c r="K377" t="s">
        <v>74</v>
      </c>
      <c r="L377" t="s">
        <v>74</v>
      </c>
      <c r="M377" t="s">
        <v>78</v>
      </c>
      <c r="N377" t="s">
        <v>288</v>
      </c>
      <c r="O377" t="s">
        <v>74</v>
      </c>
      <c r="P377" t="s">
        <v>74</v>
      </c>
      <c r="Q377" t="s">
        <v>74</v>
      </c>
      <c r="R377" t="s">
        <v>74</v>
      </c>
      <c r="S377" t="s">
        <v>74</v>
      </c>
      <c r="T377" t="s">
        <v>74</v>
      </c>
      <c r="U377" t="s">
        <v>7431</v>
      </c>
      <c r="V377" t="s">
        <v>74</v>
      </c>
      <c r="W377" t="s">
        <v>7432</v>
      </c>
      <c r="X377" t="s">
        <v>7433</v>
      </c>
      <c r="Y377" t="s">
        <v>7434</v>
      </c>
      <c r="Z377" t="s">
        <v>7435</v>
      </c>
      <c r="AA377" t="s">
        <v>74</v>
      </c>
      <c r="AB377" t="s">
        <v>74</v>
      </c>
      <c r="AC377" t="s">
        <v>7433</v>
      </c>
      <c r="AD377" t="s">
        <v>7433</v>
      </c>
      <c r="AE377" t="s">
        <v>7436</v>
      </c>
      <c r="AF377" t="s">
        <v>74</v>
      </c>
      <c r="AG377">
        <v>5</v>
      </c>
      <c r="AH377">
        <v>0</v>
      </c>
      <c r="AI377">
        <v>0</v>
      </c>
      <c r="AJ377">
        <v>0</v>
      </c>
      <c r="AK377">
        <v>0</v>
      </c>
      <c r="AL377" t="s">
        <v>87</v>
      </c>
      <c r="AM377" t="s">
        <v>88</v>
      </c>
      <c r="AN377" t="s">
        <v>89</v>
      </c>
      <c r="AO377" t="s">
        <v>7437</v>
      </c>
      <c r="AP377" t="s">
        <v>74</v>
      </c>
      <c r="AQ377" t="s">
        <v>74</v>
      </c>
      <c r="AR377" t="s">
        <v>7438</v>
      </c>
      <c r="AS377" t="s">
        <v>7439</v>
      </c>
      <c r="AT377" t="s">
        <v>6725</v>
      </c>
      <c r="AU377">
        <v>2023</v>
      </c>
      <c r="AV377">
        <v>11</v>
      </c>
      <c r="AW377">
        <v>17</v>
      </c>
      <c r="AX377" t="s">
        <v>74</v>
      </c>
      <c r="AY377" t="s">
        <v>74</v>
      </c>
      <c r="AZ377" t="s">
        <v>74</v>
      </c>
      <c r="BA377" t="s">
        <v>74</v>
      </c>
      <c r="BB377" t="s">
        <v>74</v>
      </c>
      <c r="BC377" t="s">
        <v>74</v>
      </c>
      <c r="BD377" t="s">
        <v>7440</v>
      </c>
      <c r="BE377" t="s">
        <v>7441</v>
      </c>
      <c r="BF377" t="str">
        <f>HYPERLINK("http://dx.doi.org/10.14814/phy2.15796","http://dx.doi.org/10.14814/phy2.15796")</f>
        <v>http://dx.doi.org/10.14814/phy2.15796</v>
      </c>
      <c r="BG377" t="s">
        <v>74</v>
      </c>
      <c r="BH377" t="s">
        <v>74</v>
      </c>
      <c r="BI377">
        <v>2</v>
      </c>
      <c r="BJ377" t="s">
        <v>7442</v>
      </c>
      <c r="BK377" t="s">
        <v>96</v>
      </c>
      <c r="BL377" t="s">
        <v>7442</v>
      </c>
      <c r="BM377" t="s">
        <v>7443</v>
      </c>
      <c r="BN377">
        <v>37653621</v>
      </c>
      <c r="BO377" t="s">
        <v>234</v>
      </c>
      <c r="BP377" t="s">
        <v>74</v>
      </c>
      <c r="BQ377" t="s">
        <v>74</v>
      </c>
      <c r="BR377" t="s">
        <v>99</v>
      </c>
      <c r="BS377" t="s">
        <v>7444</v>
      </c>
      <c r="BT377" t="str">
        <f>HYPERLINK("https%3A%2F%2Fwww.webofscience.com%2Fwos%2Fwoscc%2Ffull-record%2FWOS:001059431400001","View Full Record in Web of Science")</f>
        <v>View Full Record in Web of Science</v>
      </c>
    </row>
    <row r="378" spans="1:72" x14ac:dyDescent="0.15">
      <c r="A378" t="s">
        <v>72</v>
      </c>
      <c r="B378" t="s">
        <v>7445</v>
      </c>
      <c r="C378" t="s">
        <v>74</v>
      </c>
      <c r="D378" t="s">
        <v>74</v>
      </c>
      <c r="E378" t="s">
        <v>74</v>
      </c>
      <c r="F378" t="s">
        <v>7446</v>
      </c>
      <c r="G378" t="s">
        <v>74</v>
      </c>
      <c r="H378" t="s">
        <v>74</v>
      </c>
      <c r="I378" t="s">
        <v>7447</v>
      </c>
      <c r="J378" t="s">
        <v>7448</v>
      </c>
      <c r="K378" t="s">
        <v>74</v>
      </c>
      <c r="L378" t="s">
        <v>74</v>
      </c>
      <c r="M378" t="s">
        <v>78</v>
      </c>
      <c r="N378" t="s">
        <v>79</v>
      </c>
      <c r="O378" t="s">
        <v>74</v>
      </c>
      <c r="P378" t="s">
        <v>74</v>
      </c>
      <c r="Q378" t="s">
        <v>74</v>
      </c>
      <c r="R378" t="s">
        <v>74</v>
      </c>
      <c r="S378" t="s">
        <v>74</v>
      </c>
      <c r="T378" t="s">
        <v>7449</v>
      </c>
      <c r="U378" t="s">
        <v>7450</v>
      </c>
      <c r="V378" t="s">
        <v>7451</v>
      </c>
      <c r="W378" t="s">
        <v>7452</v>
      </c>
      <c r="X378" t="s">
        <v>7453</v>
      </c>
      <c r="Y378" t="s">
        <v>7454</v>
      </c>
      <c r="Z378" t="s">
        <v>7455</v>
      </c>
      <c r="AA378" t="s">
        <v>7456</v>
      </c>
      <c r="AB378" t="s">
        <v>7457</v>
      </c>
      <c r="AC378" t="s">
        <v>7458</v>
      </c>
      <c r="AD378" t="s">
        <v>7459</v>
      </c>
      <c r="AE378" t="s">
        <v>7460</v>
      </c>
      <c r="AF378" t="s">
        <v>74</v>
      </c>
      <c r="AG378">
        <v>85</v>
      </c>
      <c r="AH378">
        <v>0</v>
      </c>
      <c r="AI378">
        <v>0</v>
      </c>
      <c r="AJ378">
        <v>0</v>
      </c>
      <c r="AK378">
        <v>0</v>
      </c>
      <c r="AL378" t="s">
        <v>87</v>
      </c>
      <c r="AM378" t="s">
        <v>88</v>
      </c>
      <c r="AN378" t="s">
        <v>89</v>
      </c>
      <c r="AO378" t="s">
        <v>7461</v>
      </c>
      <c r="AP378" t="s">
        <v>74</v>
      </c>
      <c r="AQ378" t="s">
        <v>74</v>
      </c>
      <c r="AR378" t="s">
        <v>7448</v>
      </c>
      <c r="AS378" t="s">
        <v>7462</v>
      </c>
      <c r="AT378" t="s">
        <v>6725</v>
      </c>
      <c r="AU378">
        <v>2023</v>
      </c>
      <c r="AV378">
        <v>14</v>
      </c>
      <c r="AW378">
        <v>9</v>
      </c>
      <c r="AX378" t="s">
        <v>74</v>
      </c>
      <c r="AY378" t="s">
        <v>74</v>
      </c>
      <c r="AZ378" t="s">
        <v>74</v>
      </c>
      <c r="BA378" t="s">
        <v>74</v>
      </c>
      <c r="BB378" t="s">
        <v>74</v>
      </c>
      <c r="BC378" t="s">
        <v>74</v>
      </c>
      <c r="BD378" t="s">
        <v>7463</v>
      </c>
      <c r="BE378" t="s">
        <v>7464</v>
      </c>
      <c r="BF378" t="str">
        <f>HYPERLINK("http://dx.doi.org/10.1002/ecs2.4646","http://dx.doi.org/10.1002/ecs2.4646")</f>
        <v>http://dx.doi.org/10.1002/ecs2.4646</v>
      </c>
      <c r="BG378" t="s">
        <v>74</v>
      </c>
      <c r="BH378" t="s">
        <v>74</v>
      </c>
      <c r="BI378">
        <v>12</v>
      </c>
      <c r="BJ378" t="s">
        <v>3316</v>
      </c>
      <c r="BK378" t="s">
        <v>119</v>
      </c>
      <c r="BL378" t="s">
        <v>3317</v>
      </c>
      <c r="BM378" t="s">
        <v>7465</v>
      </c>
      <c r="BN378" t="s">
        <v>74</v>
      </c>
      <c r="BO378" t="s">
        <v>234</v>
      </c>
      <c r="BP378" t="s">
        <v>74</v>
      </c>
      <c r="BQ378" t="s">
        <v>74</v>
      </c>
      <c r="BR378" t="s">
        <v>99</v>
      </c>
      <c r="BS378" t="s">
        <v>7466</v>
      </c>
      <c r="BT378" t="str">
        <f>HYPERLINK("https%3A%2F%2Fwww.webofscience.com%2Fwos%2Fwoscc%2Ffull-record%2FWOS:001061400900001","View Full Record in Web of Science")</f>
        <v>View Full Record in Web of Science</v>
      </c>
    </row>
    <row r="379" spans="1:72" x14ac:dyDescent="0.15">
      <c r="A379" t="s">
        <v>72</v>
      </c>
      <c r="B379" t="s">
        <v>7467</v>
      </c>
      <c r="C379" t="s">
        <v>74</v>
      </c>
      <c r="D379" t="s">
        <v>74</v>
      </c>
      <c r="E379" t="s">
        <v>74</v>
      </c>
      <c r="F379" t="s">
        <v>7468</v>
      </c>
      <c r="G379" t="s">
        <v>74</v>
      </c>
      <c r="H379" t="s">
        <v>74</v>
      </c>
      <c r="I379" t="s">
        <v>7469</v>
      </c>
      <c r="J379" t="s">
        <v>3370</v>
      </c>
      <c r="K379" t="s">
        <v>74</v>
      </c>
      <c r="L379" t="s">
        <v>74</v>
      </c>
      <c r="M379" t="s">
        <v>78</v>
      </c>
      <c r="N379" t="s">
        <v>338</v>
      </c>
      <c r="O379" t="s">
        <v>74</v>
      </c>
      <c r="P379" t="s">
        <v>74</v>
      </c>
      <c r="Q379" t="s">
        <v>74</v>
      </c>
      <c r="R379" t="s">
        <v>74</v>
      </c>
      <c r="S379" t="s">
        <v>74</v>
      </c>
      <c r="T379" t="s">
        <v>7470</v>
      </c>
      <c r="U379" t="s">
        <v>7471</v>
      </c>
      <c r="V379" t="s">
        <v>7472</v>
      </c>
      <c r="W379" t="s">
        <v>7473</v>
      </c>
      <c r="X379" t="s">
        <v>7474</v>
      </c>
      <c r="Y379" t="s">
        <v>7475</v>
      </c>
      <c r="Z379" t="s">
        <v>7476</v>
      </c>
      <c r="AA379" t="s">
        <v>7477</v>
      </c>
      <c r="AB379" t="s">
        <v>7478</v>
      </c>
      <c r="AC379" t="s">
        <v>7479</v>
      </c>
      <c r="AD379" t="s">
        <v>7480</v>
      </c>
      <c r="AE379" t="s">
        <v>7481</v>
      </c>
      <c r="AF379" t="s">
        <v>74</v>
      </c>
      <c r="AG379">
        <v>41</v>
      </c>
      <c r="AH379">
        <v>0</v>
      </c>
      <c r="AI379">
        <v>0</v>
      </c>
      <c r="AJ379">
        <v>12</v>
      </c>
      <c r="AK379">
        <v>12</v>
      </c>
      <c r="AL379" t="s">
        <v>426</v>
      </c>
      <c r="AM379" t="s">
        <v>427</v>
      </c>
      <c r="AN379" t="s">
        <v>428</v>
      </c>
      <c r="AO379" t="s">
        <v>3381</v>
      </c>
      <c r="AP379" t="s">
        <v>74</v>
      </c>
      <c r="AQ379" t="s">
        <v>74</v>
      </c>
      <c r="AR379" t="s">
        <v>3382</v>
      </c>
      <c r="AS379" t="s">
        <v>3383</v>
      </c>
      <c r="AT379" t="s">
        <v>6824</v>
      </c>
      <c r="AU379">
        <v>2023</v>
      </c>
      <c r="AV379" t="s">
        <v>74</v>
      </c>
      <c r="AW379" t="s">
        <v>74</v>
      </c>
      <c r="AX379" t="s">
        <v>74</v>
      </c>
      <c r="AY379" t="s">
        <v>74</v>
      </c>
      <c r="AZ379" t="s">
        <v>74</v>
      </c>
      <c r="BA379" t="s">
        <v>74</v>
      </c>
      <c r="BB379" t="s">
        <v>74</v>
      </c>
      <c r="BC379" t="s">
        <v>74</v>
      </c>
      <c r="BD379" t="s">
        <v>74</v>
      </c>
      <c r="BE379" t="s">
        <v>7482</v>
      </c>
      <c r="BF379" t="str">
        <f>HYPERLINK("http://dx.doi.org/10.1002/adom.202301661","http://dx.doi.org/10.1002/adom.202301661")</f>
        <v>http://dx.doi.org/10.1002/adom.202301661</v>
      </c>
      <c r="BG379" t="s">
        <v>74</v>
      </c>
      <c r="BH379" t="s">
        <v>407</v>
      </c>
      <c r="BI379">
        <v>9</v>
      </c>
      <c r="BJ379" t="s">
        <v>3385</v>
      </c>
      <c r="BK379" t="s">
        <v>119</v>
      </c>
      <c r="BL379" t="s">
        <v>3386</v>
      </c>
      <c r="BM379" t="s">
        <v>7483</v>
      </c>
      <c r="BN379" t="s">
        <v>74</v>
      </c>
      <c r="BO379" t="s">
        <v>74</v>
      </c>
      <c r="BP379" t="s">
        <v>74</v>
      </c>
      <c r="BQ379" t="s">
        <v>74</v>
      </c>
      <c r="BR379" t="s">
        <v>99</v>
      </c>
      <c r="BS379" t="s">
        <v>7484</v>
      </c>
      <c r="BT379" t="str">
        <f>HYPERLINK("https%3A%2F%2Fwww.webofscience.com%2Fwos%2Fwoscc%2Ffull-record%2FWOS:001055946900001","View Full Record in Web of Science")</f>
        <v>View Full Record in Web of Science</v>
      </c>
    </row>
    <row r="380" spans="1:72" x14ac:dyDescent="0.15">
      <c r="A380" t="s">
        <v>72</v>
      </c>
      <c r="B380" t="s">
        <v>7485</v>
      </c>
      <c r="C380" t="s">
        <v>74</v>
      </c>
      <c r="D380" t="s">
        <v>74</v>
      </c>
      <c r="E380" t="s">
        <v>74</v>
      </c>
      <c r="F380" t="s">
        <v>7486</v>
      </c>
      <c r="G380" t="s">
        <v>74</v>
      </c>
      <c r="H380" t="s">
        <v>74</v>
      </c>
      <c r="I380" t="s">
        <v>7487</v>
      </c>
      <c r="J380" t="s">
        <v>7488</v>
      </c>
      <c r="K380" t="s">
        <v>74</v>
      </c>
      <c r="L380" t="s">
        <v>74</v>
      </c>
      <c r="M380" t="s">
        <v>78</v>
      </c>
      <c r="N380" t="s">
        <v>288</v>
      </c>
      <c r="O380" t="s">
        <v>74</v>
      </c>
      <c r="P380" t="s">
        <v>74</v>
      </c>
      <c r="Q380" t="s">
        <v>74</v>
      </c>
      <c r="R380" t="s">
        <v>74</v>
      </c>
      <c r="S380" t="s">
        <v>74</v>
      </c>
      <c r="T380" t="s">
        <v>74</v>
      </c>
      <c r="U380" t="s">
        <v>7489</v>
      </c>
      <c r="V380" t="s">
        <v>74</v>
      </c>
      <c r="W380" t="s">
        <v>7490</v>
      </c>
      <c r="X380" t="s">
        <v>7491</v>
      </c>
      <c r="Y380" t="s">
        <v>7492</v>
      </c>
      <c r="Z380" t="s">
        <v>7493</v>
      </c>
      <c r="AA380" t="s">
        <v>74</v>
      </c>
      <c r="AB380" t="s">
        <v>74</v>
      </c>
      <c r="AC380" t="s">
        <v>7494</v>
      </c>
      <c r="AD380" t="s">
        <v>7495</v>
      </c>
      <c r="AE380" t="s">
        <v>7496</v>
      </c>
      <c r="AF380" t="s">
        <v>74</v>
      </c>
      <c r="AG380">
        <v>19</v>
      </c>
      <c r="AH380">
        <v>0</v>
      </c>
      <c r="AI380">
        <v>0</v>
      </c>
      <c r="AJ380">
        <v>1</v>
      </c>
      <c r="AK380">
        <v>1</v>
      </c>
      <c r="AL380" t="s">
        <v>87</v>
      </c>
      <c r="AM380" t="s">
        <v>88</v>
      </c>
      <c r="AN380" t="s">
        <v>89</v>
      </c>
      <c r="AO380" t="s">
        <v>7497</v>
      </c>
      <c r="AP380" t="s">
        <v>7498</v>
      </c>
      <c r="AQ380" t="s">
        <v>74</v>
      </c>
      <c r="AR380" t="s">
        <v>7499</v>
      </c>
      <c r="AS380" t="s">
        <v>7500</v>
      </c>
      <c r="AT380" t="s">
        <v>6725</v>
      </c>
      <c r="AU380">
        <v>2023</v>
      </c>
      <c r="AV380">
        <v>29</v>
      </c>
      <c r="AW380">
        <v>9</v>
      </c>
      <c r="AX380" t="s">
        <v>74</v>
      </c>
      <c r="AY380" t="s">
        <v>74</v>
      </c>
      <c r="AZ380" t="s">
        <v>74</v>
      </c>
      <c r="BA380" t="s">
        <v>74</v>
      </c>
      <c r="BB380" t="s">
        <v>74</v>
      </c>
      <c r="BC380" t="s">
        <v>74</v>
      </c>
      <c r="BD380" t="s">
        <v>7501</v>
      </c>
      <c r="BE380" t="s">
        <v>7502</v>
      </c>
      <c r="BF380" t="str">
        <f>HYPERLINK("http://dx.doi.org/10.1111/srt.13360","http://dx.doi.org/10.1111/srt.13360")</f>
        <v>http://dx.doi.org/10.1111/srt.13360</v>
      </c>
      <c r="BG380" t="s">
        <v>74</v>
      </c>
      <c r="BH380" t="s">
        <v>74</v>
      </c>
      <c r="BI380">
        <v>4</v>
      </c>
      <c r="BJ380" t="s">
        <v>2541</v>
      </c>
      <c r="BK380" t="s">
        <v>119</v>
      </c>
      <c r="BL380" t="s">
        <v>2541</v>
      </c>
      <c r="BM380" t="s">
        <v>7503</v>
      </c>
      <c r="BN380">
        <v>37753675</v>
      </c>
      <c r="BO380" t="s">
        <v>7504</v>
      </c>
      <c r="BP380" t="s">
        <v>74</v>
      </c>
      <c r="BQ380" t="s">
        <v>74</v>
      </c>
      <c r="BR380" t="s">
        <v>99</v>
      </c>
      <c r="BS380" t="s">
        <v>7505</v>
      </c>
      <c r="BT380" t="str">
        <f>HYPERLINK("https%3A%2F%2Fwww.webofscience.com%2Fwos%2Fwoscc%2Ffull-record%2FWOS:001058328500001","View Full Record in Web of Science")</f>
        <v>View Full Record in Web of Science</v>
      </c>
    </row>
    <row r="381" spans="1:72" x14ac:dyDescent="0.15">
      <c r="A381" t="s">
        <v>72</v>
      </c>
      <c r="B381" t="s">
        <v>7506</v>
      </c>
      <c r="C381" t="s">
        <v>74</v>
      </c>
      <c r="D381" t="s">
        <v>74</v>
      </c>
      <c r="E381" t="s">
        <v>74</v>
      </c>
      <c r="F381" t="s">
        <v>7507</v>
      </c>
      <c r="G381" t="s">
        <v>74</v>
      </c>
      <c r="H381" t="s">
        <v>74</v>
      </c>
      <c r="I381" t="s">
        <v>7508</v>
      </c>
      <c r="J381" t="s">
        <v>7509</v>
      </c>
      <c r="K381" t="s">
        <v>74</v>
      </c>
      <c r="L381" t="s">
        <v>74</v>
      </c>
      <c r="M381" t="s">
        <v>78</v>
      </c>
      <c r="N381" t="s">
        <v>338</v>
      </c>
      <c r="O381" t="s">
        <v>74</v>
      </c>
      <c r="P381" t="s">
        <v>74</v>
      </c>
      <c r="Q381" t="s">
        <v>74</v>
      </c>
      <c r="R381" t="s">
        <v>74</v>
      </c>
      <c r="S381" t="s">
        <v>74</v>
      </c>
      <c r="T381" t="s">
        <v>7510</v>
      </c>
      <c r="U381" t="s">
        <v>7511</v>
      </c>
      <c r="V381" t="s">
        <v>7512</v>
      </c>
      <c r="W381" t="s">
        <v>7513</v>
      </c>
      <c r="X381" t="s">
        <v>7514</v>
      </c>
      <c r="Y381" t="s">
        <v>7515</v>
      </c>
      <c r="Z381" t="s">
        <v>7516</v>
      </c>
      <c r="AA381" t="s">
        <v>74</v>
      </c>
      <c r="AB381" t="s">
        <v>74</v>
      </c>
      <c r="AC381" t="s">
        <v>7517</v>
      </c>
      <c r="AD381" t="s">
        <v>7517</v>
      </c>
      <c r="AE381" t="s">
        <v>7517</v>
      </c>
      <c r="AF381" t="s">
        <v>74</v>
      </c>
      <c r="AG381">
        <v>39</v>
      </c>
      <c r="AH381">
        <v>0</v>
      </c>
      <c r="AI381">
        <v>0</v>
      </c>
      <c r="AJ381">
        <v>0</v>
      </c>
      <c r="AK381">
        <v>0</v>
      </c>
      <c r="AL381" t="s">
        <v>87</v>
      </c>
      <c r="AM381" t="s">
        <v>88</v>
      </c>
      <c r="AN381" t="s">
        <v>89</v>
      </c>
      <c r="AO381" t="s">
        <v>7518</v>
      </c>
      <c r="AP381" t="s">
        <v>7519</v>
      </c>
      <c r="AQ381" t="s">
        <v>74</v>
      </c>
      <c r="AR381" t="s">
        <v>7520</v>
      </c>
      <c r="AS381" t="s">
        <v>7521</v>
      </c>
      <c r="AT381" t="s">
        <v>7522</v>
      </c>
      <c r="AU381">
        <v>2023</v>
      </c>
      <c r="AV381" t="s">
        <v>74</v>
      </c>
      <c r="AW381" t="s">
        <v>74</v>
      </c>
      <c r="AX381" t="s">
        <v>74</v>
      </c>
      <c r="AY381" t="s">
        <v>74</v>
      </c>
      <c r="AZ381" t="s">
        <v>74</v>
      </c>
      <c r="BA381" t="s">
        <v>74</v>
      </c>
      <c r="BB381" t="s">
        <v>74</v>
      </c>
      <c r="BC381" t="s">
        <v>74</v>
      </c>
      <c r="BD381" t="s">
        <v>74</v>
      </c>
      <c r="BE381" t="s">
        <v>7523</v>
      </c>
      <c r="BF381" t="str">
        <f>HYPERLINK("http://dx.doi.org/10.1002/jso.27427","http://dx.doi.org/10.1002/jso.27427")</f>
        <v>http://dx.doi.org/10.1002/jso.27427</v>
      </c>
      <c r="BG381" t="s">
        <v>74</v>
      </c>
      <c r="BH381" t="s">
        <v>7524</v>
      </c>
      <c r="BI381">
        <v>8</v>
      </c>
      <c r="BJ381" t="s">
        <v>7525</v>
      </c>
      <c r="BK381" t="s">
        <v>119</v>
      </c>
      <c r="BL381" t="s">
        <v>7525</v>
      </c>
      <c r="BM381" t="s">
        <v>7526</v>
      </c>
      <c r="BN381">
        <v>37653689</v>
      </c>
      <c r="BO381" t="s">
        <v>74</v>
      </c>
      <c r="BP381" t="s">
        <v>74</v>
      </c>
      <c r="BQ381" t="s">
        <v>74</v>
      </c>
      <c r="BR381" t="s">
        <v>99</v>
      </c>
      <c r="BS381" t="s">
        <v>7527</v>
      </c>
      <c r="BT381" t="str">
        <f>HYPERLINK("https%3A%2F%2Fwww.webofscience.com%2Fwos%2Fwoscc%2Ffull-record%2FWOS:001061856700001","View Full Record in Web of Science")</f>
        <v>View Full Record in Web of Science</v>
      </c>
    </row>
    <row r="382" spans="1:72" x14ac:dyDescent="0.15">
      <c r="A382" t="s">
        <v>72</v>
      </c>
      <c r="B382" t="s">
        <v>7528</v>
      </c>
      <c r="C382" t="s">
        <v>74</v>
      </c>
      <c r="D382" t="s">
        <v>74</v>
      </c>
      <c r="E382" t="s">
        <v>74</v>
      </c>
      <c r="F382" t="s">
        <v>7529</v>
      </c>
      <c r="G382" t="s">
        <v>74</v>
      </c>
      <c r="H382" t="s">
        <v>74</v>
      </c>
      <c r="I382" t="s">
        <v>7530</v>
      </c>
      <c r="J382" t="s">
        <v>7531</v>
      </c>
      <c r="K382" t="s">
        <v>74</v>
      </c>
      <c r="L382" t="s">
        <v>74</v>
      </c>
      <c r="M382" t="s">
        <v>78</v>
      </c>
      <c r="N382" t="s">
        <v>338</v>
      </c>
      <c r="O382" t="s">
        <v>74</v>
      </c>
      <c r="P382" t="s">
        <v>74</v>
      </c>
      <c r="Q382" t="s">
        <v>74</v>
      </c>
      <c r="R382" t="s">
        <v>74</v>
      </c>
      <c r="S382" t="s">
        <v>74</v>
      </c>
      <c r="T382" t="s">
        <v>74</v>
      </c>
      <c r="U382" t="s">
        <v>7532</v>
      </c>
      <c r="V382" t="s">
        <v>7533</v>
      </c>
      <c r="W382" t="s">
        <v>7534</v>
      </c>
      <c r="X382" t="s">
        <v>7535</v>
      </c>
      <c r="Y382" t="s">
        <v>7536</v>
      </c>
      <c r="Z382" t="s">
        <v>7537</v>
      </c>
      <c r="AA382" t="s">
        <v>74</v>
      </c>
      <c r="AB382" t="s">
        <v>7538</v>
      </c>
      <c r="AC382" t="s">
        <v>74</v>
      </c>
      <c r="AD382" t="s">
        <v>74</v>
      </c>
      <c r="AE382" t="s">
        <v>74</v>
      </c>
      <c r="AF382" t="s">
        <v>74</v>
      </c>
      <c r="AG382">
        <v>21</v>
      </c>
      <c r="AH382">
        <v>0</v>
      </c>
      <c r="AI382">
        <v>0</v>
      </c>
      <c r="AJ382">
        <v>0</v>
      </c>
      <c r="AK382">
        <v>0</v>
      </c>
      <c r="AL382" t="s">
        <v>87</v>
      </c>
      <c r="AM382" t="s">
        <v>88</v>
      </c>
      <c r="AN382" t="s">
        <v>89</v>
      </c>
      <c r="AO382" t="s">
        <v>7539</v>
      </c>
      <c r="AP382" t="s">
        <v>7540</v>
      </c>
      <c r="AQ382" t="s">
        <v>74</v>
      </c>
      <c r="AR382" t="s">
        <v>7541</v>
      </c>
      <c r="AS382" t="s">
        <v>7542</v>
      </c>
      <c r="AT382" t="s">
        <v>7522</v>
      </c>
      <c r="AU382">
        <v>2023</v>
      </c>
      <c r="AV382" t="s">
        <v>74</v>
      </c>
      <c r="AW382" t="s">
        <v>74</v>
      </c>
      <c r="AX382" t="s">
        <v>74</v>
      </c>
      <c r="AY382" t="s">
        <v>74</v>
      </c>
      <c r="AZ382" t="s">
        <v>74</v>
      </c>
      <c r="BA382" t="s">
        <v>74</v>
      </c>
      <c r="BB382" t="s">
        <v>74</v>
      </c>
      <c r="BC382" t="s">
        <v>74</v>
      </c>
      <c r="BD382" t="s">
        <v>74</v>
      </c>
      <c r="BE382" t="s">
        <v>7543</v>
      </c>
      <c r="BF382" t="str">
        <f>HYPERLINK("http://dx.doi.org/10.1111/vsu.14023","http://dx.doi.org/10.1111/vsu.14023")</f>
        <v>http://dx.doi.org/10.1111/vsu.14023</v>
      </c>
      <c r="BG382" t="s">
        <v>74</v>
      </c>
      <c r="BH382" t="s">
        <v>7524</v>
      </c>
      <c r="BI382">
        <v>9</v>
      </c>
      <c r="BJ382" t="s">
        <v>354</v>
      </c>
      <c r="BK382" t="s">
        <v>119</v>
      </c>
      <c r="BL382" t="s">
        <v>354</v>
      </c>
      <c r="BM382" t="s">
        <v>7544</v>
      </c>
      <c r="BN382">
        <v>37650370</v>
      </c>
      <c r="BO382" t="s">
        <v>74</v>
      </c>
      <c r="BP382" t="s">
        <v>74</v>
      </c>
      <c r="BQ382" t="s">
        <v>74</v>
      </c>
      <c r="BR382" t="s">
        <v>99</v>
      </c>
      <c r="BS382" t="s">
        <v>7545</v>
      </c>
      <c r="BT382" t="str">
        <f>HYPERLINK("https%3A%2F%2Fwww.webofscience.com%2Fwos%2Fwoscc%2Ffull-record%2FWOS:001065126500001","View Full Record in Web of Science")</f>
        <v>View Full Record in Web of Science</v>
      </c>
    </row>
    <row r="383" spans="1:72" x14ac:dyDescent="0.15">
      <c r="A383" t="s">
        <v>72</v>
      </c>
      <c r="B383" t="s">
        <v>7546</v>
      </c>
      <c r="C383" t="s">
        <v>74</v>
      </c>
      <c r="D383" t="s">
        <v>74</v>
      </c>
      <c r="E383" t="s">
        <v>74</v>
      </c>
      <c r="F383" t="s">
        <v>7547</v>
      </c>
      <c r="G383" t="s">
        <v>74</v>
      </c>
      <c r="H383" t="s">
        <v>74</v>
      </c>
      <c r="I383" t="s">
        <v>7548</v>
      </c>
      <c r="J383" t="s">
        <v>7549</v>
      </c>
      <c r="K383" t="s">
        <v>74</v>
      </c>
      <c r="L383" t="s">
        <v>74</v>
      </c>
      <c r="M383" t="s">
        <v>78</v>
      </c>
      <c r="N383" t="s">
        <v>338</v>
      </c>
      <c r="O383" t="s">
        <v>74</v>
      </c>
      <c r="P383" t="s">
        <v>74</v>
      </c>
      <c r="Q383" t="s">
        <v>74</v>
      </c>
      <c r="R383" t="s">
        <v>74</v>
      </c>
      <c r="S383" t="s">
        <v>74</v>
      </c>
      <c r="T383" t="s">
        <v>7550</v>
      </c>
      <c r="U383" t="s">
        <v>7551</v>
      </c>
      <c r="V383" t="s">
        <v>7552</v>
      </c>
      <c r="W383" t="s">
        <v>7553</v>
      </c>
      <c r="X383" t="s">
        <v>7554</v>
      </c>
      <c r="Y383" t="s">
        <v>7555</v>
      </c>
      <c r="Z383" t="s">
        <v>7556</v>
      </c>
      <c r="AA383" t="s">
        <v>7557</v>
      </c>
      <c r="AB383" t="s">
        <v>7558</v>
      </c>
      <c r="AC383" t="s">
        <v>7559</v>
      </c>
      <c r="AD383" t="s">
        <v>7560</v>
      </c>
      <c r="AE383" t="s">
        <v>7561</v>
      </c>
      <c r="AF383" t="s">
        <v>74</v>
      </c>
      <c r="AG383">
        <v>91</v>
      </c>
      <c r="AH383">
        <v>0</v>
      </c>
      <c r="AI383">
        <v>0</v>
      </c>
      <c r="AJ383">
        <v>0</v>
      </c>
      <c r="AK383">
        <v>0</v>
      </c>
      <c r="AL383" t="s">
        <v>87</v>
      </c>
      <c r="AM383" t="s">
        <v>88</v>
      </c>
      <c r="AN383" t="s">
        <v>89</v>
      </c>
      <c r="AO383" t="s">
        <v>7562</v>
      </c>
      <c r="AP383" t="s">
        <v>7563</v>
      </c>
      <c r="AQ383" t="s">
        <v>74</v>
      </c>
      <c r="AR383" t="s">
        <v>7564</v>
      </c>
      <c r="AS383" t="s">
        <v>7565</v>
      </c>
      <c r="AT383" t="s">
        <v>7522</v>
      </c>
      <c r="AU383">
        <v>2023</v>
      </c>
      <c r="AV383" t="s">
        <v>74</v>
      </c>
      <c r="AW383" t="s">
        <v>74</v>
      </c>
      <c r="AX383" t="s">
        <v>74</v>
      </c>
      <c r="AY383" t="s">
        <v>74</v>
      </c>
      <c r="AZ383" t="s">
        <v>74</v>
      </c>
      <c r="BA383" t="s">
        <v>74</v>
      </c>
      <c r="BB383" t="s">
        <v>74</v>
      </c>
      <c r="BC383" t="s">
        <v>74</v>
      </c>
      <c r="BD383" t="s">
        <v>74</v>
      </c>
      <c r="BE383" t="s">
        <v>7566</v>
      </c>
      <c r="BF383" t="str">
        <f>HYPERLINK("http://dx.doi.org/10.1002/cbf.3844","http://dx.doi.org/10.1002/cbf.3844")</f>
        <v>http://dx.doi.org/10.1002/cbf.3844</v>
      </c>
      <c r="BG383" t="s">
        <v>74</v>
      </c>
      <c r="BH383" t="s">
        <v>7524</v>
      </c>
      <c r="BI383">
        <v>18</v>
      </c>
      <c r="BJ383" t="s">
        <v>6211</v>
      </c>
      <c r="BK383" t="s">
        <v>119</v>
      </c>
      <c r="BL383" t="s">
        <v>6211</v>
      </c>
      <c r="BM383" t="s">
        <v>7567</v>
      </c>
      <c r="BN383">
        <v>37653677</v>
      </c>
      <c r="BO383" t="s">
        <v>74</v>
      </c>
      <c r="BP383" t="s">
        <v>74</v>
      </c>
      <c r="BQ383" t="s">
        <v>74</v>
      </c>
      <c r="BR383" t="s">
        <v>99</v>
      </c>
      <c r="BS383" t="s">
        <v>7568</v>
      </c>
      <c r="BT383" t="str">
        <f>HYPERLINK("https%3A%2F%2Fwww.webofscience.com%2Fwos%2Fwoscc%2Ffull-record%2FWOS:001061860600001","View Full Record in Web of Science")</f>
        <v>View Full Record in Web of Science</v>
      </c>
    </row>
    <row r="384" spans="1:72" x14ac:dyDescent="0.15">
      <c r="A384" t="s">
        <v>72</v>
      </c>
      <c r="B384" t="s">
        <v>7569</v>
      </c>
      <c r="C384" t="s">
        <v>74</v>
      </c>
      <c r="D384" t="s">
        <v>74</v>
      </c>
      <c r="E384" t="s">
        <v>74</v>
      </c>
      <c r="F384" t="s">
        <v>7570</v>
      </c>
      <c r="G384" t="s">
        <v>74</v>
      </c>
      <c r="H384" t="s">
        <v>74</v>
      </c>
      <c r="I384" t="s">
        <v>7571</v>
      </c>
      <c r="J384" t="s">
        <v>7572</v>
      </c>
      <c r="K384" t="s">
        <v>74</v>
      </c>
      <c r="L384" t="s">
        <v>74</v>
      </c>
      <c r="M384" t="s">
        <v>78</v>
      </c>
      <c r="N384" t="s">
        <v>338</v>
      </c>
      <c r="O384" t="s">
        <v>74</v>
      </c>
      <c r="P384" t="s">
        <v>74</v>
      </c>
      <c r="Q384" t="s">
        <v>74</v>
      </c>
      <c r="R384" t="s">
        <v>74</v>
      </c>
      <c r="S384" t="s">
        <v>74</v>
      </c>
      <c r="T384" t="s">
        <v>7573</v>
      </c>
      <c r="U384" t="s">
        <v>7574</v>
      </c>
      <c r="V384" t="s">
        <v>7575</v>
      </c>
      <c r="W384" t="s">
        <v>7576</v>
      </c>
      <c r="X384" t="s">
        <v>7577</v>
      </c>
      <c r="Y384" t="s">
        <v>7578</v>
      </c>
      <c r="Z384" t="s">
        <v>7579</v>
      </c>
      <c r="AA384" t="s">
        <v>74</v>
      </c>
      <c r="AB384" t="s">
        <v>74</v>
      </c>
      <c r="AC384" t="s">
        <v>7580</v>
      </c>
      <c r="AD384" t="s">
        <v>7580</v>
      </c>
      <c r="AE384" t="s">
        <v>7580</v>
      </c>
      <c r="AF384" t="s">
        <v>74</v>
      </c>
      <c r="AG384">
        <v>31</v>
      </c>
      <c r="AH384">
        <v>0</v>
      </c>
      <c r="AI384">
        <v>0</v>
      </c>
      <c r="AJ384">
        <v>0</v>
      </c>
      <c r="AK384">
        <v>0</v>
      </c>
      <c r="AL384" t="s">
        <v>426</v>
      </c>
      <c r="AM384" t="s">
        <v>427</v>
      </c>
      <c r="AN384" t="s">
        <v>428</v>
      </c>
      <c r="AO384" t="s">
        <v>7581</v>
      </c>
      <c r="AP384" t="s">
        <v>74</v>
      </c>
      <c r="AQ384" t="s">
        <v>74</v>
      </c>
      <c r="AR384" t="s">
        <v>7582</v>
      </c>
      <c r="AS384" t="s">
        <v>7583</v>
      </c>
      <c r="AT384" t="s">
        <v>7522</v>
      </c>
      <c r="AU384">
        <v>2023</v>
      </c>
      <c r="AV384" t="s">
        <v>74</v>
      </c>
      <c r="AW384" t="s">
        <v>74</v>
      </c>
      <c r="AX384" t="s">
        <v>74</v>
      </c>
      <c r="AY384" t="s">
        <v>74</v>
      </c>
      <c r="AZ384" t="s">
        <v>74</v>
      </c>
      <c r="BA384" t="s">
        <v>74</v>
      </c>
      <c r="BB384" t="s">
        <v>74</v>
      </c>
      <c r="BC384" t="s">
        <v>74</v>
      </c>
      <c r="BD384" t="s">
        <v>74</v>
      </c>
      <c r="BE384" t="s">
        <v>7584</v>
      </c>
      <c r="BF384" t="str">
        <f>HYPERLINK("http://dx.doi.org/10.1002/ags3.12733","http://dx.doi.org/10.1002/ags3.12733")</f>
        <v>http://dx.doi.org/10.1002/ags3.12733</v>
      </c>
      <c r="BG384" t="s">
        <v>74</v>
      </c>
      <c r="BH384" t="s">
        <v>7524</v>
      </c>
      <c r="BI384">
        <v>11</v>
      </c>
      <c r="BJ384" t="s">
        <v>95</v>
      </c>
      <c r="BK384" t="s">
        <v>119</v>
      </c>
      <c r="BL384" t="s">
        <v>95</v>
      </c>
      <c r="BM384" t="s">
        <v>7585</v>
      </c>
      <c r="BN384" t="s">
        <v>74</v>
      </c>
      <c r="BO384" t="s">
        <v>234</v>
      </c>
      <c r="BP384" t="s">
        <v>74</v>
      </c>
      <c r="BQ384" t="s">
        <v>74</v>
      </c>
      <c r="BR384" t="s">
        <v>99</v>
      </c>
      <c r="BS384" t="s">
        <v>7586</v>
      </c>
      <c r="BT384" t="str">
        <f>HYPERLINK("https%3A%2F%2Fwww.webofscience.com%2Fwos%2Fwoscc%2Ffull-record%2FWOS:001064990300001","View Full Record in Web of Science")</f>
        <v>View Full Record in Web of Science</v>
      </c>
    </row>
    <row r="385" spans="1:72" x14ac:dyDescent="0.15">
      <c r="A385" t="s">
        <v>72</v>
      </c>
      <c r="B385" t="s">
        <v>7587</v>
      </c>
      <c r="C385" t="s">
        <v>74</v>
      </c>
      <c r="D385" t="s">
        <v>74</v>
      </c>
      <c r="E385" t="s">
        <v>74</v>
      </c>
      <c r="F385" t="s">
        <v>7588</v>
      </c>
      <c r="G385" t="s">
        <v>74</v>
      </c>
      <c r="H385" t="s">
        <v>74</v>
      </c>
      <c r="I385" t="s">
        <v>7589</v>
      </c>
      <c r="J385" t="s">
        <v>7590</v>
      </c>
      <c r="K385" t="s">
        <v>74</v>
      </c>
      <c r="L385" t="s">
        <v>74</v>
      </c>
      <c r="M385" t="s">
        <v>78</v>
      </c>
      <c r="N385" t="s">
        <v>338</v>
      </c>
      <c r="O385" t="s">
        <v>74</v>
      </c>
      <c r="P385" t="s">
        <v>74</v>
      </c>
      <c r="Q385" t="s">
        <v>74</v>
      </c>
      <c r="R385" t="s">
        <v>74</v>
      </c>
      <c r="S385" t="s">
        <v>74</v>
      </c>
      <c r="T385" t="s">
        <v>7591</v>
      </c>
      <c r="U385" t="s">
        <v>7592</v>
      </c>
      <c r="V385" t="s">
        <v>7593</v>
      </c>
      <c r="W385" t="s">
        <v>7594</v>
      </c>
      <c r="X385" t="s">
        <v>7595</v>
      </c>
      <c r="Y385" t="s">
        <v>7596</v>
      </c>
      <c r="Z385" t="s">
        <v>7597</v>
      </c>
      <c r="AA385" t="s">
        <v>7598</v>
      </c>
      <c r="AB385" t="s">
        <v>7599</v>
      </c>
      <c r="AC385" t="s">
        <v>7600</v>
      </c>
      <c r="AD385" t="s">
        <v>7601</v>
      </c>
      <c r="AE385" t="s">
        <v>7600</v>
      </c>
      <c r="AF385" t="s">
        <v>74</v>
      </c>
      <c r="AG385">
        <v>28</v>
      </c>
      <c r="AH385">
        <v>0</v>
      </c>
      <c r="AI385">
        <v>0</v>
      </c>
      <c r="AJ385">
        <v>0</v>
      </c>
      <c r="AK385">
        <v>0</v>
      </c>
      <c r="AL385" t="s">
        <v>87</v>
      </c>
      <c r="AM385" t="s">
        <v>88</v>
      </c>
      <c r="AN385" t="s">
        <v>89</v>
      </c>
      <c r="AO385" t="s">
        <v>7602</v>
      </c>
      <c r="AP385" t="s">
        <v>7603</v>
      </c>
      <c r="AQ385" t="s">
        <v>74</v>
      </c>
      <c r="AR385" t="s">
        <v>7604</v>
      </c>
      <c r="AS385" t="s">
        <v>7605</v>
      </c>
      <c r="AT385" t="s">
        <v>7522</v>
      </c>
      <c r="AU385">
        <v>2023</v>
      </c>
      <c r="AV385" t="s">
        <v>74</v>
      </c>
      <c r="AW385" t="s">
        <v>74</v>
      </c>
      <c r="AX385" t="s">
        <v>74</v>
      </c>
      <c r="AY385" t="s">
        <v>74</v>
      </c>
      <c r="AZ385" t="s">
        <v>74</v>
      </c>
      <c r="BA385" t="s">
        <v>74</v>
      </c>
      <c r="BB385" t="s">
        <v>74</v>
      </c>
      <c r="BC385" t="s">
        <v>74</v>
      </c>
      <c r="BD385" t="s">
        <v>74</v>
      </c>
      <c r="BE385" t="s">
        <v>7606</v>
      </c>
      <c r="BF385" t="str">
        <f>HYPERLINK("http://dx.doi.org/10.1111/liv.15718","http://dx.doi.org/10.1111/liv.15718")</f>
        <v>http://dx.doi.org/10.1111/liv.15718</v>
      </c>
      <c r="BG385" t="s">
        <v>74</v>
      </c>
      <c r="BH385" t="s">
        <v>7524</v>
      </c>
      <c r="BI385">
        <v>12</v>
      </c>
      <c r="BJ385" t="s">
        <v>95</v>
      </c>
      <c r="BK385" t="s">
        <v>119</v>
      </c>
      <c r="BL385" t="s">
        <v>95</v>
      </c>
      <c r="BM385" t="s">
        <v>7607</v>
      </c>
      <c r="BN385">
        <v>37650363</v>
      </c>
      <c r="BO385" t="s">
        <v>122</v>
      </c>
      <c r="BP385" t="s">
        <v>74</v>
      </c>
      <c r="BQ385" t="s">
        <v>74</v>
      </c>
      <c r="BR385" t="s">
        <v>99</v>
      </c>
      <c r="BS385" t="s">
        <v>7608</v>
      </c>
      <c r="BT385" t="str">
        <f>HYPERLINK("https%3A%2F%2Fwww.webofscience.com%2Fwos%2Fwoscc%2Ffull-record%2FWOS:001065128200001","View Full Record in Web of Science")</f>
        <v>View Full Record in Web of Science</v>
      </c>
    </row>
    <row r="386" spans="1:72" x14ac:dyDescent="0.15">
      <c r="A386" t="s">
        <v>72</v>
      </c>
      <c r="B386" t="s">
        <v>7609</v>
      </c>
      <c r="C386" t="s">
        <v>74</v>
      </c>
      <c r="D386" t="s">
        <v>74</v>
      </c>
      <c r="E386" t="s">
        <v>74</v>
      </c>
      <c r="F386" t="s">
        <v>7610</v>
      </c>
      <c r="G386" t="s">
        <v>74</v>
      </c>
      <c r="H386" t="s">
        <v>74</v>
      </c>
      <c r="I386" t="s">
        <v>7611</v>
      </c>
      <c r="J386" t="s">
        <v>2005</v>
      </c>
      <c r="K386" t="s">
        <v>74</v>
      </c>
      <c r="L386" t="s">
        <v>74</v>
      </c>
      <c r="M386" t="s">
        <v>78</v>
      </c>
      <c r="N386" t="s">
        <v>79</v>
      </c>
      <c r="O386" t="s">
        <v>74</v>
      </c>
      <c r="P386" t="s">
        <v>74</v>
      </c>
      <c r="Q386" t="s">
        <v>74</v>
      </c>
      <c r="R386" t="s">
        <v>74</v>
      </c>
      <c r="S386" t="s">
        <v>74</v>
      </c>
      <c r="T386" t="s">
        <v>7612</v>
      </c>
      <c r="U386" t="s">
        <v>7613</v>
      </c>
      <c r="V386" t="s">
        <v>7614</v>
      </c>
      <c r="W386" t="s">
        <v>7615</v>
      </c>
      <c r="X386" t="s">
        <v>7616</v>
      </c>
      <c r="Y386" t="s">
        <v>7617</v>
      </c>
      <c r="Z386" t="s">
        <v>7618</v>
      </c>
      <c r="AA386" t="s">
        <v>74</v>
      </c>
      <c r="AB386" t="s">
        <v>74</v>
      </c>
      <c r="AC386" t="s">
        <v>7619</v>
      </c>
      <c r="AD386" t="s">
        <v>7620</v>
      </c>
      <c r="AE386" t="s">
        <v>7621</v>
      </c>
      <c r="AF386" t="s">
        <v>74</v>
      </c>
      <c r="AG386">
        <v>60</v>
      </c>
      <c r="AH386">
        <v>0</v>
      </c>
      <c r="AI386">
        <v>0</v>
      </c>
      <c r="AJ386">
        <v>5</v>
      </c>
      <c r="AK386">
        <v>5</v>
      </c>
      <c r="AL386" t="s">
        <v>426</v>
      </c>
      <c r="AM386" t="s">
        <v>427</v>
      </c>
      <c r="AN386" t="s">
        <v>428</v>
      </c>
      <c r="AO386" t="s">
        <v>2016</v>
      </c>
      <c r="AP386" t="s">
        <v>2017</v>
      </c>
      <c r="AQ386" t="s">
        <v>74</v>
      </c>
      <c r="AR386" t="s">
        <v>2018</v>
      </c>
      <c r="AS386" t="s">
        <v>2019</v>
      </c>
      <c r="AT386" t="s">
        <v>7622</v>
      </c>
      <c r="AU386">
        <v>2023</v>
      </c>
      <c r="AV386" t="s">
        <v>74</v>
      </c>
      <c r="AW386" t="s">
        <v>74</v>
      </c>
      <c r="AX386" t="s">
        <v>74</v>
      </c>
      <c r="AY386" t="s">
        <v>74</v>
      </c>
      <c r="AZ386" t="s">
        <v>74</v>
      </c>
      <c r="BA386" t="s">
        <v>74</v>
      </c>
      <c r="BB386" t="s">
        <v>74</v>
      </c>
      <c r="BC386" t="s">
        <v>74</v>
      </c>
      <c r="BD386">
        <v>2300446</v>
      </c>
      <c r="BE386" t="s">
        <v>7623</v>
      </c>
      <c r="BF386" t="str">
        <f>HYPERLINK("http://dx.doi.org/10.1002/ente.202300446","http://dx.doi.org/10.1002/ente.202300446")</f>
        <v>http://dx.doi.org/10.1002/ente.202300446</v>
      </c>
      <c r="BG386" t="s">
        <v>74</v>
      </c>
      <c r="BH386" t="s">
        <v>74</v>
      </c>
      <c r="BI386">
        <v>13</v>
      </c>
      <c r="BJ386" t="s">
        <v>2022</v>
      </c>
      <c r="BK386" t="s">
        <v>119</v>
      </c>
      <c r="BL386" t="s">
        <v>2022</v>
      </c>
      <c r="BM386" t="s">
        <v>7624</v>
      </c>
      <c r="BN386" t="s">
        <v>74</v>
      </c>
      <c r="BO386" t="s">
        <v>122</v>
      </c>
      <c r="BP386" t="s">
        <v>74</v>
      </c>
      <c r="BQ386" t="s">
        <v>74</v>
      </c>
      <c r="BR386" t="s">
        <v>99</v>
      </c>
      <c r="BS386" t="s">
        <v>7625</v>
      </c>
      <c r="BT386" t="str">
        <f>HYPERLINK("https%3A%2F%2Fwww.webofscience.com%2Fwos%2Fwoscc%2Ffull-record%2FWOS:001058683000001","View Full Record in Web of Science")</f>
        <v>View Full Record in Web of Science</v>
      </c>
    </row>
    <row r="387" spans="1:72" x14ac:dyDescent="0.15">
      <c r="A387" t="s">
        <v>72</v>
      </c>
      <c r="B387" t="s">
        <v>7626</v>
      </c>
      <c r="C387" t="s">
        <v>74</v>
      </c>
      <c r="D387" t="s">
        <v>74</v>
      </c>
      <c r="E387" t="s">
        <v>74</v>
      </c>
      <c r="F387" t="s">
        <v>7627</v>
      </c>
      <c r="G387" t="s">
        <v>74</v>
      </c>
      <c r="H387" t="s">
        <v>74</v>
      </c>
      <c r="I387" t="s">
        <v>7628</v>
      </c>
      <c r="J387" t="s">
        <v>7629</v>
      </c>
      <c r="K387" t="s">
        <v>74</v>
      </c>
      <c r="L387" t="s">
        <v>74</v>
      </c>
      <c r="M387" t="s">
        <v>78</v>
      </c>
      <c r="N387" t="s">
        <v>3392</v>
      </c>
      <c r="O387" t="s">
        <v>74</v>
      </c>
      <c r="P387" t="s">
        <v>74</v>
      </c>
      <c r="Q387" t="s">
        <v>74</v>
      </c>
      <c r="R387" t="s">
        <v>74</v>
      </c>
      <c r="S387" t="s">
        <v>74</v>
      </c>
      <c r="T387" t="s">
        <v>7630</v>
      </c>
      <c r="U387" t="s">
        <v>7631</v>
      </c>
      <c r="V387" t="s">
        <v>7632</v>
      </c>
      <c r="W387" t="s">
        <v>7633</v>
      </c>
      <c r="X387" t="s">
        <v>6697</v>
      </c>
      <c r="Y387" t="s">
        <v>7634</v>
      </c>
      <c r="Z387" t="s">
        <v>7635</v>
      </c>
      <c r="AA387" t="s">
        <v>74</v>
      </c>
      <c r="AB387" t="s">
        <v>7636</v>
      </c>
      <c r="AC387" t="s">
        <v>7637</v>
      </c>
      <c r="AD387" t="s">
        <v>7637</v>
      </c>
      <c r="AE387" t="s">
        <v>7638</v>
      </c>
      <c r="AF387" t="s">
        <v>74</v>
      </c>
      <c r="AG387">
        <v>170</v>
      </c>
      <c r="AH387">
        <v>0</v>
      </c>
      <c r="AI387">
        <v>0</v>
      </c>
      <c r="AJ387">
        <v>7</v>
      </c>
      <c r="AK387">
        <v>7</v>
      </c>
      <c r="AL387" t="s">
        <v>426</v>
      </c>
      <c r="AM387" t="s">
        <v>427</v>
      </c>
      <c r="AN387" t="s">
        <v>428</v>
      </c>
      <c r="AO387" t="s">
        <v>7639</v>
      </c>
      <c r="AP387" t="s">
        <v>7640</v>
      </c>
      <c r="AQ387" t="s">
        <v>74</v>
      </c>
      <c r="AR387" t="s">
        <v>7641</v>
      </c>
      <c r="AS387" t="s">
        <v>7642</v>
      </c>
      <c r="AT387" t="s">
        <v>7622</v>
      </c>
      <c r="AU387">
        <v>2023</v>
      </c>
      <c r="AV387" t="s">
        <v>74</v>
      </c>
      <c r="AW387" t="s">
        <v>74</v>
      </c>
      <c r="AX387" t="s">
        <v>74</v>
      </c>
      <c r="AY387" t="s">
        <v>74</v>
      </c>
      <c r="AZ387" t="s">
        <v>74</v>
      </c>
      <c r="BA387" t="s">
        <v>74</v>
      </c>
      <c r="BB387" t="s">
        <v>74</v>
      </c>
      <c r="BC387" t="s">
        <v>74</v>
      </c>
      <c r="BD387">
        <v>2300304</v>
      </c>
      <c r="BE387" t="s">
        <v>7643</v>
      </c>
      <c r="BF387" t="str">
        <f>HYPERLINK("http://dx.doi.org/10.1002/jssc.202300304","http://dx.doi.org/10.1002/jssc.202300304")</f>
        <v>http://dx.doi.org/10.1002/jssc.202300304</v>
      </c>
      <c r="BG387" t="s">
        <v>74</v>
      </c>
      <c r="BH387" t="s">
        <v>74</v>
      </c>
      <c r="BI387">
        <v>19</v>
      </c>
      <c r="BJ387" t="s">
        <v>7644</v>
      </c>
      <c r="BK387" t="s">
        <v>119</v>
      </c>
      <c r="BL387" t="s">
        <v>524</v>
      </c>
      <c r="BM387" t="s">
        <v>7645</v>
      </c>
      <c r="BN387">
        <v>37654057</v>
      </c>
      <c r="BO387" t="s">
        <v>122</v>
      </c>
      <c r="BP387" t="s">
        <v>74</v>
      </c>
      <c r="BQ387" t="s">
        <v>74</v>
      </c>
      <c r="BR387" t="s">
        <v>99</v>
      </c>
      <c r="BS387" t="s">
        <v>7646</v>
      </c>
      <c r="BT387" t="str">
        <f>HYPERLINK("https%3A%2F%2Fwww.webofscience.com%2Fwos%2Fwoscc%2Ffull-record%2FWOS:001059463800001","View Full Record in Web of Science")</f>
        <v>View Full Record in Web of Science</v>
      </c>
    </row>
    <row r="388" spans="1:72" x14ac:dyDescent="0.15">
      <c r="A388" t="s">
        <v>72</v>
      </c>
      <c r="B388" t="s">
        <v>7647</v>
      </c>
      <c r="C388" t="s">
        <v>74</v>
      </c>
      <c r="D388" t="s">
        <v>74</v>
      </c>
      <c r="E388" t="s">
        <v>74</v>
      </c>
      <c r="F388" t="s">
        <v>7648</v>
      </c>
      <c r="G388" t="s">
        <v>74</v>
      </c>
      <c r="H388" t="s">
        <v>74</v>
      </c>
      <c r="I388" t="s">
        <v>7649</v>
      </c>
      <c r="J388" t="s">
        <v>2028</v>
      </c>
      <c r="K388" t="s">
        <v>74</v>
      </c>
      <c r="L388" t="s">
        <v>74</v>
      </c>
      <c r="M388" t="s">
        <v>78</v>
      </c>
      <c r="N388" t="s">
        <v>79</v>
      </c>
      <c r="O388" t="s">
        <v>74</v>
      </c>
      <c r="P388" t="s">
        <v>74</v>
      </c>
      <c r="Q388" t="s">
        <v>74</v>
      </c>
      <c r="R388" t="s">
        <v>74</v>
      </c>
      <c r="S388" t="s">
        <v>74</v>
      </c>
      <c r="T388" t="s">
        <v>7650</v>
      </c>
      <c r="U388" t="s">
        <v>7651</v>
      </c>
      <c r="V388" t="s">
        <v>7652</v>
      </c>
      <c r="W388" t="s">
        <v>7653</v>
      </c>
      <c r="X388" t="s">
        <v>1508</v>
      </c>
      <c r="Y388" t="s">
        <v>7654</v>
      </c>
      <c r="Z388" t="s">
        <v>7655</v>
      </c>
      <c r="AA388" t="s">
        <v>74</v>
      </c>
      <c r="AB388" t="s">
        <v>74</v>
      </c>
      <c r="AC388" t="s">
        <v>74</v>
      </c>
      <c r="AD388" t="s">
        <v>74</v>
      </c>
      <c r="AE388" t="s">
        <v>74</v>
      </c>
      <c r="AF388" t="s">
        <v>74</v>
      </c>
      <c r="AG388">
        <v>67</v>
      </c>
      <c r="AH388">
        <v>0</v>
      </c>
      <c r="AI388">
        <v>0</v>
      </c>
      <c r="AJ388">
        <v>0</v>
      </c>
      <c r="AK388">
        <v>0</v>
      </c>
      <c r="AL388" t="s">
        <v>426</v>
      </c>
      <c r="AM388" t="s">
        <v>427</v>
      </c>
      <c r="AN388" t="s">
        <v>428</v>
      </c>
      <c r="AO388" t="s">
        <v>2037</v>
      </c>
      <c r="AP388" t="s">
        <v>74</v>
      </c>
      <c r="AQ388" t="s">
        <v>74</v>
      </c>
      <c r="AR388" t="s">
        <v>2028</v>
      </c>
      <c r="AS388" t="s">
        <v>2038</v>
      </c>
      <c r="AT388" t="s">
        <v>7622</v>
      </c>
      <c r="AU388">
        <v>2023</v>
      </c>
      <c r="AV388">
        <v>8</v>
      </c>
      <c r="AW388">
        <v>32</v>
      </c>
      <c r="AX388" t="s">
        <v>74</v>
      </c>
      <c r="AY388" t="s">
        <v>74</v>
      </c>
      <c r="AZ388" t="s">
        <v>74</v>
      </c>
      <c r="BA388" t="s">
        <v>74</v>
      </c>
      <c r="BB388" t="s">
        <v>74</v>
      </c>
      <c r="BC388" t="s">
        <v>74</v>
      </c>
      <c r="BD388" t="s">
        <v>7656</v>
      </c>
      <c r="BE388" t="s">
        <v>7657</v>
      </c>
      <c r="BF388" t="str">
        <f>HYPERLINK("http://dx.doi.org/10.1002/slct.202302549","http://dx.doi.org/10.1002/slct.202302549")</f>
        <v>http://dx.doi.org/10.1002/slct.202302549</v>
      </c>
      <c r="BG388" t="s">
        <v>74</v>
      </c>
      <c r="BH388" t="s">
        <v>74</v>
      </c>
      <c r="BI388">
        <v>14</v>
      </c>
      <c r="BJ388" t="s">
        <v>523</v>
      </c>
      <c r="BK388" t="s">
        <v>119</v>
      </c>
      <c r="BL388" t="s">
        <v>524</v>
      </c>
      <c r="BM388" t="s">
        <v>7658</v>
      </c>
      <c r="BN388" t="s">
        <v>74</v>
      </c>
      <c r="BO388" t="s">
        <v>74</v>
      </c>
      <c r="BP388" t="s">
        <v>74</v>
      </c>
      <c r="BQ388" t="s">
        <v>74</v>
      </c>
      <c r="BR388" t="s">
        <v>99</v>
      </c>
      <c r="BS388" t="s">
        <v>7659</v>
      </c>
      <c r="BT388" t="str">
        <f>HYPERLINK("https%3A%2F%2Fwww.webofscience.com%2Fwos%2Fwoscc%2Ffull-record%2FWOS:001052034800001","View Full Record in Web of Science")</f>
        <v>View Full Record in Web of Science</v>
      </c>
    </row>
    <row r="389" spans="1:72" x14ac:dyDescent="0.15">
      <c r="A389" t="s">
        <v>72</v>
      </c>
      <c r="B389" t="s">
        <v>7660</v>
      </c>
      <c r="C389" t="s">
        <v>74</v>
      </c>
      <c r="D389" t="s">
        <v>74</v>
      </c>
      <c r="E389" t="s">
        <v>74</v>
      </c>
      <c r="F389" t="s">
        <v>7661</v>
      </c>
      <c r="G389" t="s">
        <v>74</v>
      </c>
      <c r="H389" t="s">
        <v>74</v>
      </c>
      <c r="I389" t="s">
        <v>7662</v>
      </c>
      <c r="J389" t="s">
        <v>7663</v>
      </c>
      <c r="K389" t="s">
        <v>74</v>
      </c>
      <c r="L389" t="s">
        <v>74</v>
      </c>
      <c r="M389" t="s">
        <v>78</v>
      </c>
      <c r="N389" t="s">
        <v>338</v>
      </c>
      <c r="O389" t="s">
        <v>74</v>
      </c>
      <c r="P389" t="s">
        <v>74</v>
      </c>
      <c r="Q389" t="s">
        <v>74</v>
      </c>
      <c r="R389" t="s">
        <v>74</v>
      </c>
      <c r="S389" t="s">
        <v>74</v>
      </c>
      <c r="T389" t="s">
        <v>74</v>
      </c>
      <c r="U389" t="s">
        <v>7664</v>
      </c>
      <c r="V389" t="s">
        <v>7665</v>
      </c>
      <c r="W389" t="s">
        <v>7666</v>
      </c>
      <c r="X389" t="s">
        <v>7667</v>
      </c>
      <c r="Y389" t="s">
        <v>7668</v>
      </c>
      <c r="Z389" t="s">
        <v>7669</v>
      </c>
      <c r="AA389" t="s">
        <v>74</v>
      </c>
      <c r="AB389" t="s">
        <v>74</v>
      </c>
      <c r="AC389" t="s">
        <v>7670</v>
      </c>
      <c r="AD389" t="s">
        <v>7670</v>
      </c>
      <c r="AE389" t="s">
        <v>7671</v>
      </c>
      <c r="AF389" t="s">
        <v>74</v>
      </c>
      <c r="AG389">
        <v>25</v>
      </c>
      <c r="AH389">
        <v>0</v>
      </c>
      <c r="AI389">
        <v>0</v>
      </c>
      <c r="AJ389">
        <v>0</v>
      </c>
      <c r="AK389">
        <v>0</v>
      </c>
      <c r="AL389" t="s">
        <v>87</v>
      </c>
      <c r="AM389" t="s">
        <v>88</v>
      </c>
      <c r="AN389" t="s">
        <v>89</v>
      </c>
      <c r="AO389" t="s">
        <v>7672</v>
      </c>
      <c r="AP389" t="s">
        <v>7673</v>
      </c>
      <c r="AQ389" t="s">
        <v>74</v>
      </c>
      <c r="AR389" t="s">
        <v>7674</v>
      </c>
      <c r="AS389" t="s">
        <v>7675</v>
      </c>
      <c r="AT389" t="s">
        <v>7522</v>
      </c>
      <c r="AU389">
        <v>2023</v>
      </c>
      <c r="AV389" t="s">
        <v>74</v>
      </c>
      <c r="AW389" t="s">
        <v>74</v>
      </c>
      <c r="AX389" t="s">
        <v>74</v>
      </c>
      <c r="AY389" t="s">
        <v>74</v>
      </c>
      <c r="AZ389" t="s">
        <v>74</v>
      </c>
      <c r="BA389" t="s">
        <v>74</v>
      </c>
      <c r="BB389" t="s">
        <v>74</v>
      </c>
      <c r="BC389" t="s">
        <v>74</v>
      </c>
      <c r="BD389" t="s">
        <v>74</v>
      </c>
      <c r="BE389" t="s">
        <v>7676</v>
      </c>
      <c r="BF389" t="str">
        <f>HYPERLINK("http://dx.doi.org/10.1111/cts.13581","http://dx.doi.org/10.1111/cts.13581")</f>
        <v>http://dx.doi.org/10.1111/cts.13581</v>
      </c>
      <c r="BG389" t="s">
        <v>74</v>
      </c>
      <c r="BH389" t="s">
        <v>7524</v>
      </c>
      <c r="BI389">
        <v>12</v>
      </c>
      <c r="BJ389" t="s">
        <v>231</v>
      </c>
      <c r="BK389" t="s">
        <v>119</v>
      </c>
      <c r="BL389" t="s">
        <v>232</v>
      </c>
      <c r="BM389" t="s">
        <v>7677</v>
      </c>
      <c r="BN389">
        <v>37654022</v>
      </c>
      <c r="BO389" t="s">
        <v>234</v>
      </c>
      <c r="BP389" t="s">
        <v>74</v>
      </c>
      <c r="BQ389" t="s">
        <v>74</v>
      </c>
      <c r="BR389" t="s">
        <v>99</v>
      </c>
      <c r="BS389" t="s">
        <v>7678</v>
      </c>
      <c r="BT389" t="str">
        <f>HYPERLINK("https%3A%2F%2Fwww.webofscience.com%2Fwos%2Fwoscc%2Ffull-record%2FWOS:001065115700001","View Full Record in Web of Science")</f>
        <v>View Full Record in Web of Science</v>
      </c>
    </row>
    <row r="390" spans="1:72" x14ac:dyDescent="0.15">
      <c r="A390" t="s">
        <v>72</v>
      </c>
      <c r="B390" t="s">
        <v>7679</v>
      </c>
      <c r="C390" t="s">
        <v>74</v>
      </c>
      <c r="D390" t="s">
        <v>74</v>
      </c>
      <c r="E390" t="s">
        <v>74</v>
      </c>
      <c r="F390" t="s">
        <v>7680</v>
      </c>
      <c r="G390" t="s">
        <v>74</v>
      </c>
      <c r="H390" t="s">
        <v>74</v>
      </c>
      <c r="I390" t="s">
        <v>7681</v>
      </c>
      <c r="J390" t="s">
        <v>7682</v>
      </c>
      <c r="K390" t="s">
        <v>74</v>
      </c>
      <c r="L390" t="s">
        <v>74</v>
      </c>
      <c r="M390" t="s">
        <v>78</v>
      </c>
      <c r="N390" t="s">
        <v>79</v>
      </c>
      <c r="O390" t="s">
        <v>74</v>
      </c>
      <c r="P390" t="s">
        <v>74</v>
      </c>
      <c r="Q390" t="s">
        <v>74</v>
      </c>
      <c r="R390" t="s">
        <v>74</v>
      </c>
      <c r="S390" t="s">
        <v>74</v>
      </c>
      <c r="T390" t="s">
        <v>7683</v>
      </c>
      <c r="U390" t="s">
        <v>7684</v>
      </c>
      <c r="V390" t="s">
        <v>7685</v>
      </c>
      <c r="W390" t="s">
        <v>7686</v>
      </c>
      <c r="X390" t="s">
        <v>7687</v>
      </c>
      <c r="Y390" t="s">
        <v>7688</v>
      </c>
      <c r="Z390" t="s">
        <v>7689</v>
      </c>
      <c r="AA390" t="s">
        <v>74</v>
      </c>
      <c r="AB390" t="s">
        <v>74</v>
      </c>
      <c r="AC390" t="s">
        <v>7690</v>
      </c>
      <c r="AD390" t="s">
        <v>7691</v>
      </c>
      <c r="AE390" t="s">
        <v>7692</v>
      </c>
      <c r="AF390" t="s">
        <v>74</v>
      </c>
      <c r="AG390">
        <v>51</v>
      </c>
      <c r="AH390">
        <v>0</v>
      </c>
      <c r="AI390">
        <v>0</v>
      </c>
      <c r="AJ390">
        <v>9</v>
      </c>
      <c r="AK390">
        <v>9</v>
      </c>
      <c r="AL390" t="s">
        <v>87</v>
      </c>
      <c r="AM390" t="s">
        <v>88</v>
      </c>
      <c r="AN390" t="s">
        <v>89</v>
      </c>
      <c r="AO390" t="s">
        <v>74</v>
      </c>
      <c r="AP390" t="s">
        <v>7693</v>
      </c>
      <c r="AQ390" t="s">
        <v>74</v>
      </c>
      <c r="AR390" t="s">
        <v>7694</v>
      </c>
      <c r="AS390" t="s">
        <v>7695</v>
      </c>
      <c r="AT390" t="s">
        <v>7622</v>
      </c>
      <c r="AU390">
        <v>2023</v>
      </c>
      <c r="AV390" t="s">
        <v>74</v>
      </c>
      <c r="AW390" t="s">
        <v>74</v>
      </c>
      <c r="AX390" t="s">
        <v>74</v>
      </c>
      <c r="AY390" t="s">
        <v>74</v>
      </c>
      <c r="AZ390" t="s">
        <v>74</v>
      </c>
      <c r="BA390" t="s">
        <v>74</v>
      </c>
      <c r="BB390" t="s">
        <v>74</v>
      </c>
      <c r="BC390" t="s">
        <v>74</v>
      </c>
      <c r="BD390">
        <v>2300402</v>
      </c>
      <c r="BE390" t="s">
        <v>7696</v>
      </c>
      <c r="BF390" t="str">
        <f>HYPERLINK("http://dx.doi.org/10.1002/aisy.202300402","http://dx.doi.org/10.1002/aisy.202300402")</f>
        <v>http://dx.doi.org/10.1002/aisy.202300402</v>
      </c>
      <c r="BG390" t="s">
        <v>74</v>
      </c>
      <c r="BH390" t="s">
        <v>74</v>
      </c>
      <c r="BI390">
        <v>10</v>
      </c>
      <c r="BJ390" t="s">
        <v>7697</v>
      </c>
      <c r="BK390" t="s">
        <v>119</v>
      </c>
      <c r="BL390" t="s">
        <v>7698</v>
      </c>
      <c r="BM390" t="s">
        <v>7699</v>
      </c>
      <c r="BN390" t="s">
        <v>74</v>
      </c>
      <c r="BO390" t="s">
        <v>234</v>
      </c>
      <c r="BP390" t="s">
        <v>74</v>
      </c>
      <c r="BQ390" t="s">
        <v>74</v>
      </c>
      <c r="BR390" t="s">
        <v>99</v>
      </c>
      <c r="BS390" t="s">
        <v>7700</v>
      </c>
      <c r="BT390" t="str">
        <f>HYPERLINK("https%3A%2F%2Fwww.webofscience.com%2Fwos%2Fwoscc%2Ffull-record%2FWOS:001059108700001","View Full Record in Web of Science")</f>
        <v>View Full Record in Web of Science</v>
      </c>
    </row>
    <row r="391" spans="1:72" x14ac:dyDescent="0.15">
      <c r="A391" t="s">
        <v>72</v>
      </c>
      <c r="B391" t="s">
        <v>7701</v>
      </c>
      <c r="C391" t="s">
        <v>74</v>
      </c>
      <c r="D391" t="s">
        <v>74</v>
      </c>
      <c r="E391" t="s">
        <v>74</v>
      </c>
      <c r="F391" t="s">
        <v>7702</v>
      </c>
      <c r="G391" t="s">
        <v>74</v>
      </c>
      <c r="H391" t="s">
        <v>74</v>
      </c>
      <c r="I391" t="s">
        <v>7703</v>
      </c>
      <c r="J391" t="s">
        <v>6599</v>
      </c>
      <c r="K391" t="s">
        <v>74</v>
      </c>
      <c r="L391" t="s">
        <v>74</v>
      </c>
      <c r="M391" t="s">
        <v>78</v>
      </c>
      <c r="N391" t="s">
        <v>338</v>
      </c>
      <c r="O391" t="s">
        <v>74</v>
      </c>
      <c r="P391" t="s">
        <v>74</v>
      </c>
      <c r="Q391" t="s">
        <v>74</v>
      </c>
      <c r="R391" t="s">
        <v>74</v>
      </c>
      <c r="S391" t="s">
        <v>74</v>
      </c>
      <c r="T391" t="s">
        <v>7704</v>
      </c>
      <c r="U391" t="s">
        <v>7705</v>
      </c>
      <c r="V391" t="s">
        <v>7706</v>
      </c>
      <c r="W391" t="s">
        <v>7707</v>
      </c>
      <c r="X391" t="s">
        <v>7708</v>
      </c>
      <c r="Y391" t="s">
        <v>7709</v>
      </c>
      <c r="Z391" t="s">
        <v>7710</v>
      </c>
      <c r="AA391" t="s">
        <v>74</v>
      </c>
      <c r="AB391" t="s">
        <v>74</v>
      </c>
      <c r="AC391" t="s">
        <v>7711</v>
      </c>
      <c r="AD391" t="s">
        <v>7712</v>
      </c>
      <c r="AE391" t="s">
        <v>7713</v>
      </c>
      <c r="AF391" t="s">
        <v>74</v>
      </c>
      <c r="AG391">
        <v>99</v>
      </c>
      <c r="AH391">
        <v>0</v>
      </c>
      <c r="AI391">
        <v>0</v>
      </c>
      <c r="AJ391">
        <v>3</v>
      </c>
      <c r="AK391">
        <v>3</v>
      </c>
      <c r="AL391" t="s">
        <v>87</v>
      </c>
      <c r="AM391" t="s">
        <v>88</v>
      </c>
      <c r="AN391" t="s">
        <v>89</v>
      </c>
      <c r="AO391" t="s">
        <v>6610</v>
      </c>
      <c r="AP391" t="s">
        <v>6611</v>
      </c>
      <c r="AQ391" t="s">
        <v>74</v>
      </c>
      <c r="AR391" t="s">
        <v>6612</v>
      </c>
      <c r="AS391" t="s">
        <v>6613</v>
      </c>
      <c r="AT391" t="s">
        <v>7522</v>
      </c>
      <c r="AU391">
        <v>2023</v>
      </c>
      <c r="AV391" t="s">
        <v>74</v>
      </c>
      <c r="AW391" t="s">
        <v>74</v>
      </c>
      <c r="AX391" t="s">
        <v>74</v>
      </c>
      <c r="AY391" t="s">
        <v>74</v>
      </c>
      <c r="AZ391" t="s">
        <v>74</v>
      </c>
      <c r="BA391" t="s">
        <v>74</v>
      </c>
      <c r="BB391" t="s">
        <v>74</v>
      </c>
      <c r="BC391" t="s">
        <v>74</v>
      </c>
      <c r="BD391" t="s">
        <v>74</v>
      </c>
      <c r="BE391" t="s">
        <v>7714</v>
      </c>
      <c r="BF391" t="str">
        <f>HYPERLINK("http://dx.doi.org/10.1002/bse.3552","http://dx.doi.org/10.1002/bse.3552")</f>
        <v>http://dx.doi.org/10.1002/bse.3552</v>
      </c>
      <c r="BG391" t="s">
        <v>74</v>
      </c>
      <c r="BH391" t="s">
        <v>7524</v>
      </c>
      <c r="BI391">
        <v>20</v>
      </c>
      <c r="BJ391" t="s">
        <v>6615</v>
      </c>
      <c r="BK391" t="s">
        <v>546</v>
      </c>
      <c r="BL391" t="s">
        <v>6616</v>
      </c>
      <c r="BM391" t="s">
        <v>7715</v>
      </c>
      <c r="BN391" t="s">
        <v>74</v>
      </c>
      <c r="BO391" t="s">
        <v>122</v>
      </c>
      <c r="BP391" t="s">
        <v>74</v>
      </c>
      <c r="BQ391" t="s">
        <v>74</v>
      </c>
      <c r="BR391" t="s">
        <v>99</v>
      </c>
      <c r="BS391" t="s">
        <v>7716</v>
      </c>
      <c r="BT391" t="str">
        <f>HYPERLINK("https%3A%2F%2Fwww.webofscience.com%2Fwos%2Fwoscc%2Ffull-record%2FWOS:001062448200001","View Full Record in Web of Science")</f>
        <v>View Full Record in Web of Science</v>
      </c>
    </row>
    <row r="392" spans="1:72" x14ac:dyDescent="0.15">
      <c r="A392" t="s">
        <v>72</v>
      </c>
      <c r="B392" t="s">
        <v>7717</v>
      </c>
      <c r="C392" t="s">
        <v>74</v>
      </c>
      <c r="D392" t="s">
        <v>74</v>
      </c>
      <c r="E392" t="s">
        <v>74</v>
      </c>
      <c r="F392" t="s">
        <v>7718</v>
      </c>
      <c r="G392" t="s">
        <v>74</v>
      </c>
      <c r="H392" t="s">
        <v>74</v>
      </c>
      <c r="I392" t="s">
        <v>7719</v>
      </c>
      <c r="J392" t="s">
        <v>5095</v>
      </c>
      <c r="K392" t="s">
        <v>74</v>
      </c>
      <c r="L392" t="s">
        <v>74</v>
      </c>
      <c r="M392" t="s">
        <v>78</v>
      </c>
      <c r="N392" t="s">
        <v>79</v>
      </c>
      <c r="O392" t="s">
        <v>74</v>
      </c>
      <c r="P392" t="s">
        <v>74</v>
      </c>
      <c r="Q392" t="s">
        <v>74</v>
      </c>
      <c r="R392" t="s">
        <v>74</v>
      </c>
      <c r="S392" t="s">
        <v>74</v>
      </c>
      <c r="T392" t="s">
        <v>7720</v>
      </c>
      <c r="U392" t="s">
        <v>7721</v>
      </c>
      <c r="V392" t="s">
        <v>7722</v>
      </c>
      <c r="W392" t="s">
        <v>7723</v>
      </c>
      <c r="X392" t="s">
        <v>7724</v>
      </c>
      <c r="Y392" t="s">
        <v>7725</v>
      </c>
      <c r="Z392" t="s">
        <v>7726</v>
      </c>
      <c r="AA392" t="s">
        <v>74</v>
      </c>
      <c r="AB392" t="s">
        <v>74</v>
      </c>
      <c r="AC392" t="s">
        <v>7727</v>
      </c>
      <c r="AD392" t="s">
        <v>7728</v>
      </c>
      <c r="AE392" t="s">
        <v>7729</v>
      </c>
      <c r="AF392" t="s">
        <v>74</v>
      </c>
      <c r="AG392">
        <v>38</v>
      </c>
      <c r="AH392">
        <v>0</v>
      </c>
      <c r="AI392">
        <v>0</v>
      </c>
      <c r="AJ392">
        <v>0</v>
      </c>
      <c r="AK392">
        <v>0</v>
      </c>
      <c r="AL392" t="s">
        <v>426</v>
      </c>
      <c r="AM392" t="s">
        <v>427</v>
      </c>
      <c r="AN392" t="s">
        <v>428</v>
      </c>
      <c r="AO392" t="s">
        <v>5106</v>
      </c>
      <c r="AP392" t="s">
        <v>5107</v>
      </c>
      <c r="AQ392" t="s">
        <v>74</v>
      </c>
      <c r="AR392" t="s">
        <v>5108</v>
      </c>
      <c r="AS392" t="s">
        <v>5109</v>
      </c>
      <c r="AT392" t="s">
        <v>7622</v>
      </c>
      <c r="AU392">
        <v>2023</v>
      </c>
      <c r="AV392" t="s">
        <v>74</v>
      </c>
      <c r="AW392" t="s">
        <v>74</v>
      </c>
      <c r="AX392" t="s">
        <v>74</v>
      </c>
      <c r="AY392" t="s">
        <v>74</v>
      </c>
      <c r="AZ392" t="s">
        <v>74</v>
      </c>
      <c r="BA392" t="s">
        <v>74</v>
      </c>
      <c r="BB392" t="s">
        <v>74</v>
      </c>
      <c r="BC392" t="s">
        <v>74</v>
      </c>
      <c r="BD392">
        <v>2300476</v>
      </c>
      <c r="BE392" t="s">
        <v>7730</v>
      </c>
      <c r="BF392" t="str">
        <f>HYPERLINK("http://dx.doi.org/10.1002/lpor.202300476","http://dx.doi.org/10.1002/lpor.202300476")</f>
        <v>http://dx.doi.org/10.1002/lpor.202300476</v>
      </c>
      <c r="BG392" t="s">
        <v>74</v>
      </c>
      <c r="BH392" t="s">
        <v>74</v>
      </c>
      <c r="BI392">
        <v>8</v>
      </c>
      <c r="BJ392" t="s">
        <v>5111</v>
      </c>
      <c r="BK392" t="s">
        <v>119</v>
      </c>
      <c r="BL392" t="s">
        <v>5112</v>
      </c>
      <c r="BM392" t="s">
        <v>7731</v>
      </c>
      <c r="BN392" t="s">
        <v>74</v>
      </c>
      <c r="BO392" t="s">
        <v>74</v>
      </c>
      <c r="BP392" t="s">
        <v>74</v>
      </c>
      <c r="BQ392" t="s">
        <v>74</v>
      </c>
      <c r="BR392" t="s">
        <v>99</v>
      </c>
      <c r="BS392" t="s">
        <v>7732</v>
      </c>
      <c r="BT392" t="str">
        <f>HYPERLINK("https%3A%2F%2Fwww.webofscience.com%2Fwos%2Fwoscc%2Ffull-record%2FWOS:001059462700001","View Full Record in Web of Science")</f>
        <v>View Full Record in Web of Science</v>
      </c>
    </row>
    <row r="393" spans="1:72" x14ac:dyDescent="0.15">
      <c r="A393" t="s">
        <v>72</v>
      </c>
      <c r="B393" t="s">
        <v>7733</v>
      </c>
      <c r="C393" t="s">
        <v>74</v>
      </c>
      <c r="D393" t="s">
        <v>74</v>
      </c>
      <c r="E393" t="s">
        <v>74</v>
      </c>
      <c r="F393" t="s">
        <v>7734</v>
      </c>
      <c r="G393" t="s">
        <v>74</v>
      </c>
      <c r="H393" t="s">
        <v>74</v>
      </c>
      <c r="I393" t="s">
        <v>7735</v>
      </c>
      <c r="J393" t="s">
        <v>5957</v>
      </c>
      <c r="K393" t="s">
        <v>74</v>
      </c>
      <c r="L393" t="s">
        <v>74</v>
      </c>
      <c r="M393" t="s">
        <v>78</v>
      </c>
      <c r="N393" t="s">
        <v>79</v>
      </c>
      <c r="O393" t="s">
        <v>74</v>
      </c>
      <c r="P393" t="s">
        <v>74</v>
      </c>
      <c r="Q393" t="s">
        <v>74</v>
      </c>
      <c r="R393" t="s">
        <v>74</v>
      </c>
      <c r="S393" t="s">
        <v>74</v>
      </c>
      <c r="T393" t="s">
        <v>7736</v>
      </c>
      <c r="U393" t="s">
        <v>7737</v>
      </c>
      <c r="V393" t="s">
        <v>7738</v>
      </c>
      <c r="W393" t="s">
        <v>7739</v>
      </c>
      <c r="X393" t="s">
        <v>7740</v>
      </c>
      <c r="Y393" t="s">
        <v>7741</v>
      </c>
      <c r="Z393" t="s">
        <v>7742</v>
      </c>
      <c r="AA393" t="s">
        <v>74</v>
      </c>
      <c r="AB393" t="s">
        <v>7743</v>
      </c>
      <c r="AC393" t="s">
        <v>7744</v>
      </c>
      <c r="AD393" t="s">
        <v>7745</v>
      </c>
      <c r="AE393" t="s">
        <v>7746</v>
      </c>
      <c r="AF393" t="s">
        <v>74</v>
      </c>
      <c r="AG393">
        <v>72</v>
      </c>
      <c r="AH393">
        <v>0</v>
      </c>
      <c r="AI393">
        <v>0</v>
      </c>
      <c r="AJ393">
        <v>5</v>
      </c>
      <c r="AK393">
        <v>5</v>
      </c>
      <c r="AL393" t="s">
        <v>426</v>
      </c>
      <c r="AM393" t="s">
        <v>427</v>
      </c>
      <c r="AN393" t="s">
        <v>428</v>
      </c>
      <c r="AO393" t="s">
        <v>5967</v>
      </c>
      <c r="AP393" t="s">
        <v>5968</v>
      </c>
      <c r="AQ393" t="s">
        <v>74</v>
      </c>
      <c r="AR393" t="s">
        <v>5957</v>
      </c>
      <c r="AS393" t="s">
        <v>5969</v>
      </c>
      <c r="AT393" t="s">
        <v>7622</v>
      </c>
      <c r="AU393">
        <v>2023</v>
      </c>
      <c r="AV393" t="s">
        <v>74</v>
      </c>
      <c r="AW393" t="s">
        <v>74</v>
      </c>
      <c r="AX393" t="s">
        <v>74</v>
      </c>
      <c r="AY393" t="s">
        <v>74</v>
      </c>
      <c r="AZ393" t="s">
        <v>74</v>
      </c>
      <c r="BA393" t="s">
        <v>74</v>
      </c>
      <c r="BB393" t="s">
        <v>74</v>
      </c>
      <c r="BC393" t="s">
        <v>74</v>
      </c>
      <c r="BD393" t="s">
        <v>7747</v>
      </c>
      <c r="BE393" t="s">
        <v>7748</v>
      </c>
      <c r="BF393" t="str">
        <f>HYPERLINK("http://dx.doi.org/10.1002/cctc.202300435","http://dx.doi.org/10.1002/cctc.202300435")</f>
        <v>http://dx.doi.org/10.1002/cctc.202300435</v>
      </c>
      <c r="BG393" t="s">
        <v>74</v>
      </c>
      <c r="BH393" t="s">
        <v>74</v>
      </c>
      <c r="BI393">
        <v>11</v>
      </c>
      <c r="BJ393" t="s">
        <v>5972</v>
      </c>
      <c r="BK393" t="s">
        <v>119</v>
      </c>
      <c r="BL393" t="s">
        <v>524</v>
      </c>
      <c r="BM393" t="s">
        <v>7749</v>
      </c>
      <c r="BN393" t="s">
        <v>74</v>
      </c>
      <c r="BO393" t="s">
        <v>74</v>
      </c>
      <c r="BP393" t="s">
        <v>74</v>
      </c>
      <c r="BQ393" t="s">
        <v>74</v>
      </c>
      <c r="BR393" t="s">
        <v>99</v>
      </c>
      <c r="BS393" t="s">
        <v>7750</v>
      </c>
      <c r="BT393" t="str">
        <f>HYPERLINK("https%3A%2F%2Fwww.webofscience.com%2Fwos%2Fwoscc%2Ffull-record%2FWOS:001059139300001","View Full Record in Web of Science")</f>
        <v>View Full Record in Web of Science</v>
      </c>
    </row>
    <row r="394" spans="1:72" x14ac:dyDescent="0.15">
      <c r="A394" t="s">
        <v>72</v>
      </c>
      <c r="B394" t="s">
        <v>7751</v>
      </c>
      <c r="C394" t="s">
        <v>74</v>
      </c>
      <c r="D394" t="s">
        <v>74</v>
      </c>
      <c r="E394" t="s">
        <v>74</v>
      </c>
      <c r="F394" t="s">
        <v>7752</v>
      </c>
      <c r="G394" t="s">
        <v>74</v>
      </c>
      <c r="H394" t="s">
        <v>74</v>
      </c>
      <c r="I394" t="s">
        <v>7753</v>
      </c>
      <c r="J394" t="s">
        <v>2865</v>
      </c>
      <c r="K394" t="s">
        <v>74</v>
      </c>
      <c r="L394" t="s">
        <v>74</v>
      </c>
      <c r="M394" t="s">
        <v>78</v>
      </c>
      <c r="N394" t="s">
        <v>79</v>
      </c>
      <c r="O394" t="s">
        <v>74</v>
      </c>
      <c r="P394" t="s">
        <v>74</v>
      </c>
      <c r="Q394" t="s">
        <v>74</v>
      </c>
      <c r="R394" t="s">
        <v>74</v>
      </c>
      <c r="S394" t="s">
        <v>74</v>
      </c>
      <c r="T394" t="s">
        <v>74</v>
      </c>
      <c r="U394" t="s">
        <v>7754</v>
      </c>
      <c r="V394" t="s">
        <v>7755</v>
      </c>
      <c r="W394" t="s">
        <v>7756</v>
      </c>
      <c r="X394" t="s">
        <v>7757</v>
      </c>
      <c r="Y394" t="s">
        <v>7758</v>
      </c>
      <c r="Z394" t="s">
        <v>7759</v>
      </c>
      <c r="AA394" t="s">
        <v>7760</v>
      </c>
      <c r="AB394" t="s">
        <v>7761</v>
      </c>
      <c r="AC394" t="s">
        <v>7762</v>
      </c>
      <c r="AD394" t="s">
        <v>7763</v>
      </c>
      <c r="AE394" t="s">
        <v>7762</v>
      </c>
      <c r="AF394" t="s">
        <v>74</v>
      </c>
      <c r="AG394">
        <v>26</v>
      </c>
      <c r="AH394">
        <v>0</v>
      </c>
      <c r="AI394">
        <v>0</v>
      </c>
      <c r="AJ394">
        <v>0</v>
      </c>
      <c r="AK394">
        <v>0</v>
      </c>
      <c r="AL394" t="s">
        <v>87</v>
      </c>
      <c r="AM394" t="s">
        <v>88</v>
      </c>
      <c r="AN394" t="s">
        <v>89</v>
      </c>
      <c r="AO394" t="s">
        <v>2872</v>
      </c>
      <c r="AP394" t="s">
        <v>2873</v>
      </c>
      <c r="AQ394" t="s">
        <v>74</v>
      </c>
      <c r="AR394" t="s">
        <v>2874</v>
      </c>
      <c r="AS394" t="s">
        <v>2875</v>
      </c>
      <c r="AT394" t="s">
        <v>7622</v>
      </c>
      <c r="AU394">
        <v>2023</v>
      </c>
      <c r="AV394" t="s">
        <v>74</v>
      </c>
      <c r="AW394" t="s">
        <v>74</v>
      </c>
      <c r="AX394" t="s">
        <v>74</v>
      </c>
      <c r="AY394" t="s">
        <v>74</v>
      </c>
      <c r="AZ394" t="s">
        <v>74</v>
      </c>
      <c r="BA394" t="s">
        <v>74</v>
      </c>
      <c r="BB394" t="s">
        <v>74</v>
      </c>
      <c r="BC394" t="s">
        <v>74</v>
      </c>
      <c r="BD394" t="s">
        <v>7764</v>
      </c>
      <c r="BE394" t="s">
        <v>7765</v>
      </c>
      <c r="BF394" t="str">
        <f>HYPERLINK("http://dx.doi.org/10.1111/dme.15205","http://dx.doi.org/10.1111/dme.15205")</f>
        <v>http://dx.doi.org/10.1111/dme.15205</v>
      </c>
      <c r="BG394" t="s">
        <v>74</v>
      </c>
      <c r="BH394" t="s">
        <v>74</v>
      </c>
      <c r="BI394">
        <v>13</v>
      </c>
      <c r="BJ394" t="s">
        <v>2313</v>
      </c>
      <c r="BK394" t="s">
        <v>119</v>
      </c>
      <c r="BL394" t="s">
        <v>2313</v>
      </c>
      <c r="BM394" t="s">
        <v>7766</v>
      </c>
      <c r="BN394">
        <v>37594456</v>
      </c>
      <c r="BO394" t="s">
        <v>74</v>
      </c>
      <c r="BP394" t="s">
        <v>74</v>
      </c>
      <c r="BQ394" t="s">
        <v>74</v>
      </c>
      <c r="BR394" t="s">
        <v>99</v>
      </c>
      <c r="BS394" t="s">
        <v>7767</v>
      </c>
      <c r="BT394" t="str">
        <f>HYPERLINK("https%3A%2F%2Fwww.webofscience.com%2Fwos%2Fwoscc%2Ffull-record%2FWOS:001059397700001","View Full Record in Web of Science")</f>
        <v>View Full Record in Web of Science</v>
      </c>
    </row>
    <row r="395" spans="1:72" x14ac:dyDescent="0.15">
      <c r="A395" t="s">
        <v>72</v>
      </c>
      <c r="B395" t="s">
        <v>7768</v>
      </c>
      <c r="C395" t="s">
        <v>74</v>
      </c>
      <c r="D395" t="s">
        <v>74</v>
      </c>
      <c r="E395" t="s">
        <v>74</v>
      </c>
      <c r="F395" t="s">
        <v>7769</v>
      </c>
      <c r="G395" t="s">
        <v>74</v>
      </c>
      <c r="H395" t="s">
        <v>74</v>
      </c>
      <c r="I395" t="s">
        <v>7770</v>
      </c>
      <c r="J395" t="s">
        <v>875</v>
      </c>
      <c r="K395" t="s">
        <v>74</v>
      </c>
      <c r="L395" t="s">
        <v>74</v>
      </c>
      <c r="M395" t="s">
        <v>78</v>
      </c>
      <c r="N395" t="s">
        <v>79</v>
      </c>
      <c r="O395" t="s">
        <v>74</v>
      </c>
      <c r="P395" t="s">
        <v>74</v>
      </c>
      <c r="Q395" t="s">
        <v>74</v>
      </c>
      <c r="R395" t="s">
        <v>74</v>
      </c>
      <c r="S395" t="s">
        <v>74</v>
      </c>
      <c r="T395" t="s">
        <v>7771</v>
      </c>
      <c r="U395" t="s">
        <v>7772</v>
      </c>
      <c r="V395" t="s">
        <v>7773</v>
      </c>
      <c r="W395" t="s">
        <v>7774</v>
      </c>
      <c r="X395" t="s">
        <v>7775</v>
      </c>
      <c r="Y395" t="s">
        <v>7776</v>
      </c>
      <c r="Z395" t="s">
        <v>7777</v>
      </c>
      <c r="AA395" t="s">
        <v>74</v>
      </c>
      <c r="AB395" t="s">
        <v>74</v>
      </c>
      <c r="AC395" t="s">
        <v>7778</v>
      </c>
      <c r="AD395" t="s">
        <v>7779</v>
      </c>
      <c r="AE395" t="s">
        <v>7780</v>
      </c>
      <c r="AF395" t="s">
        <v>74</v>
      </c>
      <c r="AG395">
        <v>46</v>
      </c>
      <c r="AH395">
        <v>0</v>
      </c>
      <c r="AI395">
        <v>0</v>
      </c>
      <c r="AJ395">
        <v>6</v>
      </c>
      <c r="AK395">
        <v>6</v>
      </c>
      <c r="AL395" t="s">
        <v>426</v>
      </c>
      <c r="AM395" t="s">
        <v>427</v>
      </c>
      <c r="AN395" t="s">
        <v>428</v>
      </c>
      <c r="AO395" t="s">
        <v>886</v>
      </c>
      <c r="AP395" t="s">
        <v>887</v>
      </c>
      <c r="AQ395" t="s">
        <v>74</v>
      </c>
      <c r="AR395" t="s">
        <v>888</v>
      </c>
      <c r="AS395" t="s">
        <v>889</v>
      </c>
      <c r="AT395" t="s">
        <v>7622</v>
      </c>
      <c r="AU395">
        <v>2023</v>
      </c>
      <c r="AV395" t="s">
        <v>74</v>
      </c>
      <c r="AW395" t="s">
        <v>74</v>
      </c>
      <c r="AX395" t="s">
        <v>74</v>
      </c>
      <c r="AY395" t="s">
        <v>74</v>
      </c>
      <c r="AZ395" t="s">
        <v>74</v>
      </c>
      <c r="BA395" t="s">
        <v>74</v>
      </c>
      <c r="BB395" t="s">
        <v>74</v>
      </c>
      <c r="BC395" t="s">
        <v>74</v>
      </c>
      <c r="BD395">
        <v>2301462</v>
      </c>
      <c r="BE395" t="s">
        <v>7781</v>
      </c>
      <c r="BF395" t="str">
        <f>HYPERLINK("http://dx.doi.org/10.1002/adfm.202301462","http://dx.doi.org/10.1002/adfm.202301462")</f>
        <v>http://dx.doi.org/10.1002/adfm.202301462</v>
      </c>
      <c r="BG395" t="s">
        <v>74</v>
      </c>
      <c r="BH395" t="s">
        <v>74</v>
      </c>
      <c r="BI395">
        <v>17</v>
      </c>
      <c r="BJ395" t="s">
        <v>609</v>
      </c>
      <c r="BK395" t="s">
        <v>119</v>
      </c>
      <c r="BL395" t="s">
        <v>610</v>
      </c>
      <c r="BM395" t="s">
        <v>7782</v>
      </c>
      <c r="BN395" t="s">
        <v>74</v>
      </c>
      <c r="BO395" t="s">
        <v>74</v>
      </c>
      <c r="BP395" t="s">
        <v>74</v>
      </c>
      <c r="BQ395" t="s">
        <v>74</v>
      </c>
      <c r="BR395" t="s">
        <v>99</v>
      </c>
      <c r="BS395" t="s">
        <v>7783</v>
      </c>
      <c r="BT395" t="str">
        <f>HYPERLINK("https%3A%2F%2Fwww.webofscience.com%2Fwos%2Fwoscc%2Ffull-record%2FWOS:001059353200001","View Full Record in Web of Science")</f>
        <v>View Full Record in Web of Science</v>
      </c>
    </row>
    <row r="396" spans="1:72" x14ac:dyDescent="0.15">
      <c r="A396" t="s">
        <v>72</v>
      </c>
      <c r="B396" t="s">
        <v>7784</v>
      </c>
      <c r="C396" t="s">
        <v>74</v>
      </c>
      <c r="D396" t="s">
        <v>74</v>
      </c>
      <c r="E396" t="s">
        <v>74</v>
      </c>
      <c r="F396" t="s">
        <v>7785</v>
      </c>
      <c r="G396" t="s">
        <v>74</v>
      </c>
      <c r="H396" t="s">
        <v>74</v>
      </c>
      <c r="I396" t="s">
        <v>7786</v>
      </c>
      <c r="J396" t="s">
        <v>727</v>
      </c>
      <c r="K396" t="s">
        <v>74</v>
      </c>
      <c r="L396" t="s">
        <v>74</v>
      </c>
      <c r="M396" t="s">
        <v>78</v>
      </c>
      <c r="N396" t="s">
        <v>79</v>
      </c>
      <c r="O396" t="s">
        <v>74</v>
      </c>
      <c r="P396" t="s">
        <v>74</v>
      </c>
      <c r="Q396" t="s">
        <v>74</v>
      </c>
      <c r="R396" t="s">
        <v>74</v>
      </c>
      <c r="S396" t="s">
        <v>74</v>
      </c>
      <c r="T396" t="s">
        <v>7787</v>
      </c>
      <c r="U396" t="s">
        <v>7788</v>
      </c>
      <c r="V396" t="s">
        <v>7789</v>
      </c>
      <c r="W396" t="s">
        <v>7790</v>
      </c>
      <c r="X396" t="s">
        <v>7791</v>
      </c>
      <c r="Y396" t="s">
        <v>7792</v>
      </c>
      <c r="Z396" t="s">
        <v>7793</v>
      </c>
      <c r="AA396" t="s">
        <v>74</v>
      </c>
      <c r="AB396" t="s">
        <v>7794</v>
      </c>
      <c r="AC396" t="s">
        <v>7795</v>
      </c>
      <c r="AD396" t="s">
        <v>7796</v>
      </c>
      <c r="AE396" t="s">
        <v>7797</v>
      </c>
      <c r="AF396" t="s">
        <v>74</v>
      </c>
      <c r="AG396">
        <v>32</v>
      </c>
      <c r="AH396">
        <v>0</v>
      </c>
      <c r="AI396">
        <v>0</v>
      </c>
      <c r="AJ396">
        <v>1</v>
      </c>
      <c r="AK396">
        <v>1</v>
      </c>
      <c r="AL396" t="s">
        <v>426</v>
      </c>
      <c r="AM396" t="s">
        <v>427</v>
      </c>
      <c r="AN396" t="s">
        <v>428</v>
      </c>
      <c r="AO396" t="s">
        <v>738</v>
      </c>
      <c r="AP396" t="s">
        <v>739</v>
      </c>
      <c r="AQ396" t="s">
        <v>74</v>
      </c>
      <c r="AR396" t="s">
        <v>740</v>
      </c>
      <c r="AS396" t="s">
        <v>741</v>
      </c>
      <c r="AT396" t="s">
        <v>7622</v>
      </c>
      <c r="AU396">
        <v>2023</v>
      </c>
      <c r="AV396" t="s">
        <v>74</v>
      </c>
      <c r="AW396" t="s">
        <v>74</v>
      </c>
      <c r="AX396" t="s">
        <v>74</v>
      </c>
      <c r="AY396" t="s">
        <v>74</v>
      </c>
      <c r="AZ396" t="s">
        <v>74</v>
      </c>
      <c r="BA396" t="s">
        <v>74</v>
      </c>
      <c r="BB396" t="s">
        <v>74</v>
      </c>
      <c r="BC396" t="s">
        <v>74</v>
      </c>
      <c r="BD396" t="s">
        <v>7798</v>
      </c>
      <c r="BE396" t="s">
        <v>7799</v>
      </c>
      <c r="BF396" t="str">
        <f>HYPERLINK("http://dx.doi.org/10.1002/ejoc.202300779","http://dx.doi.org/10.1002/ejoc.202300779")</f>
        <v>http://dx.doi.org/10.1002/ejoc.202300779</v>
      </c>
      <c r="BG396" t="s">
        <v>74</v>
      </c>
      <c r="BH396" t="s">
        <v>74</v>
      </c>
      <c r="BI396">
        <v>8</v>
      </c>
      <c r="BJ396" t="s">
        <v>743</v>
      </c>
      <c r="BK396" t="s">
        <v>7800</v>
      </c>
      <c r="BL396" t="s">
        <v>524</v>
      </c>
      <c r="BM396" t="s">
        <v>7801</v>
      </c>
      <c r="BN396" t="s">
        <v>74</v>
      </c>
      <c r="BO396" t="s">
        <v>74</v>
      </c>
      <c r="BP396" t="s">
        <v>74</v>
      </c>
      <c r="BQ396" t="s">
        <v>74</v>
      </c>
      <c r="BR396" t="s">
        <v>99</v>
      </c>
      <c r="BS396" t="s">
        <v>7802</v>
      </c>
      <c r="BT396" t="str">
        <f>HYPERLINK("https%3A%2F%2Fwww.webofscience.com%2Fwos%2Fwoscc%2Ffull-record%2FWOS:001059120800001","View Full Record in Web of Science")</f>
        <v>View Full Record in Web of Science</v>
      </c>
    </row>
    <row r="397" spans="1:72" x14ac:dyDescent="0.15">
      <c r="A397" t="s">
        <v>72</v>
      </c>
      <c r="B397" t="s">
        <v>7803</v>
      </c>
      <c r="C397" t="s">
        <v>74</v>
      </c>
      <c r="D397" t="s">
        <v>74</v>
      </c>
      <c r="E397" t="s">
        <v>74</v>
      </c>
      <c r="F397" t="s">
        <v>7804</v>
      </c>
      <c r="G397" t="s">
        <v>74</v>
      </c>
      <c r="H397" t="s">
        <v>74</v>
      </c>
      <c r="I397" t="s">
        <v>7805</v>
      </c>
      <c r="J397" t="s">
        <v>7806</v>
      </c>
      <c r="K397" t="s">
        <v>74</v>
      </c>
      <c r="L397" t="s">
        <v>74</v>
      </c>
      <c r="M397" t="s">
        <v>78</v>
      </c>
      <c r="N397" t="s">
        <v>338</v>
      </c>
      <c r="O397" t="s">
        <v>74</v>
      </c>
      <c r="P397" t="s">
        <v>74</v>
      </c>
      <c r="Q397" t="s">
        <v>74</v>
      </c>
      <c r="R397" t="s">
        <v>74</v>
      </c>
      <c r="S397" t="s">
        <v>74</v>
      </c>
      <c r="T397" t="s">
        <v>7807</v>
      </c>
      <c r="U397" t="s">
        <v>7808</v>
      </c>
      <c r="V397" t="s">
        <v>7809</v>
      </c>
      <c r="W397" t="s">
        <v>7810</v>
      </c>
      <c r="X397" t="s">
        <v>7811</v>
      </c>
      <c r="Y397" t="s">
        <v>7812</v>
      </c>
      <c r="Z397" t="s">
        <v>7813</v>
      </c>
      <c r="AA397" t="s">
        <v>74</v>
      </c>
      <c r="AB397" t="s">
        <v>74</v>
      </c>
      <c r="AC397" t="s">
        <v>7814</v>
      </c>
      <c r="AD397" t="s">
        <v>3742</v>
      </c>
      <c r="AE397" t="s">
        <v>7815</v>
      </c>
      <c r="AF397" t="s">
        <v>74</v>
      </c>
      <c r="AG397">
        <v>91</v>
      </c>
      <c r="AH397">
        <v>0</v>
      </c>
      <c r="AI397">
        <v>0</v>
      </c>
      <c r="AJ397">
        <v>1</v>
      </c>
      <c r="AK397">
        <v>1</v>
      </c>
      <c r="AL397" t="s">
        <v>87</v>
      </c>
      <c r="AM397" t="s">
        <v>88</v>
      </c>
      <c r="AN397" t="s">
        <v>89</v>
      </c>
      <c r="AO397" t="s">
        <v>7816</v>
      </c>
      <c r="AP397" t="s">
        <v>7817</v>
      </c>
      <c r="AQ397" t="s">
        <v>74</v>
      </c>
      <c r="AR397" t="s">
        <v>7818</v>
      </c>
      <c r="AS397" t="s">
        <v>7819</v>
      </c>
      <c r="AT397" t="s">
        <v>7522</v>
      </c>
      <c r="AU397">
        <v>2023</v>
      </c>
      <c r="AV397" t="s">
        <v>74</v>
      </c>
      <c r="AW397" t="s">
        <v>74</v>
      </c>
      <c r="AX397" t="s">
        <v>74</v>
      </c>
      <c r="AY397" t="s">
        <v>74</v>
      </c>
      <c r="AZ397" t="s">
        <v>74</v>
      </c>
      <c r="BA397" t="s">
        <v>74</v>
      </c>
      <c r="BB397" t="s">
        <v>74</v>
      </c>
      <c r="BC397" t="s">
        <v>74</v>
      </c>
      <c r="BD397" t="s">
        <v>74</v>
      </c>
      <c r="BE397" t="s">
        <v>7820</v>
      </c>
      <c r="BF397" t="str">
        <f>HYPERLINK("http://dx.doi.org/10.1002/csr.2592","http://dx.doi.org/10.1002/csr.2592")</f>
        <v>http://dx.doi.org/10.1002/csr.2592</v>
      </c>
      <c r="BG397" t="s">
        <v>74</v>
      </c>
      <c r="BH397" t="s">
        <v>7524</v>
      </c>
      <c r="BI397">
        <v>17</v>
      </c>
      <c r="BJ397" t="s">
        <v>6615</v>
      </c>
      <c r="BK397" t="s">
        <v>546</v>
      </c>
      <c r="BL397" t="s">
        <v>6616</v>
      </c>
      <c r="BM397" t="s">
        <v>7821</v>
      </c>
      <c r="BN397" t="s">
        <v>74</v>
      </c>
      <c r="BO397" t="s">
        <v>301</v>
      </c>
      <c r="BP397" t="s">
        <v>74</v>
      </c>
      <c r="BQ397" t="s">
        <v>74</v>
      </c>
      <c r="BR397" t="s">
        <v>99</v>
      </c>
      <c r="BS397" t="s">
        <v>7822</v>
      </c>
      <c r="BT397" t="str">
        <f>HYPERLINK("https%3A%2F%2Fwww.webofscience.com%2Fwos%2Fwoscc%2Ffull-record%2FWOS:001064962100001","View Full Record in Web of Science")</f>
        <v>View Full Record in Web of Science</v>
      </c>
    </row>
    <row r="398" spans="1:72" x14ac:dyDescent="0.15">
      <c r="A398" t="s">
        <v>72</v>
      </c>
      <c r="B398" t="s">
        <v>7823</v>
      </c>
      <c r="C398" t="s">
        <v>74</v>
      </c>
      <c r="D398" t="s">
        <v>74</v>
      </c>
      <c r="E398" t="s">
        <v>74</v>
      </c>
      <c r="F398" t="s">
        <v>7824</v>
      </c>
      <c r="G398" t="s">
        <v>74</v>
      </c>
      <c r="H398" t="s">
        <v>74</v>
      </c>
      <c r="I398" t="s">
        <v>7825</v>
      </c>
      <c r="J398" t="s">
        <v>7826</v>
      </c>
      <c r="K398" t="s">
        <v>74</v>
      </c>
      <c r="L398" t="s">
        <v>74</v>
      </c>
      <c r="M398" t="s">
        <v>78</v>
      </c>
      <c r="N398" t="s">
        <v>79</v>
      </c>
      <c r="O398" t="s">
        <v>74</v>
      </c>
      <c r="P398" t="s">
        <v>74</v>
      </c>
      <c r="Q398" t="s">
        <v>74</v>
      </c>
      <c r="R398" t="s">
        <v>74</v>
      </c>
      <c r="S398" t="s">
        <v>74</v>
      </c>
      <c r="T398" t="s">
        <v>7827</v>
      </c>
      <c r="U398" t="s">
        <v>7828</v>
      </c>
      <c r="V398" t="s">
        <v>7829</v>
      </c>
      <c r="W398" t="s">
        <v>7830</v>
      </c>
      <c r="X398" t="s">
        <v>7831</v>
      </c>
      <c r="Y398" t="s">
        <v>7832</v>
      </c>
      <c r="Z398" t="s">
        <v>7833</v>
      </c>
      <c r="AA398" t="s">
        <v>74</v>
      </c>
      <c r="AB398" t="s">
        <v>74</v>
      </c>
      <c r="AC398" t="s">
        <v>7834</v>
      </c>
      <c r="AD398" t="s">
        <v>7835</v>
      </c>
      <c r="AE398" t="s">
        <v>7836</v>
      </c>
      <c r="AF398" t="s">
        <v>74</v>
      </c>
      <c r="AG398">
        <v>84</v>
      </c>
      <c r="AH398">
        <v>0</v>
      </c>
      <c r="AI398">
        <v>0</v>
      </c>
      <c r="AJ398">
        <v>0</v>
      </c>
      <c r="AK398">
        <v>0</v>
      </c>
      <c r="AL398" t="s">
        <v>87</v>
      </c>
      <c r="AM398" t="s">
        <v>88</v>
      </c>
      <c r="AN398" t="s">
        <v>89</v>
      </c>
      <c r="AO398" t="s">
        <v>7837</v>
      </c>
      <c r="AP398" t="s">
        <v>7838</v>
      </c>
      <c r="AQ398" t="s">
        <v>74</v>
      </c>
      <c r="AR398" t="s">
        <v>7839</v>
      </c>
      <c r="AS398" t="s">
        <v>7840</v>
      </c>
      <c r="AT398" t="s">
        <v>7841</v>
      </c>
      <c r="AU398">
        <v>2023</v>
      </c>
      <c r="AV398" t="s">
        <v>74</v>
      </c>
      <c r="AW398" t="s">
        <v>74</v>
      </c>
      <c r="AX398" t="s">
        <v>74</v>
      </c>
      <c r="AY398" t="s">
        <v>74</v>
      </c>
      <c r="AZ398" t="s">
        <v>74</v>
      </c>
      <c r="BA398" t="s">
        <v>74</v>
      </c>
      <c r="BB398" t="s">
        <v>74</v>
      </c>
      <c r="BC398" t="s">
        <v>74</v>
      </c>
      <c r="BD398">
        <v>100092</v>
      </c>
      <c r="BE398" t="s">
        <v>7842</v>
      </c>
      <c r="BF398" t="str">
        <f>HYPERLINK("http://dx.doi.org/10.1111/jwas.13010","http://dx.doi.org/10.1111/jwas.13010")</f>
        <v>http://dx.doi.org/10.1111/jwas.13010</v>
      </c>
      <c r="BG398" t="s">
        <v>74</v>
      </c>
      <c r="BH398" t="s">
        <v>74</v>
      </c>
      <c r="BI398">
        <v>21</v>
      </c>
      <c r="BJ398" t="s">
        <v>4422</v>
      </c>
      <c r="BK398" t="s">
        <v>119</v>
      </c>
      <c r="BL398" t="s">
        <v>4422</v>
      </c>
      <c r="BM398" t="s">
        <v>7843</v>
      </c>
      <c r="BN398" t="s">
        <v>74</v>
      </c>
      <c r="BO398" t="s">
        <v>234</v>
      </c>
      <c r="BP398" t="s">
        <v>74</v>
      </c>
      <c r="BQ398" t="s">
        <v>74</v>
      </c>
      <c r="BR398" t="s">
        <v>99</v>
      </c>
      <c r="BS398" t="s">
        <v>7844</v>
      </c>
      <c r="BT398" t="str">
        <f>HYPERLINK("https%3A%2F%2Fwww.webofscience.com%2Fwos%2Fwoscc%2Ffull-record%2FWOS:001058441900001","View Full Record in Web of Science")</f>
        <v>View Full Record in Web of Science</v>
      </c>
    </row>
    <row r="399" spans="1:72" x14ac:dyDescent="0.15">
      <c r="A399" t="s">
        <v>72</v>
      </c>
      <c r="B399" t="s">
        <v>7845</v>
      </c>
      <c r="C399" t="s">
        <v>74</v>
      </c>
      <c r="D399" t="s">
        <v>74</v>
      </c>
      <c r="E399" t="s">
        <v>74</v>
      </c>
      <c r="F399" t="s">
        <v>7846</v>
      </c>
      <c r="G399" t="s">
        <v>74</v>
      </c>
      <c r="H399" t="s">
        <v>74</v>
      </c>
      <c r="I399" t="s">
        <v>7847</v>
      </c>
      <c r="J399" t="s">
        <v>7848</v>
      </c>
      <c r="K399" t="s">
        <v>74</v>
      </c>
      <c r="L399" t="s">
        <v>74</v>
      </c>
      <c r="M399" t="s">
        <v>78</v>
      </c>
      <c r="N399" t="s">
        <v>338</v>
      </c>
      <c r="O399" t="s">
        <v>74</v>
      </c>
      <c r="P399" t="s">
        <v>74</v>
      </c>
      <c r="Q399" t="s">
        <v>74</v>
      </c>
      <c r="R399" t="s">
        <v>74</v>
      </c>
      <c r="S399" t="s">
        <v>74</v>
      </c>
      <c r="T399" t="s">
        <v>7849</v>
      </c>
      <c r="U399" t="s">
        <v>7850</v>
      </c>
      <c r="V399" t="s">
        <v>7851</v>
      </c>
      <c r="W399" t="s">
        <v>7852</v>
      </c>
      <c r="X399" t="s">
        <v>7853</v>
      </c>
      <c r="Y399" t="s">
        <v>7854</v>
      </c>
      <c r="Z399" t="s">
        <v>7855</v>
      </c>
      <c r="AA399" t="s">
        <v>7856</v>
      </c>
      <c r="AB399" t="s">
        <v>7857</v>
      </c>
      <c r="AC399" t="s">
        <v>74</v>
      </c>
      <c r="AD399" t="s">
        <v>74</v>
      </c>
      <c r="AE399" t="s">
        <v>74</v>
      </c>
      <c r="AF399" t="s">
        <v>74</v>
      </c>
      <c r="AG399">
        <v>40</v>
      </c>
      <c r="AH399">
        <v>0</v>
      </c>
      <c r="AI399">
        <v>0</v>
      </c>
      <c r="AJ399">
        <v>1</v>
      </c>
      <c r="AK399">
        <v>1</v>
      </c>
      <c r="AL399" t="s">
        <v>87</v>
      </c>
      <c r="AM399" t="s">
        <v>88</v>
      </c>
      <c r="AN399" t="s">
        <v>89</v>
      </c>
      <c r="AO399" t="s">
        <v>7858</v>
      </c>
      <c r="AP399" t="s">
        <v>7859</v>
      </c>
      <c r="AQ399" t="s">
        <v>74</v>
      </c>
      <c r="AR399" t="s">
        <v>7860</v>
      </c>
      <c r="AS399" t="s">
        <v>7861</v>
      </c>
      <c r="AT399" t="s">
        <v>7862</v>
      </c>
      <c r="AU399">
        <v>2023</v>
      </c>
      <c r="AV399" t="s">
        <v>74</v>
      </c>
      <c r="AW399" t="s">
        <v>74</v>
      </c>
      <c r="AX399" t="s">
        <v>74</v>
      </c>
      <c r="AY399" t="s">
        <v>74</v>
      </c>
      <c r="AZ399" t="s">
        <v>74</v>
      </c>
      <c r="BA399" t="s">
        <v>74</v>
      </c>
      <c r="BB399" t="s">
        <v>74</v>
      </c>
      <c r="BC399" t="s">
        <v>74</v>
      </c>
      <c r="BD399" t="s">
        <v>74</v>
      </c>
      <c r="BE399" t="s">
        <v>7863</v>
      </c>
      <c r="BF399" t="str">
        <f>HYPERLINK("http://dx.doi.org/10.1111/inr.12882","http://dx.doi.org/10.1111/inr.12882")</f>
        <v>http://dx.doi.org/10.1111/inr.12882</v>
      </c>
      <c r="BG399" t="s">
        <v>74</v>
      </c>
      <c r="BH399" t="s">
        <v>7524</v>
      </c>
      <c r="BI399">
        <v>8</v>
      </c>
      <c r="BJ399" t="s">
        <v>5811</v>
      </c>
      <c r="BK399" t="s">
        <v>409</v>
      </c>
      <c r="BL399" t="s">
        <v>5811</v>
      </c>
      <c r="BM399" t="s">
        <v>7864</v>
      </c>
      <c r="BN399">
        <v>37647223</v>
      </c>
      <c r="BO399" t="s">
        <v>122</v>
      </c>
      <c r="BP399" t="s">
        <v>74</v>
      </c>
      <c r="BQ399" t="s">
        <v>74</v>
      </c>
      <c r="BR399" t="s">
        <v>99</v>
      </c>
      <c r="BS399" t="s">
        <v>7865</v>
      </c>
      <c r="BT399" t="str">
        <f>HYPERLINK("https%3A%2F%2Fwww.webofscience.com%2Fwos%2Fwoscc%2Ffull-record%2FWOS:001062038000001","View Full Record in Web of Science")</f>
        <v>View Full Record in Web of Science</v>
      </c>
    </row>
    <row r="400" spans="1:72" x14ac:dyDescent="0.15">
      <c r="A400" t="s">
        <v>72</v>
      </c>
      <c r="B400" t="s">
        <v>7866</v>
      </c>
      <c r="C400" t="s">
        <v>74</v>
      </c>
      <c r="D400" t="s">
        <v>74</v>
      </c>
      <c r="E400" t="s">
        <v>74</v>
      </c>
      <c r="F400" t="s">
        <v>7867</v>
      </c>
      <c r="G400" t="s">
        <v>74</v>
      </c>
      <c r="H400" t="s">
        <v>74</v>
      </c>
      <c r="I400" t="s">
        <v>7868</v>
      </c>
      <c r="J400" t="s">
        <v>7869</v>
      </c>
      <c r="K400" t="s">
        <v>74</v>
      </c>
      <c r="L400" t="s">
        <v>74</v>
      </c>
      <c r="M400" t="s">
        <v>78</v>
      </c>
      <c r="N400" t="s">
        <v>79</v>
      </c>
      <c r="O400" t="s">
        <v>74</v>
      </c>
      <c r="P400" t="s">
        <v>74</v>
      </c>
      <c r="Q400" t="s">
        <v>74</v>
      </c>
      <c r="R400" t="s">
        <v>74</v>
      </c>
      <c r="S400" t="s">
        <v>74</v>
      </c>
      <c r="T400" t="s">
        <v>7870</v>
      </c>
      <c r="U400" t="s">
        <v>7871</v>
      </c>
      <c r="V400" t="s">
        <v>7872</v>
      </c>
      <c r="W400" t="s">
        <v>7873</v>
      </c>
      <c r="X400" t="s">
        <v>7874</v>
      </c>
      <c r="Y400" t="s">
        <v>7875</v>
      </c>
      <c r="Z400" t="s">
        <v>7876</v>
      </c>
      <c r="AA400" t="s">
        <v>7877</v>
      </c>
      <c r="AB400" t="s">
        <v>74</v>
      </c>
      <c r="AC400" t="s">
        <v>7878</v>
      </c>
      <c r="AD400" t="s">
        <v>7879</v>
      </c>
      <c r="AE400" t="s">
        <v>7880</v>
      </c>
      <c r="AF400" t="s">
        <v>74</v>
      </c>
      <c r="AG400">
        <v>37</v>
      </c>
      <c r="AH400">
        <v>0</v>
      </c>
      <c r="AI400">
        <v>0</v>
      </c>
      <c r="AJ400">
        <v>2</v>
      </c>
      <c r="AK400">
        <v>2</v>
      </c>
      <c r="AL400" t="s">
        <v>87</v>
      </c>
      <c r="AM400" t="s">
        <v>88</v>
      </c>
      <c r="AN400" t="s">
        <v>89</v>
      </c>
      <c r="AO400" t="s">
        <v>7881</v>
      </c>
      <c r="AP400" t="s">
        <v>7882</v>
      </c>
      <c r="AQ400" t="s">
        <v>74</v>
      </c>
      <c r="AR400" t="s">
        <v>7883</v>
      </c>
      <c r="AS400" t="s">
        <v>7884</v>
      </c>
      <c r="AT400" t="s">
        <v>7841</v>
      </c>
      <c r="AU400">
        <v>2023</v>
      </c>
      <c r="AV400" t="s">
        <v>74</v>
      </c>
      <c r="AW400" t="s">
        <v>74</v>
      </c>
      <c r="AX400" t="s">
        <v>74</v>
      </c>
      <c r="AY400" t="s">
        <v>74</v>
      </c>
      <c r="AZ400" t="s">
        <v>74</v>
      </c>
      <c r="BA400" t="s">
        <v>74</v>
      </c>
      <c r="BB400" t="s">
        <v>74</v>
      </c>
      <c r="BC400" t="s">
        <v>74</v>
      </c>
      <c r="BD400">
        <v>109296</v>
      </c>
      <c r="BE400" t="s">
        <v>7885</v>
      </c>
      <c r="BF400" t="str">
        <f>HYPERLINK("http://dx.doi.org/10.1002/pat.6184","http://dx.doi.org/10.1002/pat.6184")</f>
        <v>http://dx.doi.org/10.1002/pat.6184</v>
      </c>
      <c r="BG400" t="s">
        <v>74</v>
      </c>
      <c r="BH400" t="s">
        <v>74</v>
      </c>
      <c r="BI400">
        <v>11</v>
      </c>
      <c r="BJ400" t="s">
        <v>1418</v>
      </c>
      <c r="BK400" t="s">
        <v>119</v>
      </c>
      <c r="BL400" t="s">
        <v>1418</v>
      </c>
      <c r="BM400" t="s">
        <v>7886</v>
      </c>
      <c r="BN400" t="s">
        <v>74</v>
      </c>
      <c r="BO400" t="s">
        <v>122</v>
      </c>
      <c r="BP400" t="s">
        <v>74</v>
      </c>
      <c r="BQ400" t="s">
        <v>74</v>
      </c>
      <c r="BR400" t="s">
        <v>99</v>
      </c>
      <c r="BS400" t="s">
        <v>7887</v>
      </c>
      <c r="BT400" t="str">
        <f>HYPERLINK("https%3A%2F%2Fwww.webofscience.com%2Fwos%2Fwoscc%2Ffull-record%2FWOS:001058362000001","View Full Record in Web of Science")</f>
        <v>View Full Record in Web of Science</v>
      </c>
    </row>
    <row r="401" spans="1:72" x14ac:dyDescent="0.15">
      <c r="A401" t="s">
        <v>72</v>
      </c>
      <c r="B401" t="s">
        <v>7888</v>
      </c>
      <c r="C401" t="s">
        <v>74</v>
      </c>
      <c r="D401" t="s">
        <v>74</v>
      </c>
      <c r="E401" t="s">
        <v>74</v>
      </c>
      <c r="F401" t="s">
        <v>7889</v>
      </c>
      <c r="G401" t="s">
        <v>74</v>
      </c>
      <c r="H401" t="s">
        <v>74</v>
      </c>
      <c r="I401" t="s">
        <v>7890</v>
      </c>
      <c r="J401" t="s">
        <v>593</v>
      </c>
      <c r="K401" t="s">
        <v>74</v>
      </c>
      <c r="L401" t="s">
        <v>74</v>
      </c>
      <c r="M401" t="s">
        <v>78</v>
      </c>
      <c r="N401" t="s">
        <v>3392</v>
      </c>
      <c r="O401" t="s">
        <v>74</v>
      </c>
      <c r="P401" t="s">
        <v>74</v>
      </c>
      <c r="Q401" t="s">
        <v>74</v>
      </c>
      <c r="R401" t="s">
        <v>74</v>
      </c>
      <c r="S401" t="s">
        <v>74</v>
      </c>
      <c r="T401" t="s">
        <v>7891</v>
      </c>
      <c r="U401" t="s">
        <v>7892</v>
      </c>
      <c r="V401" t="s">
        <v>7893</v>
      </c>
      <c r="W401" t="s">
        <v>7894</v>
      </c>
      <c r="X401" t="s">
        <v>7895</v>
      </c>
      <c r="Y401" t="s">
        <v>7896</v>
      </c>
      <c r="Z401" t="s">
        <v>7897</v>
      </c>
      <c r="AA401" t="s">
        <v>74</v>
      </c>
      <c r="AB401" t="s">
        <v>74</v>
      </c>
      <c r="AC401" t="s">
        <v>7898</v>
      </c>
      <c r="AD401" t="s">
        <v>7899</v>
      </c>
      <c r="AE401" t="s">
        <v>7900</v>
      </c>
      <c r="AF401" t="s">
        <v>74</v>
      </c>
      <c r="AG401">
        <v>115</v>
      </c>
      <c r="AH401">
        <v>0</v>
      </c>
      <c r="AI401">
        <v>0</v>
      </c>
      <c r="AJ401">
        <v>24</v>
      </c>
      <c r="AK401">
        <v>24</v>
      </c>
      <c r="AL401" t="s">
        <v>426</v>
      </c>
      <c r="AM401" t="s">
        <v>427</v>
      </c>
      <c r="AN401" t="s">
        <v>428</v>
      </c>
      <c r="AO401" t="s">
        <v>605</v>
      </c>
      <c r="AP401" t="s">
        <v>606</v>
      </c>
      <c r="AQ401" t="s">
        <v>74</v>
      </c>
      <c r="AR401" t="s">
        <v>593</v>
      </c>
      <c r="AS401" t="s">
        <v>607</v>
      </c>
      <c r="AT401" t="s">
        <v>7841</v>
      </c>
      <c r="AU401">
        <v>2023</v>
      </c>
      <c r="AV401" t="s">
        <v>74</v>
      </c>
      <c r="AW401" t="s">
        <v>74</v>
      </c>
      <c r="AX401" t="s">
        <v>74</v>
      </c>
      <c r="AY401" t="s">
        <v>74</v>
      </c>
      <c r="AZ401" t="s">
        <v>74</v>
      </c>
      <c r="BA401" t="s">
        <v>74</v>
      </c>
      <c r="BB401" t="s">
        <v>74</v>
      </c>
      <c r="BC401" t="s">
        <v>74</v>
      </c>
      <c r="BD401">
        <v>2304681</v>
      </c>
      <c r="BE401" t="s">
        <v>7901</v>
      </c>
      <c r="BF401" t="str">
        <f>HYPERLINK("http://dx.doi.org/10.1002/smll.202304681","http://dx.doi.org/10.1002/smll.202304681")</f>
        <v>http://dx.doi.org/10.1002/smll.202304681</v>
      </c>
      <c r="BG401" t="s">
        <v>74</v>
      </c>
      <c r="BH401" t="s">
        <v>74</v>
      </c>
      <c r="BI401">
        <v>14</v>
      </c>
      <c r="BJ401" t="s">
        <v>609</v>
      </c>
      <c r="BK401" t="s">
        <v>119</v>
      </c>
      <c r="BL401" t="s">
        <v>610</v>
      </c>
      <c r="BM401" t="s">
        <v>7902</v>
      </c>
      <c r="BN401">
        <v>37649205</v>
      </c>
      <c r="BO401" t="s">
        <v>74</v>
      </c>
      <c r="BP401" t="s">
        <v>74</v>
      </c>
      <c r="BQ401" t="s">
        <v>74</v>
      </c>
      <c r="BR401" t="s">
        <v>99</v>
      </c>
      <c r="BS401" t="s">
        <v>7903</v>
      </c>
      <c r="BT401" t="str">
        <f>HYPERLINK("https%3A%2F%2Fwww.webofscience.com%2Fwos%2Fwoscc%2Ffull-record%2FWOS:001058309800001","View Full Record in Web of Science")</f>
        <v>View Full Record in Web of Science</v>
      </c>
    </row>
    <row r="402" spans="1:72" x14ac:dyDescent="0.15">
      <c r="A402" t="s">
        <v>72</v>
      </c>
      <c r="B402" t="s">
        <v>7904</v>
      </c>
      <c r="C402" t="s">
        <v>74</v>
      </c>
      <c r="D402" t="s">
        <v>74</v>
      </c>
      <c r="E402" t="s">
        <v>74</v>
      </c>
      <c r="F402" t="s">
        <v>7905</v>
      </c>
      <c r="G402" t="s">
        <v>74</v>
      </c>
      <c r="H402" t="s">
        <v>74</v>
      </c>
      <c r="I402" t="s">
        <v>7906</v>
      </c>
      <c r="J402" t="s">
        <v>7907</v>
      </c>
      <c r="K402" t="s">
        <v>74</v>
      </c>
      <c r="L402" t="s">
        <v>74</v>
      </c>
      <c r="M402" t="s">
        <v>78</v>
      </c>
      <c r="N402" t="s">
        <v>79</v>
      </c>
      <c r="O402" t="s">
        <v>74</v>
      </c>
      <c r="P402" t="s">
        <v>74</v>
      </c>
      <c r="Q402" t="s">
        <v>74</v>
      </c>
      <c r="R402" t="s">
        <v>74</v>
      </c>
      <c r="S402" t="s">
        <v>74</v>
      </c>
      <c r="T402" t="s">
        <v>7908</v>
      </c>
      <c r="U402" t="s">
        <v>7909</v>
      </c>
      <c r="V402" t="s">
        <v>7910</v>
      </c>
      <c r="W402" t="s">
        <v>7911</v>
      </c>
      <c r="X402" t="s">
        <v>7912</v>
      </c>
      <c r="Y402" t="s">
        <v>7913</v>
      </c>
      <c r="Z402" t="s">
        <v>7914</v>
      </c>
      <c r="AA402" t="s">
        <v>7915</v>
      </c>
      <c r="AB402" t="s">
        <v>7916</v>
      </c>
      <c r="AC402" t="s">
        <v>74</v>
      </c>
      <c r="AD402" t="s">
        <v>74</v>
      </c>
      <c r="AE402" t="s">
        <v>74</v>
      </c>
      <c r="AF402" t="s">
        <v>74</v>
      </c>
      <c r="AG402">
        <v>49</v>
      </c>
      <c r="AH402">
        <v>0</v>
      </c>
      <c r="AI402">
        <v>0</v>
      </c>
      <c r="AJ402">
        <v>3</v>
      </c>
      <c r="AK402">
        <v>3</v>
      </c>
      <c r="AL402" t="s">
        <v>87</v>
      </c>
      <c r="AM402" t="s">
        <v>88</v>
      </c>
      <c r="AN402" t="s">
        <v>89</v>
      </c>
      <c r="AO402" t="s">
        <v>7917</v>
      </c>
      <c r="AP402" t="s">
        <v>7918</v>
      </c>
      <c r="AQ402" t="s">
        <v>74</v>
      </c>
      <c r="AR402" t="s">
        <v>7919</v>
      </c>
      <c r="AS402" t="s">
        <v>7920</v>
      </c>
      <c r="AT402" t="s">
        <v>7841</v>
      </c>
      <c r="AU402">
        <v>2023</v>
      </c>
      <c r="AV402" t="s">
        <v>74</v>
      </c>
      <c r="AW402" t="s">
        <v>74</v>
      </c>
      <c r="AX402" t="s">
        <v>74</v>
      </c>
      <c r="AY402" t="s">
        <v>74</v>
      </c>
      <c r="AZ402" t="s">
        <v>74</v>
      </c>
      <c r="BA402" t="s">
        <v>74</v>
      </c>
      <c r="BB402" t="s">
        <v>74</v>
      </c>
      <c r="BC402" t="s">
        <v>74</v>
      </c>
      <c r="BD402" t="s">
        <v>7921</v>
      </c>
      <c r="BE402" t="s">
        <v>7922</v>
      </c>
      <c r="BF402" t="str">
        <f>HYPERLINK("http://dx.doi.org/10.1111/exsy.13439","http://dx.doi.org/10.1111/exsy.13439")</f>
        <v>http://dx.doi.org/10.1111/exsy.13439</v>
      </c>
      <c r="BG402" t="s">
        <v>74</v>
      </c>
      <c r="BH402" t="s">
        <v>74</v>
      </c>
      <c r="BI402">
        <v>20</v>
      </c>
      <c r="BJ402" t="s">
        <v>1874</v>
      </c>
      <c r="BK402" t="s">
        <v>119</v>
      </c>
      <c r="BL402" t="s">
        <v>1875</v>
      </c>
      <c r="BM402" t="s">
        <v>7923</v>
      </c>
      <c r="BN402" t="s">
        <v>74</v>
      </c>
      <c r="BO402" t="s">
        <v>74</v>
      </c>
      <c r="BP402" t="s">
        <v>74</v>
      </c>
      <c r="BQ402" t="s">
        <v>74</v>
      </c>
      <c r="BR402" t="s">
        <v>99</v>
      </c>
      <c r="BS402" t="s">
        <v>7924</v>
      </c>
      <c r="BT402" t="str">
        <f>HYPERLINK("https%3A%2F%2Fwww.webofscience.com%2Fwos%2Fwoscc%2Ffull-record%2FWOS:001058193900001","View Full Record in Web of Science")</f>
        <v>View Full Record in Web of Science</v>
      </c>
    </row>
    <row r="403" spans="1:72" x14ac:dyDescent="0.15">
      <c r="A403" t="s">
        <v>72</v>
      </c>
      <c r="B403" t="s">
        <v>7925</v>
      </c>
      <c r="C403" t="s">
        <v>74</v>
      </c>
      <c r="D403" t="s">
        <v>74</v>
      </c>
      <c r="E403" t="s">
        <v>74</v>
      </c>
      <c r="F403" t="s">
        <v>7926</v>
      </c>
      <c r="G403" t="s">
        <v>74</v>
      </c>
      <c r="H403" t="s">
        <v>74</v>
      </c>
      <c r="I403" t="s">
        <v>7927</v>
      </c>
      <c r="J403" t="s">
        <v>7928</v>
      </c>
      <c r="K403" t="s">
        <v>74</v>
      </c>
      <c r="L403" t="s">
        <v>74</v>
      </c>
      <c r="M403" t="s">
        <v>78</v>
      </c>
      <c r="N403" t="s">
        <v>338</v>
      </c>
      <c r="O403" t="s">
        <v>74</v>
      </c>
      <c r="P403" t="s">
        <v>74</v>
      </c>
      <c r="Q403" t="s">
        <v>74</v>
      </c>
      <c r="R403" t="s">
        <v>74</v>
      </c>
      <c r="S403" t="s">
        <v>74</v>
      </c>
      <c r="T403" t="s">
        <v>7929</v>
      </c>
      <c r="U403" t="s">
        <v>7930</v>
      </c>
      <c r="V403" t="s">
        <v>7931</v>
      </c>
      <c r="W403" t="s">
        <v>7932</v>
      </c>
      <c r="X403" t="s">
        <v>7933</v>
      </c>
      <c r="Y403" t="s">
        <v>7934</v>
      </c>
      <c r="Z403" t="s">
        <v>7935</v>
      </c>
      <c r="AA403" t="s">
        <v>7936</v>
      </c>
      <c r="AB403" t="s">
        <v>7937</v>
      </c>
      <c r="AC403" t="s">
        <v>7938</v>
      </c>
      <c r="AD403" t="s">
        <v>7938</v>
      </c>
      <c r="AE403" t="s">
        <v>7939</v>
      </c>
      <c r="AF403" t="s">
        <v>74</v>
      </c>
      <c r="AG403">
        <v>118</v>
      </c>
      <c r="AH403">
        <v>0</v>
      </c>
      <c r="AI403">
        <v>0</v>
      </c>
      <c r="AJ403">
        <v>2</v>
      </c>
      <c r="AK403">
        <v>2</v>
      </c>
      <c r="AL403" t="s">
        <v>87</v>
      </c>
      <c r="AM403" t="s">
        <v>88</v>
      </c>
      <c r="AN403" t="s">
        <v>89</v>
      </c>
      <c r="AO403" t="s">
        <v>7940</v>
      </c>
      <c r="AP403" t="s">
        <v>7941</v>
      </c>
      <c r="AQ403" t="s">
        <v>74</v>
      </c>
      <c r="AR403" t="s">
        <v>7942</v>
      </c>
      <c r="AS403" t="s">
        <v>7943</v>
      </c>
      <c r="AT403" t="s">
        <v>7862</v>
      </c>
      <c r="AU403">
        <v>2023</v>
      </c>
      <c r="AV403" t="s">
        <v>74</v>
      </c>
      <c r="AW403" t="s">
        <v>74</v>
      </c>
      <c r="AX403" t="s">
        <v>74</v>
      </c>
      <c r="AY403" t="s">
        <v>74</v>
      </c>
      <c r="AZ403" t="s">
        <v>74</v>
      </c>
      <c r="BA403" t="s">
        <v>74</v>
      </c>
      <c r="BB403" t="s">
        <v>74</v>
      </c>
      <c r="BC403" t="s">
        <v>74</v>
      </c>
      <c r="BD403" t="s">
        <v>74</v>
      </c>
      <c r="BE403" t="s">
        <v>7944</v>
      </c>
      <c r="BF403" t="str">
        <f>HYPERLINK("http://dx.doi.org/10.1002/joom.1277","http://dx.doi.org/10.1002/joom.1277")</f>
        <v>http://dx.doi.org/10.1002/joom.1277</v>
      </c>
      <c r="BG403" t="s">
        <v>74</v>
      </c>
      <c r="BH403" t="s">
        <v>7524</v>
      </c>
      <c r="BI403">
        <v>27</v>
      </c>
      <c r="BJ403" t="s">
        <v>7945</v>
      </c>
      <c r="BK403" t="s">
        <v>409</v>
      </c>
      <c r="BL403" t="s">
        <v>7946</v>
      </c>
      <c r="BM403" t="s">
        <v>7947</v>
      </c>
      <c r="BN403" t="s">
        <v>74</v>
      </c>
      <c r="BO403" t="s">
        <v>122</v>
      </c>
      <c r="BP403" t="s">
        <v>74</v>
      </c>
      <c r="BQ403" t="s">
        <v>74</v>
      </c>
      <c r="BR403" t="s">
        <v>99</v>
      </c>
      <c r="BS403" t="s">
        <v>7948</v>
      </c>
      <c r="BT403" t="str">
        <f>HYPERLINK("https%3A%2F%2Fwww.webofscience.com%2Fwos%2Fwoscc%2Ffull-record%2FWOS:001060217800001","View Full Record in Web of Science")</f>
        <v>View Full Record in Web of Science</v>
      </c>
    </row>
    <row r="404" spans="1:72" x14ac:dyDescent="0.15">
      <c r="A404" t="s">
        <v>72</v>
      </c>
      <c r="B404" t="s">
        <v>7949</v>
      </c>
      <c r="C404" t="s">
        <v>74</v>
      </c>
      <c r="D404" t="s">
        <v>74</v>
      </c>
      <c r="E404" t="s">
        <v>74</v>
      </c>
      <c r="F404" t="s">
        <v>7950</v>
      </c>
      <c r="G404" t="s">
        <v>74</v>
      </c>
      <c r="H404" t="s">
        <v>74</v>
      </c>
      <c r="I404" t="s">
        <v>7951</v>
      </c>
      <c r="J404" t="s">
        <v>7129</v>
      </c>
      <c r="K404" t="s">
        <v>74</v>
      </c>
      <c r="L404" t="s">
        <v>74</v>
      </c>
      <c r="M404" t="s">
        <v>78</v>
      </c>
      <c r="N404" t="s">
        <v>338</v>
      </c>
      <c r="O404" t="s">
        <v>74</v>
      </c>
      <c r="P404" t="s">
        <v>74</v>
      </c>
      <c r="Q404" t="s">
        <v>74</v>
      </c>
      <c r="R404" t="s">
        <v>74</v>
      </c>
      <c r="S404" t="s">
        <v>74</v>
      </c>
      <c r="T404" t="s">
        <v>7952</v>
      </c>
      <c r="U404" t="s">
        <v>7953</v>
      </c>
      <c r="V404" t="s">
        <v>7954</v>
      </c>
      <c r="W404" t="s">
        <v>7955</v>
      </c>
      <c r="X404" t="s">
        <v>7956</v>
      </c>
      <c r="Y404" t="s">
        <v>7957</v>
      </c>
      <c r="Z404" t="s">
        <v>7958</v>
      </c>
      <c r="AA404" t="s">
        <v>74</v>
      </c>
      <c r="AB404" t="s">
        <v>74</v>
      </c>
      <c r="AC404" t="s">
        <v>7959</v>
      </c>
      <c r="AD404" t="s">
        <v>7959</v>
      </c>
      <c r="AE404" t="s">
        <v>7959</v>
      </c>
      <c r="AF404" t="s">
        <v>74</v>
      </c>
      <c r="AG404">
        <v>39</v>
      </c>
      <c r="AH404">
        <v>0</v>
      </c>
      <c r="AI404">
        <v>0</v>
      </c>
      <c r="AJ404">
        <v>0</v>
      </c>
      <c r="AK404">
        <v>0</v>
      </c>
      <c r="AL404" t="s">
        <v>87</v>
      </c>
      <c r="AM404" t="s">
        <v>88</v>
      </c>
      <c r="AN404" t="s">
        <v>89</v>
      </c>
      <c r="AO404" t="s">
        <v>7140</v>
      </c>
      <c r="AP404" t="s">
        <v>7141</v>
      </c>
      <c r="AQ404" t="s">
        <v>74</v>
      </c>
      <c r="AR404" t="s">
        <v>7142</v>
      </c>
      <c r="AS404" t="s">
        <v>7143</v>
      </c>
      <c r="AT404" t="s">
        <v>7862</v>
      </c>
      <c r="AU404">
        <v>2023</v>
      </c>
      <c r="AV404" t="s">
        <v>74</v>
      </c>
      <c r="AW404" t="s">
        <v>74</v>
      </c>
      <c r="AX404" t="s">
        <v>74</v>
      </c>
      <c r="AY404" t="s">
        <v>74</v>
      </c>
      <c r="AZ404" t="s">
        <v>74</v>
      </c>
      <c r="BA404" t="s">
        <v>74</v>
      </c>
      <c r="BB404" t="s">
        <v>74</v>
      </c>
      <c r="BC404" t="s">
        <v>74</v>
      </c>
      <c r="BD404" t="s">
        <v>74</v>
      </c>
      <c r="BE404" t="s">
        <v>7960</v>
      </c>
      <c r="BF404" t="str">
        <f>HYPERLINK("http://dx.doi.org/10.1002/rnc.6936","http://dx.doi.org/10.1002/rnc.6936")</f>
        <v>http://dx.doi.org/10.1002/rnc.6936</v>
      </c>
      <c r="BG404" t="s">
        <v>74</v>
      </c>
      <c r="BH404" t="s">
        <v>7524</v>
      </c>
      <c r="BI404">
        <v>15</v>
      </c>
      <c r="BJ404" t="s">
        <v>7145</v>
      </c>
      <c r="BK404" t="s">
        <v>119</v>
      </c>
      <c r="BL404" t="s">
        <v>7146</v>
      </c>
      <c r="BM404" t="s">
        <v>7961</v>
      </c>
      <c r="BN404" t="s">
        <v>74</v>
      </c>
      <c r="BO404" t="s">
        <v>74</v>
      </c>
      <c r="BP404" t="s">
        <v>74</v>
      </c>
      <c r="BQ404" t="s">
        <v>74</v>
      </c>
      <c r="BR404" t="s">
        <v>99</v>
      </c>
      <c r="BS404" t="s">
        <v>7962</v>
      </c>
      <c r="BT404" t="str">
        <f>HYPERLINK("https%3A%2F%2Fwww.webofscience.com%2Fwos%2Fwoscc%2Ffull-record%2FWOS:001060228800001","View Full Record in Web of Science")</f>
        <v>View Full Record in Web of Science</v>
      </c>
    </row>
    <row r="405" spans="1:72" x14ac:dyDescent="0.15">
      <c r="A405" t="s">
        <v>72</v>
      </c>
      <c r="B405" t="s">
        <v>7963</v>
      </c>
      <c r="C405" t="s">
        <v>74</v>
      </c>
      <c r="D405" t="s">
        <v>74</v>
      </c>
      <c r="E405" t="s">
        <v>74</v>
      </c>
      <c r="F405" t="s">
        <v>7964</v>
      </c>
      <c r="G405" t="s">
        <v>74</v>
      </c>
      <c r="H405" t="s">
        <v>74</v>
      </c>
      <c r="I405" t="s">
        <v>7965</v>
      </c>
      <c r="J405" t="s">
        <v>4626</v>
      </c>
      <c r="K405" t="s">
        <v>74</v>
      </c>
      <c r="L405" t="s">
        <v>74</v>
      </c>
      <c r="M405" t="s">
        <v>78</v>
      </c>
      <c r="N405" t="s">
        <v>79</v>
      </c>
      <c r="O405" t="s">
        <v>74</v>
      </c>
      <c r="P405" t="s">
        <v>74</v>
      </c>
      <c r="Q405" t="s">
        <v>74</v>
      </c>
      <c r="R405" t="s">
        <v>74</v>
      </c>
      <c r="S405" t="s">
        <v>74</v>
      </c>
      <c r="T405" t="s">
        <v>7966</v>
      </c>
      <c r="U405" t="s">
        <v>7967</v>
      </c>
      <c r="V405" t="s">
        <v>7968</v>
      </c>
      <c r="W405" t="s">
        <v>7969</v>
      </c>
      <c r="X405" t="s">
        <v>7970</v>
      </c>
      <c r="Y405" t="s">
        <v>7971</v>
      </c>
      <c r="Z405" t="s">
        <v>7972</v>
      </c>
      <c r="AA405" t="s">
        <v>74</v>
      </c>
      <c r="AB405" t="s">
        <v>7973</v>
      </c>
      <c r="AC405" t="s">
        <v>7974</v>
      </c>
      <c r="AD405" t="s">
        <v>7975</v>
      </c>
      <c r="AE405" t="s">
        <v>7976</v>
      </c>
      <c r="AF405" t="s">
        <v>74</v>
      </c>
      <c r="AG405">
        <v>66</v>
      </c>
      <c r="AH405">
        <v>0</v>
      </c>
      <c r="AI405">
        <v>0</v>
      </c>
      <c r="AJ405">
        <v>5</v>
      </c>
      <c r="AK405">
        <v>5</v>
      </c>
      <c r="AL405" t="s">
        <v>87</v>
      </c>
      <c r="AM405" t="s">
        <v>88</v>
      </c>
      <c r="AN405" t="s">
        <v>89</v>
      </c>
      <c r="AO405" t="s">
        <v>4639</v>
      </c>
      <c r="AP405" t="s">
        <v>4640</v>
      </c>
      <c r="AQ405" t="s">
        <v>74</v>
      </c>
      <c r="AR405" t="s">
        <v>4641</v>
      </c>
      <c r="AS405" t="s">
        <v>4642</v>
      </c>
      <c r="AT405" t="s">
        <v>7841</v>
      </c>
      <c r="AU405">
        <v>2023</v>
      </c>
      <c r="AV405" t="s">
        <v>74</v>
      </c>
      <c r="AW405" t="s">
        <v>74</v>
      </c>
      <c r="AX405" t="s">
        <v>74</v>
      </c>
      <c r="AY405" t="s">
        <v>74</v>
      </c>
      <c r="AZ405" t="s">
        <v>74</v>
      </c>
      <c r="BA405" t="s">
        <v>74</v>
      </c>
      <c r="BB405" t="s">
        <v>74</v>
      </c>
      <c r="BC405" t="s">
        <v>74</v>
      </c>
      <c r="BD405">
        <v>202301764</v>
      </c>
      <c r="BE405" t="s">
        <v>7977</v>
      </c>
      <c r="BF405" t="str">
        <f>HYPERLINK("http://dx.doi.org/10.1002/adhm.202301764","http://dx.doi.org/10.1002/adhm.202301764")</f>
        <v>http://dx.doi.org/10.1002/adhm.202301764</v>
      </c>
      <c r="BG405" t="s">
        <v>74</v>
      </c>
      <c r="BH405" t="s">
        <v>74</v>
      </c>
      <c r="BI405">
        <v>13</v>
      </c>
      <c r="BJ405" t="s">
        <v>4644</v>
      </c>
      <c r="BK405" t="s">
        <v>119</v>
      </c>
      <c r="BL405" t="s">
        <v>4645</v>
      </c>
      <c r="BM405" t="s">
        <v>7978</v>
      </c>
      <c r="BN405">
        <v>37565371</v>
      </c>
      <c r="BO405" t="s">
        <v>122</v>
      </c>
      <c r="BP405" t="s">
        <v>74</v>
      </c>
      <c r="BQ405" t="s">
        <v>74</v>
      </c>
      <c r="BR405" t="s">
        <v>99</v>
      </c>
      <c r="BS405" t="s">
        <v>7979</v>
      </c>
      <c r="BT405" t="str">
        <f>HYPERLINK("https%3A%2F%2Fwww.webofscience.com%2Fwos%2Fwoscc%2Ffull-record%2FWOS:001058256300001","View Full Record in Web of Science")</f>
        <v>View Full Record in Web of Science</v>
      </c>
    </row>
    <row r="406" spans="1:72" x14ac:dyDescent="0.15">
      <c r="A406" t="s">
        <v>72</v>
      </c>
      <c r="B406" t="s">
        <v>7980</v>
      </c>
      <c r="C406" t="s">
        <v>74</v>
      </c>
      <c r="D406" t="s">
        <v>74</v>
      </c>
      <c r="E406" t="s">
        <v>74</v>
      </c>
      <c r="F406" t="s">
        <v>7981</v>
      </c>
      <c r="G406" t="s">
        <v>74</v>
      </c>
      <c r="H406" t="s">
        <v>74</v>
      </c>
      <c r="I406" t="s">
        <v>7982</v>
      </c>
      <c r="J406" t="s">
        <v>593</v>
      </c>
      <c r="K406" t="s">
        <v>74</v>
      </c>
      <c r="L406" t="s">
        <v>74</v>
      </c>
      <c r="M406" t="s">
        <v>78</v>
      </c>
      <c r="N406" t="s">
        <v>79</v>
      </c>
      <c r="O406" t="s">
        <v>74</v>
      </c>
      <c r="P406" t="s">
        <v>74</v>
      </c>
      <c r="Q406" t="s">
        <v>74</v>
      </c>
      <c r="R406" t="s">
        <v>74</v>
      </c>
      <c r="S406" t="s">
        <v>74</v>
      </c>
      <c r="T406" t="s">
        <v>7983</v>
      </c>
      <c r="U406" t="s">
        <v>74</v>
      </c>
      <c r="V406" t="s">
        <v>7984</v>
      </c>
      <c r="W406" t="s">
        <v>7985</v>
      </c>
      <c r="X406" t="s">
        <v>7986</v>
      </c>
      <c r="Y406" t="s">
        <v>7987</v>
      </c>
      <c r="Z406" t="s">
        <v>7988</v>
      </c>
      <c r="AA406" t="s">
        <v>74</v>
      </c>
      <c r="AB406" t="s">
        <v>74</v>
      </c>
      <c r="AC406" t="s">
        <v>7989</v>
      </c>
      <c r="AD406" t="s">
        <v>7990</v>
      </c>
      <c r="AE406" t="s">
        <v>7991</v>
      </c>
      <c r="AF406" t="s">
        <v>74</v>
      </c>
      <c r="AG406">
        <v>47</v>
      </c>
      <c r="AH406">
        <v>0</v>
      </c>
      <c r="AI406">
        <v>0</v>
      </c>
      <c r="AJ406">
        <v>10</v>
      </c>
      <c r="AK406">
        <v>10</v>
      </c>
      <c r="AL406" t="s">
        <v>426</v>
      </c>
      <c r="AM406" t="s">
        <v>427</v>
      </c>
      <c r="AN406" t="s">
        <v>428</v>
      </c>
      <c r="AO406" t="s">
        <v>605</v>
      </c>
      <c r="AP406" t="s">
        <v>606</v>
      </c>
      <c r="AQ406" t="s">
        <v>74</v>
      </c>
      <c r="AR406" t="s">
        <v>593</v>
      </c>
      <c r="AS406" t="s">
        <v>607</v>
      </c>
      <c r="AT406" t="s">
        <v>7841</v>
      </c>
      <c r="AU406">
        <v>2023</v>
      </c>
      <c r="AV406" t="s">
        <v>74</v>
      </c>
      <c r="AW406" t="s">
        <v>74</v>
      </c>
      <c r="AX406" t="s">
        <v>74</v>
      </c>
      <c r="AY406" t="s">
        <v>74</v>
      </c>
      <c r="AZ406" t="s">
        <v>74</v>
      </c>
      <c r="BA406" t="s">
        <v>74</v>
      </c>
      <c r="BB406" t="s">
        <v>74</v>
      </c>
      <c r="BC406" t="s">
        <v>74</v>
      </c>
      <c r="BD406">
        <v>2305004</v>
      </c>
      <c r="BE406" t="s">
        <v>7992</v>
      </c>
      <c r="BF406" t="str">
        <f>HYPERLINK("http://dx.doi.org/10.1002/smll.202305004","http://dx.doi.org/10.1002/smll.202305004")</f>
        <v>http://dx.doi.org/10.1002/smll.202305004</v>
      </c>
      <c r="BG406" t="s">
        <v>74</v>
      </c>
      <c r="BH406" t="s">
        <v>74</v>
      </c>
      <c r="BI406">
        <v>11</v>
      </c>
      <c r="BJ406" t="s">
        <v>609</v>
      </c>
      <c r="BK406" t="s">
        <v>119</v>
      </c>
      <c r="BL406" t="s">
        <v>610</v>
      </c>
      <c r="BM406" t="s">
        <v>7993</v>
      </c>
      <c r="BN406">
        <v>37649170</v>
      </c>
      <c r="BO406" t="s">
        <v>74</v>
      </c>
      <c r="BP406" t="s">
        <v>74</v>
      </c>
      <c r="BQ406" t="s">
        <v>74</v>
      </c>
      <c r="BR406" t="s">
        <v>99</v>
      </c>
      <c r="BS406" t="s">
        <v>7994</v>
      </c>
      <c r="BT406" t="str">
        <f>HYPERLINK("https%3A%2F%2Fwww.webofscience.com%2Fwos%2Fwoscc%2Ffull-record%2FWOS:001058311000001","View Full Record in Web of Science")</f>
        <v>View Full Record in Web of Science</v>
      </c>
    </row>
    <row r="407" spans="1:72" x14ac:dyDescent="0.15">
      <c r="A407" t="s">
        <v>72</v>
      </c>
      <c r="B407" t="s">
        <v>7995</v>
      </c>
      <c r="C407" t="s">
        <v>74</v>
      </c>
      <c r="D407" t="s">
        <v>74</v>
      </c>
      <c r="E407" t="s">
        <v>74</v>
      </c>
      <c r="F407" t="s">
        <v>7996</v>
      </c>
      <c r="G407" t="s">
        <v>74</v>
      </c>
      <c r="H407" t="s">
        <v>74</v>
      </c>
      <c r="I407" t="s">
        <v>7997</v>
      </c>
      <c r="J407" t="s">
        <v>2935</v>
      </c>
      <c r="K407" t="s">
        <v>74</v>
      </c>
      <c r="L407" t="s">
        <v>74</v>
      </c>
      <c r="M407" t="s">
        <v>78</v>
      </c>
      <c r="N407" t="s">
        <v>79</v>
      </c>
      <c r="O407" t="s">
        <v>74</v>
      </c>
      <c r="P407" t="s">
        <v>74</v>
      </c>
      <c r="Q407" t="s">
        <v>74</v>
      </c>
      <c r="R407" t="s">
        <v>74</v>
      </c>
      <c r="S407" t="s">
        <v>74</v>
      </c>
      <c r="T407" t="s">
        <v>74</v>
      </c>
      <c r="U407" t="s">
        <v>7998</v>
      </c>
      <c r="V407" t="s">
        <v>7999</v>
      </c>
      <c r="W407" t="s">
        <v>8000</v>
      </c>
      <c r="X407" t="s">
        <v>8001</v>
      </c>
      <c r="Y407" t="s">
        <v>8002</v>
      </c>
      <c r="Z407" t="s">
        <v>8003</v>
      </c>
      <c r="AA407" t="s">
        <v>8004</v>
      </c>
      <c r="AB407" t="s">
        <v>8005</v>
      </c>
      <c r="AC407" t="s">
        <v>8006</v>
      </c>
      <c r="AD407" t="s">
        <v>8007</v>
      </c>
      <c r="AE407" t="s">
        <v>8008</v>
      </c>
      <c r="AF407" t="s">
        <v>74</v>
      </c>
      <c r="AG407">
        <v>65</v>
      </c>
      <c r="AH407">
        <v>0</v>
      </c>
      <c r="AI407">
        <v>0</v>
      </c>
      <c r="AJ407">
        <v>2</v>
      </c>
      <c r="AK407">
        <v>2</v>
      </c>
      <c r="AL407" t="s">
        <v>87</v>
      </c>
      <c r="AM407" t="s">
        <v>88</v>
      </c>
      <c r="AN407" t="s">
        <v>89</v>
      </c>
      <c r="AO407" t="s">
        <v>2944</v>
      </c>
      <c r="AP407" t="s">
        <v>2945</v>
      </c>
      <c r="AQ407" t="s">
        <v>74</v>
      </c>
      <c r="AR407" t="s">
        <v>2946</v>
      </c>
      <c r="AS407" t="s">
        <v>2947</v>
      </c>
      <c r="AT407" t="s">
        <v>7841</v>
      </c>
      <c r="AU407">
        <v>2023</v>
      </c>
      <c r="AV407">
        <v>37</v>
      </c>
      <c r="AW407">
        <v>16</v>
      </c>
      <c r="AX407" t="s">
        <v>74</v>
      </c>
      <c r="AY407" t="s">
        <v>74</v>
      </c>
      <c r="AZ407" t="s">
        <v>74</v>
      </c>
      <c r="BA407" t="s">
        <v>74</v>
      </c>
      <c r="BB407" t="s">
        <v>74</v>
      </c>
      <c r="BC407" t="s">
        <v>74</v>
      </c>
      <c r="BD407" t="s">
        <v>8009</v>
      </c>
      <c r="BE407" t="s">
        <v>8010</v>
      </c>
      <c r="BF407" t="str">
        <f>HYPERLINK("http://dx.doi.org/10.1002/rcm.9540","http://dx.doi.org/10.1002/rcm.9540")</f>
        <v>http://dx.doi.org/10.1002/rcm.9540</v>
      </c>
      <c r="BG407" t="s">
        <v>74</v>
      </c>
      <c r="BH407" t="s">
        <v>74</v>
      </c>
      <c r="BI407">
        <v>12</v>
      </c>
      <c r="BJ407" t="s">
        <v>2951</v>
      </c>
      <c r="BK407" t="s">
        <v>119</v>
      </c>
      <c r="BL407" t="s">
        <v>2952</v>
      </c>
      <c r="BM407" t="s">
        <v>8011</v>
      </c>
      <c r="BN407">
        <v>37194121</v>
      </c>
      <c r="BO407" t="s">
        <v>122</v>
      </c>
      <c r="BP407" t="s">
        <v>74</v>
      </c>
      <c r="BQ407" t="s">
        <v>74</v>
      </c>
      <c r="BR407" t="s">
        <v>99</v>
      </c>
      <c r="BS407" t="s">
        <v>8012</v>
      </c>
      <c r="BT407" t="str">
        <f>HYPERLINK("https%3A%2F%2Fwww.webofscience.com%2Fwos%2Fwoscc%2Ffull-record%2FWOS:001017992200001","View Full Record in Web of Science")</f>
        <v>View Full Record in Web of Science</v>
      </c>
    </row>
    <row r="408" spans="1:72" x14ac:dyDescent="0.15">
      <c r="A408" t="s">
        <v>72</v>
      </c>
      <c r="B408" t="s">
        <v>8013</v>
      </c>
      <c r="C408" t="s">
        <v>74</v>
      </c>
      <c r="D408" t="s">
        <v>74</v>
      </c>
      <c r="E408" t="s">
        <v>74</v>
      </c>
      <c r="F408" t="s">
        <v>8014</v>
      </c>
      <c r="G408" t="s">
        <v>74</v>
      </c>
      <c r="H408" t="s">
        <v>74</v>
      </c>
      <c r="I408" t="s">
        <v>8015</v>
      </c>
      <c r="J408" t="s">
        <v>8016</v>
      </c>
      <c r="K408" t="s">
        <v>74</v>
      </c>
      <c r="L408" t="s">
        <v>74</v>
      </c>
      <c r="M408" t="s">
        <v>78</v>
      </c>
      <c r="N408" t="s">
        <v>338</v>
      </c>
      <c r="O408" t="s">
        <v>74</v>
      </c>
      <c r="P408" t="s">
        <v>74</v>
      </c>
      <c r="Q408" t="s">
        <v>74</v>
      </c>
      <c r="R408" t="s">
        <v>74</v>
      </c>
      <c r="S408" t="s">
        <v>74</v>
      </c>
      <c r="T408" t="s">
        <v>8017</v>
      </c>
      <c r="U408" t="s">
        <v>8018</v>
      </c>
      <c r="V408" t="s">
        <v>8019</v>
      </c>
      <c r="W408" t="s">
        <v>8020</v>
      </c>
      <c r="X408" t="s">
        <v>8021</v>
      </c>
      <c r="Y408" t="s">
        <v>8022</v>
      </c>
      <c r="Z408" t="s">
        <v>8023</v>
      </c>
      <c r="AA408" t="s">
        <v>8024</v>
      </c>
      <c r="AB408" t="s">
        <v>8025</v>
      </c>
      <c r="AC408" t="s">
        <v>8026</v>
      </c>
      <c r="AD408" t="s">
        <v>8026</v>
      </c>
      <c r="AE408" t="s">
        <v>8026</v>
      </c>
      <c r="AF408" t="s">
        <v>74</v>
      </c>
      <c r="AG408">
        <v>75</v>
      </c>
      <c r="AH408">
        <v>0</v>
      </c>
      <c r="AI408">
        <v>0</v>
      </c>
      <c r="AJ408">
        <v>0</v>
      </c>
      <c r="AK408">
        <v>0</v>
      </c>
      <c r="AL408" t="s">
        <v>87</v>
      </c>
      <c r="AM408" t="s">
        <v>88</v>
      </c>
      <c r="AN408" t="s">
        <v>89</v>
      </c>
      <c r="AO408" t="s">
        <v>8027</v>
      </c>
      <c r="AP408" t="s">
        <v>8028</v>
      </c>
      <c r="AQ408" t="s">
        <v>74</v>
      </c>
      <c r="AR408" t="s">
        <v>8029</v>
      </c>
      <c r="AS408" t="s">
        <v>8030</v>
      </c>
      <c r="AT408" t="s">
        <v>7862</v>
      </c>
      <c r="AU408">
        <v>2023</v>
      </c>
      <c r="AV408" t="s">
        <v>74</v>
      </c>
      <c r="AW408" t="s">
        <v>74</v>
      </c>
      <c r="AX408" t="s">
        <v>74</v>
      </c>
      <c r="AY408" t="s">
        <v>74</v>
      </c>
      <c r="AZ408" t="s">
        <v>74</v>
      </c>
      <c r="BA408" t="s">
        <v>74</v>
      </c>
      <c r="BB408" t="s">
        <v>74</v>
      </c>
      <c r="BC408" t="s">
        <v>74</v>
      </c>
      <c r="BD408" t="s">
        <v>74</v>
      </c>
      <c r="BE408" t="s">
        <v>8031</v>
      </c>
      <c r="BF408" t="str">
        <f>HYPERLINK("http://dx.doi.org/10.1111/pops.12927","http://dx.doi.org/10.1111/pops.12927")</f>
        <v>http://dx.doi.org/10.1111/pops.12927</v>
      </c>
      <c r="BG408" t="s">
        <v>74</v>
      </c>
      <c r="BH408" t="s">
        <v>7524</v>
      </c>
      <c r="BI408">
        <v>20</v>
      </c>
      <c r="BJ408" t="s">
        <v>8032</v>
      </c>
      <c r="BK408" t="s">
        <v>546</v>
      </c>
      <c r="BL408" t="s">
        <v>8033</v>
      </c>
      <c r="BM408" t="s">
        <v>8034</v>
      </c>
      <c r="BN408" t="s">
        <v>74</v>
      </c>
      <c r="BO408" t="s">
        <v>74</v>
      </c>
      <c r="BP408" t="s">
        <v>74</v>
      </c>
      <c r="BQ408" t="s">
        <v>74</v>
      </c>
      <c r="BR408" t="s">
        <v>99</v>
      </c>
      <c r="BS408" t="s">
        <v>8035</v>
      </c>
      <c r="BT408" t="str">
        <f>HYPERLINK("https%3A%2F%2Fwww.webofscience.com%2Fwos%2Fwoscc%2Ffull-record%2FWOS:001063930600001","View Full Record in Web of Science")</f>
        <v>View Full Record in Web of Science</v>
      </c>
    </row>
    <row r="409" spans="1:72" x14ac:dyDescent="0.15">
      <c r="A409" t="s">
        <v>72</v>
      </c>
      <c r="B409" t="s">
        <v>8036</v>
      </c>
      <c r="C409" t="s">
        <v>74</v>
      </c>
      <c r="D409" t="s">
        <v>74</v>
      </c>
      <c r="E409" t="s">
        <v>74</v>
      </c>
      <c r="F409" t="s">
        <v>8037</v>
      </c>
      <c r="G409" t="s">
        <v>74</v>
      </c>
      <c r="H409" t="s">
        <v>74</v>
      </c>
      <c r="I409" t="s">
        <v>8038</v>
      </c>
      <c r="J409" t="s">
        <v>8039</v>
      </c>
      <c r="K409" t="s">
        <v>74</v>
      </c>
      <c r="L409" t="s">
        <v>74</v>
      </c>
      <c r="M409" t="s">
        <v>78</v>
      </c>
      <c r="N409" t="s">
        <v>338</v>
      </c>
      <c r="O409" t="s">
        <v>74</v>
      </c>
      <c r="P409" t="s">
        <v>74</v>
      </c>
      <c r="Q409" t="s">
        <v>74</v>
      </c>
      <c r="R409" t="s">
        <v>74</v>
      </c>
      <c r="S409" t="s">
        <v>74</v>
      </c>
      <c r="T409" t="s">
        <v>8040</v>
      </c>
      <c r="U409" t="s">
        <v>8041</v>
      </c>
      <c r="V409" t="s">
        <v>8042</v>
      </c>
      <c r="W409" t="s">
        <v>8043</v>
      </c>
      <c r="X409" t="s">
        <v>8044</v>
      </c>
      <c r="Y409" t="s">
        <v>8045</v>
      </c>
      <c r="Z409" t="s">
        <v>8046</v>
      </c>
      <c r="AA409" t="s">
        <v>74</v>
      </c>
      <c r="AB409" t="s">
        <v>74</v>
      </c>
      <c r="AC409" t="s">
        <v>8047</v>
      </c>
      <c r="AD409" t="s">
        <v>8048</v>
      </c>
      <c r="AE409" t="s">
        <v>8049</v>
      </c>
      <c r="AF409" t="s">
        <v>74</v>
      </c>
      <c r="AG409">
        <v>47</v>
      </c>
      <c r="AH409">
        <v>0</v>
      </c>
      <c r="AI409">
        <v>0</v>
      </c>
      <c r="AJ409">
        <v>0</v>
      </c>
      <c r="AK409">
        <v>0</v>
      </c>
      <c r="AL409" t="s">
        <v>87</v>
      </c>
      <c r="AM409" t="s">
        <v>88</v>
      </c>
      <c r="AN409" t="s">
        <v>89</v>
      </c>
      <c r="AO409" t="s">
        <v>8050</v>
      </c>
      <c r="AP409" t="s">
        <v>8051</v>
      </c>
      <c r="AQ409" t="s">
        <v>74</v>
      </c>
      <c r="AR409" t="s">
        <v>8052</v>
      </c>
      <c r="AS409" t="s">
        <v>8053</v>
      </c>
      <c r="AT409" t="s">
        <v>7862</v>
      </c>
      <c r="AU409">
        <v>2023</v>
      </c>
      <c r="AV409" t="s">
        <v>74</v>
      </c>
      <c r="AW409" t="s">
        <v>74</v>
      </c>
      <c r="AX409" t="s">
        <v>74</v>
      </c>
      <c r="AY409" t="s">
        <v>74</v>
      </c>
      <c r="AZ409" t="s">
        <v>74</v>
      </c>
      <c r="BA409" t="s">
        <v>74</v>
      </c>
      <c r="BB409" t="s">
        <v>74</v>
      </c>
      <c r="BC409" t="s">
        <v>74</v>
      </c>
      <c r="BD409" t="s">
        <v>74</v>
      </c>
      <c r="BE409" t="s">
        <v>8054</v>
      </c>
      <c r="BF409" t="str">
        <f>HYPERLINK("http://dx.doi.org/10.1111/1911-3846.12865","http://dx.doi.org/10.1111/1911-3846.12865")</f>
        <v>http://dx.doi.org/10.1111/1911-3846.12865</v>
      </c>
      <c r="BG409" t="s">
        <v>74</v>
      </c>
      <c r="BH409" t="s">
        <v>7524</v>
      </c>
      <c r="BI409">
        <v>33</v>
      </c>
      <c r="BJ409" t="s">
        <v>545</v>
      </c>
      <c r="BK409" t="s">
        <v>546</v>
      </c>
      <c r="BL409" t="s">
        <v>547</v>
      </c>
      <c r="BM409" t="s">
        <v>8055</v>
      </c>
      <c r="BN409" t="s">
        <v>74</v>
      </c>
      <c r="BO409" t="s">
        <v>122</v>
      </c>
      <c r="BP409" t="s">
        <v>74</v>
      </c>
      <c r="BQ409" t="s">
        <v>74</v>
      </c>
      <c r="BR409" t="s">
        <v>99</v>
      </c>
      <c r="BS409" t="s">
        <v>8056</v>
      </c>
      <c r="BT409" t="str">
        <f>HYPERLINK("https%3A%2F%2Fwww.webofscience.com%2Fwos%2Fwoscc%2Ffull-record%2FWOS:001069659000001","View Full Record in Web of Science")</f>
        <v>View Full Record in Web of Science</v>
      </c>
    </row>
    <row r="410" spans="1:72" x14ac:dyDescent="0.15">
      <c r="A410" t="s">
        <v>72</v>
      </c>
      <c r="B410" t="s">
        <v>8057</v>
      </c>
      <c r="C410" t="s">
        <v>74</v>
      </c>
      <c r="D410" t="s">
        <v>74</v>
      </c>
      <c r="E410" t="s">
        <v>74</v>
      </c>
      <c r="F410" t="s">
        <v>8058</v>
      </c>
      <c r="G410" t="s">
        <v>74</v>
      </c>
      <c r="H410" t="s">
        <v>74</v>
      </c>
      <c r="I410" t="s">
        <v>8059</v>
      </c>
      <c r="J410" t="s">
        <v>875</v>
      </c>
      <c r="K410" t="s">
        <v>74</v>
      </c>
      <c r="L410" t="s">
        <v>74</v>
      </c>
      <c r="M410" t="s">
        <v>78</v>
      </c>
      <c r="N410" t="s">
        <v>79</v>
      </c>
      <c r="O410" t="s">
        <v>74</v>
      </c>
      <c r="P410" t="s">
        <v>74</v>
      </c>
      <c r="Q410" t="s">
        <v>74</v>
      </c>
      <c r="R410" t="s">
        <v>74</v>
      </c>
      <c r="S410" t="s">
        <v>74</v>
      </c>
      <c r="T410" t="s">
        <v>8060</v>
      </c>
      <c r="U410" t="s">
        <v>8061</v>
      </c>
      <c r="V410" t="s">
        <v>8062</v>
      </c>
      <c r="W410" t="s">
        <v>8063</v>
      </c>
      <c r="X410" t="s">
        <v>8064</v>
      </c>
      <c r="Y410" t="s">
        <v>8065</v>
      </c>
      <c r="Z410" t="s">
        <v>8066</v>
      </c>
      <c r="AA410" t="s">
        <v>8067</v>
      </c>
      <c r="AB410" t="s">
        <v>8068</v>
      </c>
      <c r="AC410" t="s">
        <v>8069</v>
      </c>
      <c r="AD410" t="s">
        <v>8070</v>
      </c>
      <c r="AE410" t="s">
        <v>8071</v>
      </c>
      <c r="AF410" t="s">
        <v>74</v>
      </c>
      <c r="AG410">
        <v>62</v>
      </c>
      <c r="AH410">
        <v>1</v>
      </c>
      <c r="AI410">
        <v>1</v>
      </c>
      <c r="AJ410">
        <v>2</v>
      </c>
      <c r="AK410">
        <v>2</v>
      </c>
      <c r="AL410" t="s">
        <v>426</v>
      </c>
      <c r="AM410" t="s">
        <v>427</v>
      </c>
      <c r="AN410" t="s">
        <v>428</v>
      </c>
      <c r="AO410" t="s">
        <v>886</v>
      </c>
      <c r="AP410" t="s">
        <v>887</v>
      </c>
      <c r="AQ410" t="s">
        <v>74</v>
      </c>
      <c r="AR410" t="s">
        <v>888</v>
      </c>
      <c r="AS410" t="s">
        <v>889</v>
      </c>
      <c r="AT410" t="s">
        <v>7841</v>
      </c>
      <c r="AU410">
        <v>2023</v>
      </c>
      <c r="AV410" t="s">
        <v>74</v>
      </c>
      <c r="AW410" t="s">
        <v>74</v>
      </c>
      <c r="AX410" t="s">
        <v>74</v>
      </c>
      <c r="AY410" t="s">
        <v>74</v>
      </c>
      <c r="AZ410" t="s">
        <v>74</v>
      </c>
      <c r="BA410" t="s">
        <v>74</v>
      </c>
      <c r="BB410" t="s">
        <v>74</v>
      </c>
      <c r="BC410" t="s">
        <v>74</v>
      </c>
      <c r="BD410">
        <v>2306535</v>
      </c>
      <c r="BE410" t="s">
        <v>8072</v>
      </c>
      <c r="BF410" t="str">
        <f>HYPERLINK("http://dx.doi.org/10.1002/adfm.202306535","http://dx.doi.org/10.1002/adfm.202306535")</f>
        <v>http://dx.doi.org/10.1002/adfm.202306535</v>
      </c>
      <c r="BG410" t="s">
        <v>74</v>
      </c>
      <c r="BH410" t="s">
        <v>74</v>
      </c>
      <c r="BI410">
        <v>11</v>
      </c>
      <c r="BJ410" t="s">
        <v>609</v>
      </c>
      <c r="BK410" t="s">
        <v>119</v>
      </c>
      <c r="BL410" t="s">
        <v>610</v>
      </c>
      <c r="BM410" t="s">
        <v>8073</v>
      </c>
      <c r="BN410" t="s">
        <v>74</v>
      </c>
      <c r="BO410" t="s">
        <v>122</v>
      </c>
      <c r="BP410" t="s">
        <v>74</v>
      </c>
      <c r="BQ410" t="s">
        <v>74</v>
      </c>
      <c r="BR410" t="s">
        <v>99</v>
      </c>
      <c r="BS410" t="s">
        <v>8074</v>
      </c>
      <c r="BT410" t="str">
        <f>HYPERLINK("https%3A%2F%2Fwww.webofscience.com%2Fwos%2Fwoscc%2Ffull-record%2FWOS:001058263800001","View Full Record in Web of Science")</f>
        <v>View Full Record in Web of Science</v>
      </c>
    </row>
    <row r="411" spans="1:72" x14ac:dyDescent="0.15">
      <c r="A411" t="s">
        <v>72</v>
      </c>
      <c r="B411" t="s">
        <v>8075</v>
      </c>
      <c r="C411" t="s">
        <v>74</v>
      </c>
      <c r="D411" t="s">
        <v>74</v>
      </c>
      <c r="E411" t="s">
        <v>74</v>
      </c>
      <c r="F411" t="s">
        <v>8076</v>
      </c>
      <c r="G411" t="s">
        <v>74</v>
      </c>
      <c r="H411" t="s">
        <v>74</v>
      </c>
      <c r="I411" t="s">
        <v>8077</v>
      </c>
      <c r="J411" t="s">
        <v>2663</v>
      </c>
      <c r="K411" t="s">
        <v>74</v>
      </c>
      <c r="L411" t="s">
        <v>74</v>
      </c>
      <c r="M411" t="s">
        <v>78</v>
      </c>
      <c r="N411" t="s">
        <v>1297</v>
      </c>
      <c r="O411" t="s">
        <v>74</v>
      </c>
      <c r="P411" t="s">
        <v>74</v>
      </c>
      <c r="Q411" t="s">
        <v>74</v>
      </c>
      <c r="R411" t="s">
        <v>74</v>
      </c>
      <c r="S411" t="s">
        <v>74</v>
      </c>
      <c r="T411" t="s">
        <v>74</v>
      </c>
      <c r="U411" t="s">
        <v>74</v>
      </c>
      <c r="V411" t="s">
        <v>74</v>
      </c>
      <c r="W411" t="s">
        <v>8078</v>
      </c>
      <c r="X411" t="s">
        <v>8079</v>
      </c>
      <c r="Y411" t="s">
        <v>8080</v>
      </c>
      <c r="Z411" t="s">
        <v>8081</v>
      </c>
      <c r="AA411" t="s">
        <v>74</v>
      </c>
      <c r="AB411" t="s">
        <v>74</v>
      </c>
      <c r="AC411" t="s">
        <v>74</v>
      </c>
      <c r="AD411" t="s">
        <v>74</v>
      </c>
      <c r="AE411" t="s">
        <v>74</v>
      </c>
      <c r="AF411" t="s">
        <v>74</v>
      </c>
      <c r="AG411">
        <v>8</v>
      </c>
      <c r="AH411">
        <v>0</v>
      </c>
      <c r="AI411">
        <v>0</v>
      </c>
      <c r="AJ411">
        <v>0</v>
      </c>
      <c r="AK411">
        <v>0</v>
      </c>
      <c r="AL411" t="s">
        <v>87</v>
      </c>
      <c r="AM411" t="s">
        <v>88</v>
      </c>
      <c r="AN411" t="s">
        <v>89</v>
      </c>
      <c r="AO411" t="s">
        <v>2668</v>
      </c>
      <c r="AP411" t="s">
        <v>2669</v>
      </c>
      <c r="AQ411" t="s">
        <v>74</v>
      </c>
      <c r="AR411" t="s">
        <v>2670</v>
      </c>
      <c r="AS411" t="s">
        <v>2671</v>
      </c>
      <c r="AT411" t="s">
        <v>7862</v>
      </c>
      <c r="AU411">
        <v>2023</v>
      </c>
      <c r="AV411" t="s">
        <v>74</v>
      </c>
      <c r="AW411" t="s">
        <v>74</v>
      </c>
      <c r="AX411" t="s">
        <v>74</v>
      </c>
      <c r="AY411" t="s">
        <v>74</v>
      </c>
      <c r="AZ411" t="s">
        <v>74</v>
      </c>
      <c r="BA411" t="s">
        <v>74</v>
      </c>
      <c r="BB411" t="s">
        <v>74</v>
      </c>
      <c r="BC411" t="s">
        <v>74</v>
      </c>
      <c r="BD411" t="s">
        <v>74</v>
      </c>
      <c r="BE411" t="s">
        <v>8082</v>
      </c>
      <c r="BF411" t="str">
        <f>HYPERLINK("http://dx.doi.org/10.1111/medu.15197","http://dx.doi.org/10.1111/medu.15197")</f>
        <v>http://dx.doi.org/10.1111/medu.15197</v>
      </c>
      <c r="BG411" t="s">
        <v>74</v>
      </c>
      <c r="BH411" t="s">
        <v>7524</v>
      </c>
      <c r="BI411">
        <v>3</v>
      </c>
      <c r="BJ411" t="s">
        <v>2673</v>
      </c>
      <c r="BK411" t="s">
        <v>119</v>
      </c>
      <c r="BL411" t="s">
        <v>2674</v>
      </c>
      <c r="BM411" t="s">
        <v>8083</v>
      </c>
      <c r="BN411">
        <v>37646487</v>
      </c>
      <c r="BO411" t="s">
        <v>122</v>
      </c>
      <c r="BP411" t="s">
        <v>74</v>
      </c>
      <c r="BQ411" t="s">
        <v>74</v>
      </c>
      <c r="BR411" t="s">
        <v>99</v>
      </c>
      <c r="BS411" t="s">
        <v>8084</v>
      </c>
      <c r="BT411" t="str">
        <f>HYPERLINK("https%3A%2F%2Fwww.webofscience.com%2Fwos%2Fwoscc%2Ffull-record%2FWOS:001064810800001","View Full Record in Web of Science")</f>
        <v>View Full Record in Web of Science</v>
      </c>
    </row>
    <row r="412" spans="1:72" x14ac:dyDescent="0.15">
      <c r="A412" t="s">
        <v>72</v>
      </c>
      <c r="B412" t="s">
        <v>8085</v>
      </c>
      <c r="C412" t="s">
        <v>74</v>
      </c>
      <c r="D412" t="s">
        <v>74</v>
      </c>
      <c r="E412" t="s">
        <v>74</v>
      </c>
      <c r="F412" t="s">
        <v>8086</v>
      </c>
      <c r="G412" t="s">
        <v>74</v>
      </c>
      <c r="H412" t="s">
        <v>74</v>
      </c>
      <c r="I412" t="s">
        <v>8087</v>
      </c>
      <c r="J412" t="s">
        <v>8088</v>
      </c>
      <c r="K412" t="s">
        <v>74</v>
      </c>
      <c r="L412" t="s">
        <v>74</v>
      </c>
      <c r="M412" t="s">
        <v>78</v>
      </c>
      <c r="N412" t="s">
        <v>594</v>
      </c>
      <c r="O412" t="s">
        <v>74</v>
      </c>
      <c r="P412" t="s">
        <v>74</v>
      </c>
      <c r="Q412" t="s">
        <v>74</v>
      </c>
      <c r="R412" t="s">
        <v>74</v>
      </c>
      <c r="S412" t="s">
        <v>74</v>
      </c>
      <c r="T412" t="s">
        <v>8089</v>
      </c>
      <c r="U412" t="s">
        <v>8090</v>
      </c>
      <c r="V412" t="s">
        <v>8091</v>
      </c>
      <c r="W412" t="s">
        <v>8092</v>
      </c>
      <c r="X412" t="s">
        <v>8093</v>
      </c>
      <c r="Y412" t="s">
        <v>8094</v>
      </c>
      <c r="Z412" t="s">
        <v>8095</v>
      </c>
      <c r="AA412" t="s">
        <v>74</v>
      </c>
      <c r="AB412" t="s">
        <v>8096</v>
      </c>
      <c r="AC412" t="s">
        <v>74</v>
      </c>
      <c r="AD412" t="s">
        <v>74</v>
      </c>
      <c r="AE412" t="s">
        <v>74</v>
      </c>
      <c r="AF412" t="s">
        <v>74</v>
      </c>
      <c r="AG412">
        <v>45</v>
      </c>
      <c r="AH412">
        <v>0</v>
      </c>
      <c r="AI412">
        <v>0</v>
      </c>
      <c r="AJ412">
        <v>0</v>
      </c>
      <c r="AK412">
        <v>0</v>
      </c>
      <c r="AL412" t="s">
        <v>87</v>
      </c>
      <c r="AM412" t="s">
        <v>88</v>
      </c>
      <c r="AN412" t="s">
        <v>89</v>
      </c>
      <c r="AO412" t="s">
        <v>8097</v>
      </c>
      <c r="AP412" t="s">
        <v>8098</v>
      </c>
      <c r="AQ412" t="s">
        <v>74</v>
      </c>
      <c r="AR412" t="s">
        <v>8099</v>
      </c>
      <c r="AS412" t="s">
        <v>8100</v>
      </c>
      <c r="AT412" t="s">
        <v>7862</v>
      </c>
      <c r="AU412">
        <v>2023</v>
      </c>
      <c r="AV412" t="s">
        <v>74</v>
      </c>
      <c r="AW412" t="s">
        <v>74</v>
      </c>
      <c r="AX412" t="s">
        <v>74</v>
      </c>
      <c r="AY412" t="s">
        <v>74</v>
      </c>
      <c r="AZ412" t="s">
        <v>74</v>
      </c>
      <c r="BA412" t="s">
        <v>74</v>
      </c>
      <c r="BB412" t="s">
        <v>74</v>
      </c>
      <c r="BC412" t="s">
        <v>74</v>
      </c>
      <c r="BD412" t="s">
        <v>74</v>
      </c>
      <c r="BE412" t="s">
        <v>8101</v>
      </c>
      <c r="BF412" t="str">
        <f>HYPERLINK("http://dx.doi.org/10.1002/ca.24112","http://dx.doi.org/10.1002/ca.24112")</f>
        <v>http://dx.doi.org/10.1002/ca.24112</v>
      </c>
      <c r="BG412" t="s">
        <v>74</v>
      </c>
      <c r="BH412" t="s">
        <v>7524</v>
      </c>
      <c r="BI412">
        <v>10</v>
      </c>
      <c r="BJ412" t="s">
        <v>281</v>
      </c>
      <c r="BK412" t="s">
        <v>119</v>
      </c>
      <c r="BL412" t="s">
        <v>281</v>
      </c>
      <c r="BM412" t="s">
        <v>8102</v>
      </c>
      <c r="BN412">
        <v>37646090</v>
      </c>
      <c r="BO412" t="s">
        <v>74</v>
      </c>
      <c r="BP412" t="s">
        <v>74</v>
      </c>
      <c r="BQ412" t="s">
        <v>74</v>
      </c>
      <c r="BR412" t="s">
        <v>99</v>
      </c>
      <c r="BS412" t="s">
        <v>8103</v>
      </c>
      <c r="BT412" t="str">
        <f>HYPERLINK("https%3A%2F%2Fwww.webofscience.com%2Fwos%2Fwoscc%2Ffull-record%2FWOS:001063922000001","View Full Record in Web of Science")</f>
        <v>View Full Record in Web of Science</v>
      </c>
    </row>
    <row r="413" spans="1:72" x14ac:dyDescent="0.15">
      <c r="A413" t="s">
        <v>72</v>
      </c>
      <c r="B413" t="s">
        <v>8104</v>
      </c>
      <c r="C413" t="s">
        <v>74</v>
      </c>
      <c r="D413" t="s">
        <v>74</v>
      </c>
      <c r="E413" t="s">
        <v>74</v>
      </c>
      <c r="F413" t="s">
        <v>8105</v>
      </c>
      <c r="G413" t="s">
        <v>74</v>
      </c>
      <c r="H413" t="s">
        <v>74</v>
      </c>
      <c r="I413" t="s">
        <v>8106</v>
      </c>
      <c r="J413" t="s">
        <v>3113</v>
      </c>
      <c r="K413" t="s">
        <v>74</v>
      </c>
      <c r="L413" t="s">
        <v>74</v>
      </c>
      <c r="M413" t="s">
        <v>78</v>
      </c>
      <c r="N413" t="s">
        <v>79</v>
      </c>
      <c r="O413" t="s">
        <v>74</v>
      </c>
      <c r="P413" t="s">
        <v>74</v>
      </c>
      <c r="Q413" t="s">
        <v>74</v>
      </c>
      <c r="R413" t="s">
        <v>74</v>
      </c>
      <c r="S413" t="s">
        <v>74</v>
      </c>
      <c r="T413" t="s">
        <v>8107</v>
      </c>
      <c r="U413" t="s">
        <v>8108</v>
      </c>
      <c r="V413" t="s">
        <v>8109</v>
      </c>
      <c r="W413" t="s">
        <v>8110</v>
      </c>
      <c r="X413" t="s">
        <v>8111</v>
      </c>
      <c r="Y413" t="s">
        <v>8112</v>
      </c>
      <c r="Z413" t="s">
        <v>8113</v>
      </c>
      <c r="AA413" t="s">
        <v>74</v>
      </c>
      <c r="AB413" t="s">
        <v>8114</v>
      </c>
      <c r="AC413" t="s">
        <v>8115</v>
      </c>
      <c r="AD413" t="s">
        <v>8116</v>
      </c>
      <c r="AE413" t="s">
        <v>8117</v>
      </c>
      <c r="AF413" t="s">
        <v>74</v>
      </c>
      <c r="AG413">
        <v>57</v>
      </c>
      <c r="AH413">
        <v>0</v>
      </c>
      <c r="AI413">
        <v>0</v>
      </c>
      <c r="AJ413">
        <v>3</v>
      </c>
      <c r="AK413">
        <v>3</v>
      </c>
      <c r="AL413" t="s">
        <v>87</v>
      </c>
      <c r="AM413" t="s">
        <v>88</v>
      </c>
      <c r="AN413" t="s">
        <v>89</v>
      </c>
      <c r="AO413" t="s">
        <v>3123</v>
      </c>
      <c r="AP413" t="s">
        <v>74</v>
      </c>
      <c r="AQ413" t="s">
        <v>74</v>
      </c>
      <c r="AR413" t="s">
        <v>3124</v>
      </c>
      <c r="AS413" t="s">
        <v>3125</v>
      </c>
      <c r="AT413" t="s">
        <v>7841</v>
      </c>
      <c r="AU413">
        <v>2023</v>
      </c>
      <c r="AV413" t="s">
        <v>74</v>
      </c>
      <c r="AW413" t="s">
        <v>74</v>
      </c>
      <c r="AX413" t="s">
        <v>74</v>
      </c>
      <c r="AY413" t="s">
        <v>74</v>
      </c>
      <c r="AZ413" t="s">
        <v>74</v>
      </c>
      <c r="BA413" t="s">
        <v>74</v>
      </c>
      <c r="BB413" t="s">
        <v>74</v>
      </c>
      <c r="BC413" t="s">
        <v>74</v>
      </c>
      <c r="BD413">
        <v>202300250</v>
      </c>
      <c r="BE413" t="s">
        <v>8118</v>
      </c>
      <c r="BF413" t="str">
        <f>HYPERLINK("http://dx.doi.org/10.1002/admi.202300250","http://dx.doi.org/10.1002/admi.202300250")</f>
        <v>http://dx.doi.org/10.1002/admi.202300250</v>
      </c>
      <c r="BG413" t="s">
        <v>74</v>
      </c>
      <c r="BH413" t="s">
        <v>74</v>
      </c>
      <c r="BI413">
        <v>6</v>
      </c>
      <c r="BJ413" t="s">
        <v>3127</v>
      </c>
      <c r="BK413" t="s">
        <v>119</v>
      </c>
      <c r="BL413" t="s">
        <v>3128</v>
      </c>
      <c r="BM413" t="s">
        <v>8119</v>
      </c>
      <c r="BN413" t="s">
        <v>74</v>
      </c>
      <c r="BO413" t="s">
        <v>234</v>
      </c>
      <c r="BP413" t="s">
        <v>74</v>
      </c>
      <c r="BQ413" t="s">
        <v>74</v>
      </c>
      <c r="BR413" t="s">
        <v>99</v>
      </c>
      <c r="BS413" t="s">
        <v>8120</v>
      </c>
      <c r="BT413" t="str">
        <f>HYPERLINK("https%3A%2F%2Fwww.webofscience.com%2Fwos%2Fwoscc%2Ffull-record%2FWOS:001058262500001","View Full Record in Web of Science")</f>
        <v>View Full Record in Web of Science</v>
      </c>
    </row>
    <row r="414" spans="1:72" x14ac:dyDescent="0.15">
      <c r="A414" t="s">
        <v>72</v>
      </c>
      <c r="B414" t="s">
        <v>8121</v>
      </c>
      <c r="C414" t="s">
        <v>74</v>
      </c>
      <c r="D414" t="s">
        <v>74</v>
      </c>
      <c r="E414" t="s">
        <v>74</v>
      </c>
      <c r="F414" t="s">
        <v>8122</v>
      </c>
      <c r="G414" t="s">
        <v>74</v>
      </c>
      <c r="H414" t="s">
        <v>74</v>
      </c>
      <c r="I414" t="s">
        <v>8123</v>
      </c>
      <c r="J414" t="s">
        <v>8124</v>
      </c>
      <c r="K414" t="s">
        <v>74</v>
      </c>
      <c r="L414" t="s">
        <v>74</v>
      </c>
      <c r="M414" t="s">
        <v>78</v>
      </c>
      <c r="N414" t="s">
        <v>338</v>
      </c>
      <c r="O414" t="s">
        <v>74</v>
      </c>
      <c r="P414" t="s">
        <v>74</v>
      </c>
      <c r="Q414" t="s">
        <v>74</v>
      </c>
      <c r="R414" t="s">
        <v>74</v>
      </c>
      <c r="S414" t="s">
        <v>74</v>
      </c>
      <c r="T414" t="s">
        <v>74</v>
      </c>
      <c r="U414" t="s">
        <v>8125</v>
      </c>
      <c r="V414" t="s">
        <v>8126</v>
      </c>
      <c r="W414" t="s">
        <v>8127</v>
      </c>
      <c r="X414" t="s">
        <v>8128</v>
      </c>
      <c r="Y414" t="s">
        <v>8129</v>
      </c>
      <c r="Z414" t="s">
        <v>8130</v>
      </c>
      <c r="AA414" t="s">
        <v>74</v>
      </c>
      <c r="AB414" t="s">
        <v>8131</v>
      </c>
      <c r="AC414" t="s">
        <v>8132</v>
      </c>
      <c r="AD414" t="s">
        <v>8133</v>
      </c>
      <c r="AE414" t="s">
        <v>8134</v>
      </c>
      <c r="AF414" t="s">
        <v>74</v>
      </c>
      <c r="AG414">
        <v>27</v>
      </c>
      <c r="AH414">
        <v>0</v>
      </c>
      <c r="AI414">
        <v>0</v>
      </c>
      <c r="AJ414">
        <v>0</v>
      </c>
      <c r="AK414">
        <v>0</v>
      </c>
      <c r="AL414" t="s">
        <v>87</v>
      </c>
      <c r="AM414" t="s">
        <v>88</v>
      </c>
      <c r="AN414" t="s">
        <v>89</v>
      </c>
      <c r="AO414" t="s">
        <v>8135</v>
      </c>
      <c r="AP414" t="s">
        <v>8136</v>
      </c>
      <c r="AQ414" t="s">
        <v>74</v>
      </c>
      <c r="AR414" t="s">
        <v>8137</v>
      </c>
      <c r="AS414" t="s">
        <v>8138</v>
      </c>
      <c r="AT414" t="s">
        <v>8139</v>
      </c>
      <c r="AU414">
        <v>2023</v>
      </c>
      <c r="AV414" t="s">
        <v>74</v>
      </c>
      <c r="AW414" t="s">
        <v>74</v>
      </c>
      <c r="AX414" t="s">
        <v>74</v>
      </c>
      <c r="AY414" t="s">
        <v>74</v>
      </c>
      <c r="AZ414" t="s">
        <v>74</v>
      </c>
      <c r="BA414" t="s">
        <v>74</v>
      </c>
      <c r="BB414" t="s">
        <v>74</v>
      </c>
      <c r="BC414" t="s">
        <v>74</v>
      </c>
      <c r="BD414" t="s">
        <v>74</v>
      </c>
      <c r="BE414" t="s">
        <v>8140</v>
      </c>
      <c r="BF414" t="str">
        <f>HYPERLINK("http://dx.doi.org/10.1002/plr2.20320","http://dx.doi.org/10.1002/plr2.20320")</f>
        <v>http://dx.doi.org/10.1002/plr2.20320</v>
      </c>
      <c r="BG414" t="s">
        <v>74</v>
      </c>
      <c r="BH414" t="s">
        <v>7524</v>
      </c>
      <c r="BI414">
        <v>7</v>
      </c>
      <c r="BJ414" t="s">
        <v>8141</v>
      </c>
      <c r="BK414" t="s">
        <v>119</v>
      </c>
      <c r="BL414" t="s">
        <v>8142</v>
      </c>
      <c r="BM414" t="s">
        <v>8143</v>
      </c>
      <c r="BN414" t="s">
        <v>74</v>
      </c>
      <c r="BO414" t="s">
        <v>74</v>
      </c>
      <c r="BP414" t="s">
        <v>74</v>
      </c>
      <c r="BQ414" t="s">
        <v>74</v>
      </c>
      <c r="BR414" t="s">
        <v>99</v>
      </c>
      <c r="BS414" t="s">
        <v>8144</v>
      </c>
      <c r="BT414" t="str">
        <f>HYPERLINK("https%3A%2F%2Fwww.webofscience.com%2Fwos%2Fwoscc%2Ffull-record%2FWOS:001060084000001","View Full Record in Web of Science")</f>
        <v>View Full Record in Web of Science</v>
      </c>
    </row>
    <row r="415" spans="1:72" x14ac:dyDescent="0.15">
      <c r="A415" t="s">
        <v>72</v>
      </c>
      <c r="B415" t="s">
        <v>8145</v>
      </c>
      <c r="C415" t="s">
        <v>74</v>
      </c>
      <c r="D415" t="s">
        <v>74</v>
      </c>
      <c r="E415" t="s">
        <v>74</v>
      </c>
      <c r="F415" t="s">
        <v>8146</v>
      </c>
      <c r="G415" t="s">
        <v>74</v>
      </c>
      <c r="H415" t="s">
        <v>74</v>
      </c>
      <c r="I415" t="s">
        <v>8147</v>
      </c>
      <c r="J415" t="s">
        <v>8148</v>
      </c>
      <c r="K415" t="s">
        <v>74</v>
      </c>
      <c r="L415" t="s">
        <v>74</v>
      </c>
      <c r="M415" t="s">
        <v>78</v>
      </c>
      <c r="N415" t="s">
        <v>338</v>
      </c>
      <c r="O415" t="s">
        <v>74</v>
      </c>
      <c r="P415" t="s">
        <v>74</v>
      </c>
      <c r="Q415" t="s">
        <v>74</v>
      </c>
      <c r="R415" t="s">
        <v>74</v>
      </c>
      <c r="S415" t="s">
        <v>74</v>
      </c>
      <c r="T415" t="s">
        <v>8149</v>
      </c>
      <c r="U415" t="s">
        <v>8150</v>
      </c>
      <c r="V415" t="s">
        <v>8151</v>
      </c>
      <c r="W415" t="s">
        <v>8152</v>
      </c>
      <c r="X415" t="s">
        <v>8153</v>
      </c>
      <c r="Y415" t="s">
        <v>8154</v>
      </c>
      <c r="Z415" t="s">
        <v>8155</v>
      </c>
      <c r="AA415" t="s">
        <v>8156</v>
      </c>
      <c r="AB415" t="s">
        <v>8157</v>
      </c>
      <c r="AC415" t="s">
        <v>74</v>
      </c>
      <c r="AD415" t="s">
        <v>74</v>
      </c>
      <c r="AE415" t="s">
        <v>74</v>
      </c>
      <c r="AF415" t="s">
        <v>74</v>
      </c>
      <c r="AG415">
        <v>105</v>
      </c>
      <c r="AH415">
        <v>0</v>
      </c>
      <c r="AI415">
        <v>0</v>
      </c>
      <c r="AJ415">
        <v>6</v>
      </c>
      <c r="AK415">
        <v>6</v>
      </c>
      <c r="AL415" t="s">
        <v>87</v>
      </c>
      <c r="AM415" t="s">
        <v>88</v>
      </c>
      <c r="AN415" t="s">
        <v>89</v>
      </c>
      <c r="AO415" t="s">
        <v>8158</v>
      </c>
      <c r="AP415" t="s">
        <v>8159</v>
      </c>
      <c r="AQ415" t="s">
        <v>74</v>
      </c>
      <c r="AR415" t="s">
        <v>8160</v>
      </c>
      <c r="AS415" t="s">
        <v>8161</v>
      </c>
      <c r="AT415" t="s">
        <v>8139</v>
      </c>
      <c r="AU415">
        <v>2023</v>
      </c>
      <c r="AV415" t="s">
        <v>74</v>
      </c>
      <c r="AW415" t="s">
        <v>74</v>
      </c>
      <c r="AX415" t="s">
        <v>74</v>
      </c>
      <c r="AY415" t="s">
        <v>74</v>
      </c>
      <c r="AZ415" t="s">
        <v>74</v>
      </c>
      <c r="BA415" t="s">
        <v>74</v>
      </c>
      <c r="BB415" t="s">
        <v>74</v>
      </c>
      <c r="BC415" t="s">
        <v>74</v>
      </c>
      <c r="BD415" t="s">
        <v>74</v>
      </c>
      <c r="BE415" t="s">
        <v>8162</v>
      </c>
      <c r="BF415" t="str">
        <f>HYPERLINK("http://dx.doi.org/10.1111/1475-679X.12501","http://dx.doi.org/10.1111/1475-679X.12501")</f>
        <v>http://dx.doi.org/10.1111/1475-679X.12501</v>
      </c>
      <c r="BG415" t="s">
        <v>74</v>
      </c>
      <c r="BH415" t="s">
        <v>7524</v>
      </c>
      <c r="BI415">
        <v>59</v>
      </c>
      <c r="BJ415" t="s">
        <v>545</v>
      </c>
      <c r="BK415" t="s">
        <v>546</v>
      </c>
      <c r="BL415" t="s">
        <v>547</v>
      </c>
      <c r="BM415" t="s">
        <v>8163</v>
      </c>
      <c r="BN415" t="s">
        <v>74</v>
      </c>
      <c r="BO415" t="s">
        <v>74</v>
      </c>
      <c r="BP415" t="s">
        <v>74</v>
      </c>
      <c r="BQ415" t="s">
        <v>74</v>
      </c>
      <c r="BR415" t="s">
        <v>99</v>
      </c>
      <c r="BS415" t="s">
        <v>8164</v>
      </c>
      <c r="BT415" t="str">
        <f>HYPERLINK("https%3A%2F%2Fwww.webofscience.com%2Fwos%2Fwoscc%2Ffull-record%2FWOS:001060538700001","View Full Record in Web of Science")</f>
        <v>View Full Record in Web of Science</v>
      </c>
    </row>
    <row r="416" spans="1:72" x14ac:dyDescent="0.15">
      <c r="A416" t="s">
        <v>72</v>
      </c>
      <c r="B416" t="s">
        <v>8165</v>
      </c>
      <c r="C416" t="s">
        <v>74</v>
      </c>
      <c r="D416" t="s">
        <v>74</v>
      </c>
      <c r="E416" t="s">
        <v>74</v>
      </c>
      <c r="F416" t="s">
        <v>8166</v>
      </c>
      <c r="G416" t="s">
        <v>74</v>
      </c>
      <c r="H416" t="s">
        <v>74</v>
      </c>
      <c r="I416" t="s">
        <v>8167</v>
      </c>
      <c r="J416" t="s">
        <v>8168</v>
      </c>
      <c r="K416" t="s">
        <v>74</v>
      </c>
      <c r="L416" t="s">
        <v>74</v>
      </c>
      <c r="M416" t="s">
        <v>78</v>
      </c>
      <c r="N416" t="s">
        <v>338</v>
      </c>
      <c r="O416" t="s">
        <v>74</v>
      </c>
      <c r="P416" t="s">
        <v>74</v>
      </c>
      <c r="Q416" t="s">
        <v>74</v>
      </c>
      <c r="R416" t="s">
        <v>74</v>
      </c>
      <c r="S416" t="s">
        <v>74</v>
      </c>
      <c r="T416" t="s">
        <v>8169</v>
      </c>
      <c r="U416" t="s">
        <v>8170</v>
      </c>
      <c r="V416" t="s">
        <v>8171</v>
      </c>
      <c r="W416" t="s">
        <v>8172</v>
      </c>
      <c r="X416" t="s">
        <v>8173</v>
      </c>
      <c r="Y416" t="s">
        <v>8174</v>
      </c>
      <c r="Z416" t="s">
        <v>8175</v>
      </c>
      <c r="AA416" t="s">
        <v>74</v>
      </c>
      <c r="AB416" t="s">
        <v>8176</v>
      </c>
      <c r="AC416" t="s">
        <v>8177</v>
      </c>
      <c r="AD416" t="s">
        <v>8178</v>
      </c>
      <c r="AE416" t="s">
        <v>8179</v>
      </c>
      <c r="AF416" t="s">
        <v>74</v>
      </c>
      <c r="AG416">
        <v>45</v>
      </c>
      <c r="AH416">
        <v>0</v>
      </c>
      <c r="AI416">
        <v>0</v>
      </c>
      <c r="AJ416">
        <v>0</v>
      </c>
      <c r="AK416">
        <v>0</v>
      </c>
      <c r="AL416" t="s">
        <v>87</v>
      </c>
      <c r="AM416" t="s">
        <v>88</v>
      </c>
      <c r="AN416" t="s">
        <v>89</v>
      </c>
      <c r="AO416" t="s">
        <v>8180</v>
      </c>
      <c r="AP416" t="s">
        <v>8181</v>
      </c>
      <c r="AQ416" t="s">
        <v>74</v>
      </c>
      <c r="AR416" t="s">
        <v>8182</v>
      </c>
      <c r="AS416" t="s">
        <v>8183</v>
      </c>
      <c r="AT416" t="s">
        <v>8139</v>
      </c>
      <c r="AU416">
        <v>2023</v>
      </c>
      <c r="AV416" t="s">
        <v>74</v>
      </c>
      <c r="AW416" t="s">
        <v>74</v>
      </c>
      <c r="AX416" t="s">
        <v>74</v>
      </c>
      <c r="AY416" t="s">
        <v>74</v>
      </c>
      <c r="AZ416" t="s">
        <v>74</v>
      </c>
      <c r="BA416" t="s">
        <v>74</v>
      </c>
      <c r="BB416" t="s">
        <v>74</v>
      </c>
      <c r="BC416" t="s">
        <v>74</v>
      </c>
      <c r="BD416" t="s">
        <v>74</v>
      </c>
      <c r="BE416" t="s">
        <v>8184</v>
      </c>
      <c r="BF416" t="str">
        <f>HYPERLINK("http://dx.doi.org/10.1002/pts.2771","http://dx.doi.org/10.1002/pts.2771")</f>
        <v>http://dx.doi.org/10.1002/pts.2771</v>
      </c>
      <c r="BG416" t="s">
        <v>74</v>
      </c>
      <c r="BH416" t="s">
        <v>7524</v>
      </c>
      <c r="BI416">
        <v>15</v>
      </c>
      <c r="BJ416" t="s">
        <v>8185</v>
      </c>
      <c r="BK416" t="s">
        <v>119</v>
      </c>
      <c r="BL416" t="s">
        <v>8186</v>
      </c>
      <c r="BM416" t="s">
        <v>8187</v>
      </c>
      <c r="BN416" t="s">
        <v>74</v>
      </c>
      <c r="BO416" t="s">
        <v>74</v>
      </c>
      <c r="BP416" t="s">
        <v>74</v>
      </c>
      <c r="BQ416" t="s">
        <v>74</v>
      </c>
      <c r="BR416" t="s">
        <v>99</v>
      </c>
      <c r="BS416" t="s">
        <v>8188</v>
      </c>
      <c r="BT416" t="str">
        <f>HYPERLINK("https%3A%2F%2Fwww.webofscience.com%2Fwos%2Fwoscc%2Ffull-record%2FWOS:001069646800001","View Full Record in Web of Science")</f>
        <v>View Full Record in Web of Science</v>
      </c>
    </row>
    <row r="417" spans="1:72" x14ac:dyDescent="0.15">
      <c r="A417" t="s">
        <v>72</v>
      </c>
      <c r="B417" t="s">
        <v>8189</v>
      </c>
      <c r="C417" t="s">
        <v>74</v>
      </c>
      <c r="D417" t="s">
        <v>74</v>
      </c>
      <c r="E417" t="s">
        <v>74</v>
      </c>
      <c r="F417" t="s">
        <v>8190</v>
      </c>
      <c r="G417" t="s">
        <v>74</v>
      </c>
      <c r="H417" t="s">
        <v>74</v>
      </c>
      <c r="I417" t="s">
        <v>8191</v>
      </c>
      <c r="J417" t="s">
        <v>8192</v>
      </c>
      <c r="K417" t="s">
        <v>74</v>
      </c>
      <c r="L417" t="s">
        <v>74</v>
      </c>
      <c r="M417" t="s">
        <v>78</v>
      </c>
      <c r="N417" t="s">
        <v>338</v>
      </c>
      <c r="O417" t="s">
        <v>74</v>
      </c>
      <c r="P417" t="s">
        <v>74</v>
      </c>
      <c r="Q417" t="s">
        <v>74</v>
      </c>
      <c r="R417" t="s">
        <v>74</v>
      </c>
      <c r="S417" t="s">
        <v>74</v>
      </c>
      <c r="T417" t="s">
        <v>8193</v>
      </c>
      <c r="U417" t="s">
        <v>8194</v>
      </c>
      <c r="V417" t="s">
        <v>8195</v>
      </c>
      <c r="W417" t="s">
        <v>8196</v>
      </c>
      <c r="X417" t="s">
        <v>8197</v>
      </c>
      <c r="Y417" t="s">
        <v>8198</v>
      </c>
      <c r="Z417" t="s">
        <v>8199</v>
      </c>
      <c r="AA417" t="s">
        <v>8200</v>
      </c>
      <c r="AB417" t="s">
        <v>8201</v>
      </c>
      <c r="AC417" t="s">
        <v>8202</v>
      </c>
      <c r="AD417" t="s">
        <v>8202</v>
      </c>
      <c r="AE417" t="s">
        <v>8202</v>
      </c>
      <c r="AF417" t="s">
        <v>74</v>
      </c>
      <c r="AG417">
        <v>35</v>
      </c>
      <c r="AH417">
        <v>0</v>
      </c>
      <c r="AI417">
        <v>0</v>
      </c>
      <c r="AJ417">
        <v>1</v>
      </c>
      <c r="AK417">
        <v>1</v>
      </c>
      <c r="AL417" t="s">
        <v>87</v>
      </c>
      <c r="AM417" t="s">
        <v>88</v>
      </c>
      <c r="AN417" t="s">
        <v>89</v>
      </c>
      <c r="AO417" t="s">
        <v>8203</v>
      </c>
      <c r="AP417" t="s">
        <v>8204</v>
      </c>
      <c r="AQ417" t="s">
        <v>74</v>
      </c>
      <c r="AR417" t="s">
        <v>8205</v>
      </c>
      <c r="AS417" t="s">
        <v>8206</v>
      </c>
      <c r="AT417" t="s">
        <v>8139</v>
      </c>
      <c r="AU417">
        <v>2023</v>
      </c>
      <c r="AV417" t="s">
        <v>74</v>
      </c>
      <c r="AW417" t="s">
        <v>74</v>
      </c>
      <c r="AX417" t="s">
        <v>74</v>
      </c>
      <c r="AY417" t="s">
        <v>74</v>
      </c>
      <c r="AZ417" t="s">
        <v>74</v>
      </c>
      <c r="BA417" t="s">
        <v>74</v>
      </c>
      <c r="BB417" t="s">
        <v>74</v>
      </c>
      <c r="BC417" t="s">
        <v>74</v>
      </c>
      <c r="BD417" t="s">
        <v>74</v>
      </c>
      <c r="BE417" t="s">
        <v>8207</v>
      </c>
      <c r="BF417" t="str">
        <f>HYPERLINK("http://dx.doi.org/10.1111/jgh.16331","http://dx.doi.org/10.1111/jgh.16331")</f>
        <v>http://dx.doi.org/10.1111/jgh.16331</v>
      </c>
      <c r="BG417" t="s">
        <v>74</v>
      </c>
      <c r="BH417" t="s">
        <v>7524</v>
      </c>
      <c r="BI417">
        <v>8</v>
      </c>
      <c r="BJ417" t="s">
        <v>95</v>
      </c>
      <c r="BK417" t="s">
        <v>119</v>
      </c>
      <c r="BL417" t="s">
        <v>95</v>
      </c>
      <c r="BM417" t="s">
        <v>8208</v>
      </c>
      <c r="BN417">
        <v>37644698</v>
      </c>
      <c r="BO417" t="s">
        <v>74</v>
      </c>
      <c r="BP417" t="s">
        <v>74</v>
      </c>
      <c r="BQ417" t="s">
        <v>74</v>
      </c>
      <c r="BR417" t="s">
        <v>99</v>
      </c>
      <c r="BS417" t="s">
        <v>8209</v>
      </c>
      <c r="BT417" t="str">
        <f>HYPERLINK("https%3A%2F%2Fwww.webofscience.com%2Fwos%2Fwoscc%2Ffull-record%2FWOS:001060088100001","View Full Record in Web of Science")</f>
        <v>View Full Record in Web of Science</v>
      </c>
    </row>
    <row r="418" spans="1:72" x14ac:dyDescent="0.15">
      <c r="A418" t="s">
        <v>72</v>
      </c>
      <c r="B418" t="s">
        <v>8210</v>
      </c>
      <c r="C418" t="s">
        <v>74</v>
      </c>
      <c r="D418" t="s">
        <v>74</v>
      </c>
      <c r="E418" t="s">
        <v>74</v>
      </c>
      <c r="F418" t="s">
        <v>8211</v>
      </c>
      <c r="G418" t="s">
        <v>74</v>
      </c>
      <c r="H418" t="s">
        <v>74</v>
      </c>
      <c r="I418" t="s">
        <v>8212</v>
      </c>
      <c r="J418" t="s">
        <v>8213</v>
      </c>
      <c r="K418" t="s">
        <v>74</v>
      </c>
      <c r="L418" t="s">
        <v>74</v>
      </c>
      <c r="M418" t="s">
        <v>78</v>
      </c>
      <c r="N418" t="s">
        <v>79</v>
      </c>
      <c r="O418" t="s">
        <v>74</v>
      </c>
      <c r="P418" t="s">
        <v>74</v>
      </c>
      <c r="Q418" t="s">
        <v>74</v>
      </c>
      <c r="R418" t="s">
        <v>74</v>
      </c>
      <c r="S418" t="s">
        <v>74</v>
      </c>
      <c r="T418" t="s">
        <v>74</v>
      </c>
      <c r="U418" t="s">
        <v>8214</v>
      </c>
      <c r="V418" t="s">
        <v>8215</v>
      </c>
      <c r="W418" t="s">
        <v>8216</v>
      </c>
      <c r="X418" t="s">
        <v>8217</v>
      </c>
      <c r="Y418" t="s">
        <v>8218</v>
      </c>
      <c r="Z418" t="s">
        <v>8219</v>
      </c>
      <c r="AA418" t="s">
        <v>74</v>
      </c>
      <c r="AB418" t="s">
        <v>74</v>
      </c>
      <c r="AC418" t="s">
        <v>8220</v>
      </c>
      <c r="AD418" t="s">
        <v>8220</v>
      </c>
      <c r="AE418" t="s">
        <v>8221</v>
      </c>
      <c r="AF418" t="s">
        <v>74</v>
      </c>
      <c r="AG418">
        <v>40</v>
      </c>
      <c r="AH418">
        <v>0</v>
      </c>
      <c r="AI418">
        <v>0</v>
      </c>
      <c r="AJ418">
        <v>0</v>
      </c>
      <c r="AK418">
        <v>0</v>
      </c>
      <c r="AL418" t="s">
        <v>87</v>
      </c>
      <c r="AM418" t="s">
        <v>88</v>
      </c>
      <c r="AN418" t="s">
        <v>89</v>
      </c>
      <c r="AO418" t="s">
        <v>8222</v>
      </c>
      <c r="AP418" t="s">
        <v>8223</v>
      </c>
      <c r="AQ418" t="s">
        <v>74</v>
      </c>
      <c r="AR418" t="s">
        <v>8224</v>
      </c>
      <c r="AS418" t="s">
        <v>8225</v>
      </c>
      <c r="AT418" t="s">
        <v>8226</v>
      </c>
      <c r="AU418">
        <v>2023</v>
      </c>
      <c r="AV418">
        <v>2023</v>
      </c>
      <c r="AW418" t="s">
        <v>74</v>
      </c>
      <c r="AX418" t="s">
        <v>74</v>
      </c>
      <c r="AY418" t="s">
        <v>74</v>
      </c>
      <c r="AZ418" t="s">
        <v>74</v>
      </c>
      <c r="BA418" t="s">
        <v>74</v>
      </c>
      <c r="BB418" t="s">
        <v>74</v>
      </c>
      <c r="BC418" t="s">
        <v>74</v>
      </c>
      <c r="BD418">
        <v>6658543</v>
      </c>
      <c r="BE418" t="s">
        <v>8227</v>
      </c>
      <c r="BF418" t="str">
        <f>HYPERLINK("http://dx.doi.org/10.1155/2023/6658543","http://dx.doi.org/10.1155/2023/6658543")</f>
        <v>http://dx.doi.org/10.1155/2023/6658543</v>
      </c>
      <c r="BG418" t="s">
        <v>74</v>
      </c>
      <c r="BH418" t="s">
        <v>74</v>
      </c>
      <c r="BI418">
        <v>13</v>
      </c>
      <c r="BJ418" t="s">
        <v>8228</v>
      </c>
      <c r="BK418" t="s">
        <v>119</v>
      </c>
      <c r="BL418" t="s">
        <v>8229</v>
      </c>
      <c r="BM418" t="s">
        <v>8230</v>
      </c>
      <c r="BN418" t="s">
        <v>74</v>
      </c>
      <c r="BO418" t="s">
        <v>234</v>
      </c>
      <c r="BP418" t="s">
        <v>74</v>
      </c>
      <c r="BQ418" t="s">
        <v>74</v>
      </c>
      <c r="BR418" t="s">
        <v>99</v>
      </c>
      <c r="BS418" t="s">
        <v>8231</v>
      </c>
      <c r="BT418" t="str">
        <f>HYPERLINK("https%3A%2F%2Fwww.webofscience.com%2Fwos%2Fwoscc%2Ffull-record%2FWOS:001061875800001","View Full Record in Web of Science")</f>
        <v>View Full Record in Web of Science</v>
      </c>
    </row>
    <row r="419" spans="1:72" x14ac:dyDescent="0.15">
      <c r="A419" t="s">
        <v>72</v>
      </c>
      <c r="B419" t="s">
        <v>8232</v>
      </c>
      <c r="C419" t="s">
        <v>74</v>
      </c>
      <c r="D419" t="s">
        <v>74</v>
      </c>
      <c r="E419" t="s">
        <v>74</v>
      </c>
      <c r="F419" t="s">
        <v>8233</v>
      </c>
      <c r="G419" t="s">
        <v>74</v>
      </c>
      <c r="H419" t="s">
        <v>74</v>
      </c>
      <c r="I419" t="s">
        <v>8234</v>
      </c>
      <c r="J419" t="s">
        <v>8235</v>
      </c>
      <c r="K419" t="s">
        <v>74</v>
      </c>
      <c r="L419" t="s">
        <v>74</v>
      </c>
      <c r="M419" t="s">
        <v>78</v>
      </c>
      <c r="N419" t="s">
        <v>338</v>
      </c>
      <c r="O419" t="s">
        <v>74</v>
      </c>
      <c r="P419" t="s">
        <v>74</v>
      </c>
      <c r="Q419" t="s">
        <v>74</v>
      </c>
      <c r="R419" t="s">
        <v>74</v>
      </c>
      <c r="S419" t="s">
        <v>74</v>
      </c>
      <c r="T419" t="s">
        <v>8236</v>
      </c>
      <c r="U419" t="s">
        <v>8237</v>
      </c>
      <c r="V419" t="s">
        <v>8238</v>
      </c>
      <c r="W419" t="s">
        <v>8239</v>
      </c>
      <c r="X419" t="s">
        <v>8240</v>
      </c>
      <c r="Y419" t="s">
        <v>8241</v>
      </c>
      <c r="Z419" t="s">
        <v>8242</v>
      </c>
      <c r="AA419" t="s">
        <v>74</v>
      </c>
      <c r="AB419" t="s">
        <v>74</v>
      </c>
      <c r="AC419" t="s">
        <v>74</v>
      </c>
      <c r="AD419" t="s">
        <v>74</v>
      </c>
      <c r="AE419" t="s">
        <v>74</v>
      </c>
      <c r="AF419" t="s">
        <v>74</v>
      </c>
      <c r="AG419">
        <v>45</v>
      </c>
      <c r="AH419">
        <v>0</v>
      </c>
      <c r="AI419">
        <v>0</v>
      </c>
      <c r="AJ419">
        <v>0</v>
      </c>
      <c r="AK419">
        <v>0</v>
      </c>
      <c r="AL419" t="s">
        <v>87</v>
      </c>
      <c r="AM419" t="s">
        <v>88</v>
      </c>
      <c r="AN419" t="s">
        <v>89</v>
      </c>
      <c r="AO419" t="s">
        <v>8243</v>
      </c>
      <c r="AP419" t="s">
        <v>8244</v>
      </c>
      <c r="AQ419" t="s">
        <v>74</v>
      </c>
      <c r="AR419" t="s">
        <v>8245</v>
      </c>
      <c r="AS419" t="s">
        <v>8246</v>
      </c>
      <c r="AT419" t="s">
        <v>8139</v>
      </c>
      <c r="AU419">
        <v>2023</v>
      </c>
      <c r="AV419" t="s">
        <v>74</v>
      </c>
      <c r="AW419" t="s">
        <v>74</v>
      </c>
      <c r="AX419" t="s">
        <v>74</v>
      </c>
      <c r="AY419" t="s">
        <v>74</v>
      </c>
      <c r="AZ419" t="s">
        <v>74</v>
      </c>
      <c r="BA419" t="s">
        <v>74</v>
      </c>
      <c r="BB419" t="s">
        <v>74</v>
      </c>
      <c r="BC419" t="s">
        <v>74</v>
      </c>
      <c r="BD419" t="s">
        <v>74</v>
      </c>
      <c r="BE419" t="s">
        <v>8247</v>
      </c>
      <c r="BF419" t="str">
        <f>HYPERLINK("http://dx.doi.org/10.1002/ird.2882","http://dx.doi.org/10.1002/ird.2882")</f>
        <v>http://dx.doi.org/10.1002/ird.2882</v>
      </c>
      <c r="BG419" t="s">
        <v>74</v>
      </c>
      <c r="BH419" t="s">
        <v>7524</v>
      </c>
      <c r="BI419">
        <v>16</v>
      </c>
      <c r="BJ419" t="s">
        <v>8248</v>
      </c>
      <c r="BK419" t="s">
        <v>119</v>
      </c>
      <c r="BL419" t="s">
        <v>8249</v>
      </c>
      <c r="BM419" t="s">
        <v>8250</v>
      </c>
      <c r="BN419" t="s">
        <v>74</v>
      </c>
      <c r="BO419" t="s">
        <v>301</v>
      </c>
      <c r="BP419" t="s">
        <v>74</v>
      </c>
      <c r="BQ419" t="s">
        <v>74</v>
      </c>
      <c r="BR419" t="s">
        <v>99</v>
      </c>
      <c r="BS419" t="s">
        <v>8251</v>
      </c>
      <c r="BT419" t="str">
        <f>HYPERLINK("https%3A%2F%2Fwww.webofscience.com%2Fwos%2Fwoscc%2Ffull-record%2FWOS:001063814700001","View Full Record in Web of Science")</f>
        <v>View Full Record in Web of Science</v>
      </c>
    </row>
    <row r="420" spans="1:72" x14ac:dyDescent="0.15">
      <c r="A420" t="s">
        <v>72</v>
      </c>
      <c r="B420" t="s">
        <v>8252</v>
      </c>
      <c r="C420" t="s">
        <v>74</v>
      </c>
      <c r="D420" t="s">
        <v>74</v>
      </c>
      <c r="E420" t="s">
        <v>74</v>
      </c>
      <c r="F420" t="s">
        <v>8253</v>
      </c>
      <c r="G420" t="s">
        <v>74</v>
      </c>
      <c r="H420" t="s">
        <v>74</v>
      </c>
      <c r="I420" t="s">
        <v>8254</v>
      </c>
      <c r="J420" t="s">
        <v>8255</v>
      </c>
      <c r="K420" t="s">
        <v>74</v>
      </c>
      <c r="L420" t="s">
        <v>74</v>
      </c>
      <c r="M420" t="s">
        <v>78</v>
      </c>
      <c r="N420" t="s">
        <v>2743</v>
      </c>
      <c r="O420" t="s">
        <v>74</v>
      </c>
      <c r="P420" t="s">
        <v>74</v>
      </c>
      <c r="Q420" t="s">
        <v>74</v>
      </c>
      <c r="R420" t="s">
        <v>74</v>
      </c>
      <c r="S420" t="s">
        <v>74</v>
      </c>
      <c r="T420" t="s">
        <v>74</v>
      </c>
      <c r="U420" t="s">
        <v>74</v>
      </c>
      <c r="V420" t="s">
        <v>74</v>
      </c>
      <c r="W420" t="s">
        <v>8256</v>
      </c>
      <c r="X420" t="s">
        <v>8257</v>
      </c>
      <c r="Y420" t="s">
        <v>8258</v>
      </c>
      <c r="Z420" t="s">
        <v>8259</v>
      </c>
      <c r="AA420" t="s">
        <v>74</v>
      </c>
      <c r="AB420" t="s">
        <v>74</v>
      </c>
      <c r="AC420" t="s">
        <v>8260</v>
      </c>
      <c r="AD420" t="s">
        <v>8260</v>
      </c>
      <c r="AE420" t="s">
        <v>8261</v>
      </c>
      <c r="AF420" t="s">
        <v>74</v>
      </c>
      <c r="AG420">
        <v>6</v>
      </c>
      <c r="AH420">
        <v>0</v>
      </c>
      <c r="AI420">
        <v>0</v>
      </c>
      <c r="AJ420">
        <v>1</v>
      </c>
      <c r="AK420">
        <v>1</v>
      </c>
      <c r="AL420" t="s">
        <v>87</v>
      </c>
      <c r="AM420" t="s">
        <v>88</v>
      </c>
      <c r="AN420" t="s">
        <v>89</v>
      </c>
      <c r="AO420" t="s">
        <v>8262</v>
      </c>
      <c r="AP420" t="s">
        <v>8263</v>
      </c>
      <c r="AQ420" t="s">
        <v>74</v>
      </c>
      <c r="AR420" t="s">
        <v>8264</v>
      </c>
      <c r="AS420" t="s">
        <v>8265</v>
      </c>
      <c r="AT420" t="s">
        <v>8139</v>
      </c>
      <c r="AU420">
        <v>2023</v>
      </c>
      <c r="AV420" t="s">
        <v>74</v>
      </c>
      <c r="AW420" t="s">
        <v>74</v>
      </c>
      <c r="AX420" t="s">
        <v>74</v>
      </c>
      <c r="AY420" t="s">
        <v>74</v>
      </c>
      <c r="AZ420" t="s">
        <v>74</v>
      </c>
      <c r="BA420" t="s">
        <v>74</v>
      </c>
      <c r="BB420" t="s">
        <v>74</v>
      </c>
      <c r="BC420" t="s">
        <v>74</v>
      </c>
      <c r="BD420" t="s">
        <v>74</v>
      </c>
      <c r="BE420" t="s">
        <v>8266</v>
      </c>
      <c r="BF420" t="str">
        <f>HYPERLINK("http://dx.doi.org/10.1111/ggi.14656","http://dx.doi.org/10.1111/ggi.14656")</f>
        <v>http://dx.doi.org/10.1111/ggi.14656</v>
      </c>
      <c r="BG420" t="s">
        <v>74</v>
      </c>
      <c r="BH420" t="s">
        <v>7524</v>
      </c>
      <c r="BI420">
        <v>2</v>
      </c>
      <c r="BJ420" t="s">
        <v>8267</v>
      </c>
      <c r="BK420" t="s">
        <v>409</v>
      </c>
      <c r="BL420" t="s">
        <v>8268</v>
      </c>
      <c r="BM420" t="s">
        <v>8269</v>
      </c>
      <c r="BN420">
        <v>37642357</v>
      </c>
      <c r="BO420" t="s">
        <v>301</v>
      </c>
      <c r="BP420" t="s">
        <v>74</v>
      </c>
      <c r="BQ420" t="s">
        <v>74</v>
      </c>
      <c r="BR420" t="s">
        <v>99</v>
      </c>
      <c r="BS420" t="s">
        <v>8270</v>
      </c>
      <c r="BT420" t="str">
        <f>HYPERLINK("https%3A%2F%2Fwww.webofscience.com%2Fwos%2Fwoscc%2Ffull-record%2FWOS:001064936700001","View Full Record in Web of Science")</f>
        <v>View Full Record in Web of Science</v>
      </c>
    </row>
    <row r="421" spans="1:72" x14ac:dyDescent="0.15">
      <c r="A421" t="s">
        <v>72</v>
      </c>
      <c r="B421" t="s">
        <v>8271</v>
      </c>
      <c r="C421" t="s">
        <v>74</v>
      </c>
      <c r="D421" t="s">
        <v>74</v>
      </c>
      <c r="E421" t="s">
        <v>74</v>
      </c>
      <c r="F421" t="s">
        <v>8272</v>
      </c>
      <c r="G421" t="s">
        <v>74</v>
      </c>
      <c r="H421" t="s">
        <v>74</v>
      </c>
      <c r="I421" t="s">
        <v>8273</v>
      </c>
      <c r="J421" t="s">
        <v>7259</v>
      </c>
      <c r="K421" t="s">
        <v>74</v>
      </c>
      <c r="L421" t="s">
        <v>74</v>
      </c>
      <c r="M421" t="s">
        <v>78</v>
      </c>
      <c r="N421" t="s">
        <v>2743</v>
      </c>
      <c r="O421" t="s">
        <v>74</v>
      </c>
      <c r="P421" t="s">
        <v>74</v>
      </c>
      <c r="Q421" t="s">
        <v>74</v>
      </c>
      <c r="R421" t="s">
        <v>74</v>
      </c>
      <c r="S421" t="s">
        <v>74</v>
      </c>
      <c r="T421" t="s">
        <v>74</v>
      </c>
      <c r="U421" t="s">
        <v>74</v>
      </c>
      <c r="V421" t="s">
        <v>74</v>
      </c>
      <c r="W421" t="s">
        <v>8274</v>
      </c>
      <c r="X421" t="s">
        <v>8275</v>
      </c>
      <c r="Y421" t="s">
        <v>8276</v>
      </c>
      <c r="Z421" t="s">
        <v>8277</v>
      </c>
      <c r="AA421" t="s">
        <v>74</v>
      </c>
      <c r="AB421" t="s">
        <v>8278</v>
      </c>
      <c r="AC421" t="s">
        <v>74</v>
      </c>
      <c r="AD421" t="s">
        <v>74</v>
      </c>
      <c r="AE421" t="s">
        <v>74</v>
      </c>
      <c r="AF421" t="s">
        <v>74</v>
      </c>
      <c r="AG421">
        <v>7</v>
      </c>
      <c r="AH421">
        <v>0</v>
      </c>
      <c r="AI421">
        <v>0</v>
      </c>
      <c r="AJ421">
        <v>0</v>
      </c>
      <c r="AK421">
        <v>0</v>
      </c>
      <c r="AL421" t="s">
        <v>87</v>
      </c>
      <c r="AM421" t="s">
        <v>88</v>
      </c>
      <c r="AN421" t="s">
        <v>89</v>
      </c>
      <c r="AO421" t="s">
        <v>7264</v>
      </c>
      <c r="AP421" t="s">
        <v>7265</v>
      </c>
      <c r="AQ421" t="s">
        <v>74</v>
      </c>
      <c r="AR421" t="s">
        <v>7266</v>
      </c>
      <c r="AS421" t="s">
        <v>7267</v>
      </c>
      <c r="AT421" t="s">
        <v>8139</v>
      </c>
      <c r="AU421">
        <v>2023</v>
      </c>
      <c r="AV421" t="s">
        <v>74</v>
      </c>
      <c r="AW421" t="s">
        <v>74</v>
      </c>
      <c r="AX421" t="s">
        <v>74</v>
      </c>
      <c r="AY421" t="s">
        <v>74</v>
      </c>
      <c r="AZ421" t="s">
        <v>74</v>
      </c>
      <c r="BA421" t="s">
        <v>74</v>
      </c>
      <c r="BB421" t="s">
        <v>74</v>
      </c>
      <c r="BC421" t="s">
        <v>74</v>
      </c>
      <c r="BD421" t="s">
        <v>74</v>
      </c>
      <c r="BE421" t="s">
        <v>8279</v>
      </c>
      <c r="BF421" t="str">
        <f>HYPERLINK("http://dx.doi.org/10.1111/jdv.19454","http://dx.doi.org/10.1111/jdv.19454")</f>
        <v>http://dx.doi.org/10.1111/jdv.19454</v>
      </c>
      <c r="BG421" t="s">
        <v>74</v>
      </c>
      <c r="BH421" t="s">
        <v>7524</v>
      </c>
      <c r="BI421">
        <v>3</v>
      </c>
      <c r="BJ421" t="s">
        <v>2541</v>
      </c>
      <c r="BK421" t="s">
        <v>119</v>
      </c>
      <c r="BL421" t="s">
        <v>2541</v>
      </c>
      <c r="BM421" t="s">
        <v>8280</v>
      </c>
      <c r="BN421">
        <v>37607297</v>
      </c>
      <c r="BO421" t="s">
        <v>301</v>
      </c>
      <c r="BP421" t="s">
        <v>74</v>
      </c>
      <c r="BQ421" t="s">
        <v>74</v>
      </c>
      <c r="BR421" t="s">
        <v>99</v>
      </c>
      <c r="BS421" t="s">
        <v>8281</v>
      </c>
      <c r="BT421" t="str">
        <f>HYPERLINK("https%3A%2F%2Fwww.webofscience.com%2Fwos%2Fwoscc%2Ffull-record%2FWOS:001063818100001","View Full Record in Web of Science")</f>
        <v>View Full Record in Web of Science</v>
      </c>
    </row>
    <row r="422" spans="1:72" x14ac:dyDescent="0.15">
      <c r="A422" t="s">
        <v>72</v>
      </c>
      <c r="B422" t="s">
        <v>8282</v>
      </c>
      <c r="C422" t="s">
        <v>74</v>
      </c>
      <c r="D422" t="s">
        <v>74</v>
      </c>
      <c r="E422" t="s">
        <v>74</v>
      </c>
      <c r="F422" t="s">
        <v>8283</v>
      </c>
      <c r="G422" t="s">
        <v>74</v>
      </c>
      <c r="H422" t="s">
        <v>74</v>
      </c>
      <c r="I422" t="s">
        <v>8284</v>
      </c>
      <c r="J422" t="s">
        <v>3621</v>
      </c>
      <c r="K422" t="s">
        <v>74</v>
      </c>
      <c r="L422" t="s">
        <v>74</v>
      </c>
      <c r="M422" t="s">
        <v>78</v>
      </c>
      <c r="N422" t="s">
        <v>79</v>
      </c>
      <c r="O422" t="s">
        <v>74</v>
      </c>
      <c r="P422" t="s">
        <v>74</v>
      </c>
      <c r="Q422" t="s">
        <v>74</v>
      </c>
      <c r="R422" t="s">
        <v>74</v>
      </c>
      <c r="S422" t="s">
        <v>74</v>
      </c>
      <c r="T422" t="s">
        <v>8285</v>
      </c>
      <c r="U422" t="s">
        <v>8286</v>
      </c>
      <c r="V422" t="s">
        <v>8287</v>
      </c>
      <c r="W422" t="s">
        <v>8288</v>
      </c>
      <c r="X422" t="s">
        <v>74</v>
      </c>
      <c r="Y422" t="s">
        <v>8289</v>
      </c>
      <c r="Z422" t="s">
        <v>8290</v>
      </c>
      <c r="AA422" t="s">
        <v>74</v>
      </c>
      <c r="AB422" t="s">
        <v>8291</v>
      </c>
      <c r="AC422" t="s">
        <v>74</v>
      </c>
      <c r="AD422" t="s">
        <v>74</v>
      </c>
      <c r="AE422" t="s">
        <v>74</v>
      </c>
      <c r="AF422" t="s">
        <v>74</v>
      </c>
      <c r="AG422">
        <v>45</v>
      </c>
      <c r="AH422">
        <v>0</v>
      </c>
      <c r="AI422">
        <v>0</v>
      </c>
      <c r="AJ422">
        <v>0</v>
      </c>
      <c r="AK422">
        <v>0</v>
      </c>
      <c r="AL422" t="s">
        <v>87</v>
      </c>
      <c r="AM422" t="s">
        <v>88</v>
      </c>
      <c r="AN422" t="s">
        <v>89</v>
      </c>
      <c r="AO422" t="s">
        <v>3630</v>
      </c>
      <c r="AP422" t="s">
        <v>74</v>
      </c>
      <c r="AQ422" t="s">
        <v>74</v>
      </c>
      <c r="AR422" t="s">
        <v>3631</v>
      </c>
      <c r="AS422" t="s">
        <v>3632</v>
      </c>
      <c r="AT422" t="s">
        <v>8226</v>
      </c>
      <c r="AU422">
        <v>2023</v>
      </c>
      <c r="AV422" t="s">
        <v>74</v>
      </c>
      <c r="AW422" t="s">
        <v>74</v>
      </c>
      <c r="AX422" t="s">
        <v>74</v>
      </c>
      <c r="AY422" t="s">
        <v>74</v>
      </c>
      <c r="AZ422" t="s">
        <v>74</v>
      </c>
      <c r="BA422" t="s">
        <v>74</v>
      </c>
      <c r="BB422" t="s">
        <v>74</v>
      </c>
      <c r="BC422" t="s">
        <v>74</v>
      </c>
      <c r="BD422" t="s">
        <v>8292</v>
      </c>
      <c r="BE422" t="s">
        <v>8293</v>
      </c>
      <c r="BF422" t="str">
        <f>HYPERLINK("http://dx.doi.org/10.1002/spy2.342","http://dx.doi.org/10.1002/spy2.342")</f>
        <v>http://dx.doi.org/10.1002/spy2.342</v>
      </c>
      <c r="BG422" t="s">
        <v>74</v>
      </c>
      <c r="BH422" t="s">
        <v>74</v>
      </c>
      <c r="BI422">
        <v>14</v>
      </c>
      <c r="BJ422" t="s">
        <v>3635</v>
      </c>
      <c r="BK422" t="s">
        <v>96</v>
      </c>
      <c r="BL422" t="s">
        <v>3636</v>
      </c>
      <c r="BM422" t="s">
        <v>8294</v>
      </c>
      <c r="BN422" t="s">
        <v>74</v>
      </c>
      <c r="BO422" t="s">
        <v>74</v>
      </c>
      <c r="BP422" t="s">
        <v>74</v>
      </c>
      <c r="BQ422" t="s">
        <v>74</v>
      </c>
      <c r="BR422" t="s">
        <v>99</v>
      </c>
      <c r="BS422" t="s">
        <v>8295</v>
      </c>
      <c r="BT422" t="str">
        <f>HYPERLINK("https%3A%2F%2Fwww.webofscience.com%2Fwos%2Fwoscc%2Ffull-record%2FWOS:001057797800001","View Full Record in Web of Science")</f>
        <v>View Full Record in Web of Science</v>
      </c>
    </row>
    <row r="423" spans="1:72" x14ac:dyDescent="0.15">
      <c r="A423" t="s">
        <v>72</v>
      </c>
      <c r="B423" t="s">
        <v>8296</v>
      </c>
      <c r="C423" t="s">
        <v>74</v>
      </c>
      <c r="D423" t="s">
        <v>74</v>
      </c>
      <c r="E423" t="s">
        <v>74</v>
      </c>
      <c r="F423" t="s">
        <v>8297</v>
      </c>
      <c r="G423" t="s">
        <v>74</v>
      </c>
      <c r="H423" t="s">
        <v>74</v>
      </c>
      <c r="I423" t="s">
        <v>8298</v>
      </c>
      <c r="J423" t="s">
        <v>8299</v>
      </c>
      <c r="K423" t="s">
        <v>74</v>
      </c>
      <c r="L423" t="s">
        <v>74</v>
      </c>
      <c r="M423" t="s">
        <v>78</v>
      </c>
      <c r="N423" t="s">
        <v>3392</v>
      </c>
      <c r="O423" t="s">
        <v>74</v>
      </c>
      <c r="P423" t="s">
        <v>74</v>
      </c>
      <c r="Q423" t="s">
        <v>74</v>
      </c>
      <c r="R423" t="s">
        <v>74</v>
      </c>
      <c r="S423" t="s">
        <v>74</v>
      </c>
      <c r="T423" t="s">
        <v>8300</v>
      </c>
      <c r="U423" t="s">
        <v>8301</v>
      </c>
      <c r="V423" t="s">
        <v>8302</v>
      </c>
      <c r="W423" t="s">
        <v>8303</v>
      </c>
      <c r="X423" t="s">
        <v>8304</v>
      </c>
      <c r="Y423" t="s">
        <v>8305</v>
      </c>
      <c r="Z423" t="s">
        <v>8306</v>
      </c>
      <c r="AA423" t="s">
        <v>74</v>
      </c>
      <c r="AB423" t="s">
        <v>8307</v>
      </c>
      <c r="AC423" t="s">
        <v>8308</v>
      </c>
      <c r="AD423" t="s">
        <v>8309</v>
      </c>
      <c r="AE423" t="s">
        <v>8310</v>
      </c>
      <c r="AF423" t="s">
        <v>74</v>
      </c>
      <c r="AG423">
        <v>123</v>
      </c>
      <c r="AH423">
        <v>0</v>
      </c>
      <c r="AI423">
        <v>0</v>
      </c>
      <c r="AJ423">
        <v>1</v>
      </c>
      <c r="AK423">
        <v>1</v>
      </c>
      <c r="AL423" t="s">
        <v>87</v>
      </c>
      <c r="AM423" t="s">
        <v>88</v>
      </c>
      <c r="AN423" t="s">
        <v>89</v>
      </c>
      <c r="AO423" t="s">
        <v>74</v>
      </c>
      <c r="AP423" t="s">
        <v>8311</v>
      </c>
      <c r="AQ423" t="s">
        <v>74</v>
      </c>
      <c r="AR423" t="s">
        <v>8299</v>
      </c>
      <c r="AS423" t="s">
        <v>8312</v>
      </c>
      <c r="AT423" t="s">
        <v>8226</v>
      </c>
      <c r="AU423">
        <v>2023</v>
      </c>
      <c r="AV423" t="s">
        <v>74</v>
      </c>
      <c r="AW423" t="s">
        <v>74</v>
      </c>
      <c r="AX423" t="s">
        <v>74</v>
      </c>
      <c r="AY423" t="s">
        <v>74</v>
      </c>
      <c r="AZ423" t="s">
        <v>74</v>
      </c>
      <c r="BA423" t="s">
        <v>74</v>
      </c>
      <c r="BB423" t="s">
        <v>74</v>
      </c>
      <c r="BC423" t="s">
        <v>74</v>
      </c>
      <c r="BD423" t="s">
        <v>8313</v>
      </c>
      <c r="BE423" t="s">
        <v>8314</v>
      </c>
      <c r="BF423" t="str">
        <f>HYPERLINK("http://dx.doi.org/10.1002/eom2.12408","http://dx.doi.org/10.1002/eom2.12408")</f>
        <v>http://dx.doi.org/10.1002/eom2.12408</v>
      </c>
      <c r="BG423" t="s">
        <v>74</v>
      </c>
      <c r="BH423" t="s">
        <v>74</v>
      </c>
      <c r="BI423">
        <v>26</v>
      </c>
      <c r="BJ423" t="s">
        <v>8315</v>
      </c>
      <c r="BK423" t="s">
        <v>119</v>
      </c>
      <c r="BL423" t="s">
        <v>954</v>
      </c>
      <c r="BM423" t="s">
        <v>8316</v>
      </c>
      <c r="BN423" t="s">
        <v>74</v>
      </c>
      <c r="BO423" t="s">
        <v>234</v>
      </c>
      <c r="BP423" t="s">
        <v>74</v>
      </c>
      <c r="BQ423" t="s">
        <v>74</v>
      </c>
      <c r="BR423" t="s">
        <v>99</v>
      </c>
      <c r="BS423" t="s">
        <v>8317</v>
      </c>
      <c r="BT423" t="str">
        <f>HYPERLINK("https%3A%2F%2Fwww.webofscience.com%2Fwos%2Fwoscc%2Ffull-record%2FWOS:001057246500001","View Full Record in Web of Science")</f>
        <v>View Full Record in Web of Science</v>
      </c>
    </row>
    <row r="424" spans="1:72" x14ac:dyDescent="0.15">
      <c r="A424" t="s">
        <v>72</v>
      </c>
      <c r="B424" t="s">
        <v>8318</v>
      </c>
      <c r="C424" t="s">
        <v>74</v>
      </c>
      <c r="D424" t="s">
        <v>74</v>
      </c>
      <c r="E424" t="s">
        <v>74</v>
      </c>
      <c r="F424" t="s">
        <v>8319</v>
      </c>
      <c r="G424" t="s">
        <v>74</v>
      </c>
      <c r="H424" t="s">
        <v>74</v>
      </c>
      <c r="I424" t="s">
        <v>8320</v>
      </c>
      <c r="J424" t="s">
        <v>593</v>
      </c>
      <c r="K424" t="s">
        <v>74</v>
      </c>
      <c r="L424" t="s">
        <v>74</v>
      </c>
      <c r="M424" t="s">
        <v>78</v>
      </c>
      <c r="N424" t="s">
        <v>79</v>
      </c>
      <c r="O424" t="s">
        <v>74</v>
      </c>
      <c r="P424" t="s">
        <v>74</v>
      </c>
      <c r="Q424" t="s">
        <v>74</v>
      </c>
      <c r="R424" t="s">
        <v>74</v>
      </c>
      <c r="S424" t="s">
        <v>74</v>
      </c>
      <c r="T424" t="s">
        <v>8321</v>
      </c>
      <c r="U424" t="s">
        <v>8322</v>
      </c>
      <c r="V424" t="s">
        <v>8323</v>
      </c>
      <c r="W424" t="s">
        <v>8324</v>
      </c>
      <c r="X424" t="s">
        <v>8325</v>
      </c>
      <c r="Y424" t="s">
        <v>8326</v>
      </c>
      <c r="Z424" t="s">
        <v>8327</v>
      </c>
      <c r="AA424" t="s">
        <v>8328</v>
      </c>
      <c r="AB424" t="s">
        <v>8329</v>
      </c>
      <c r="AC424" t="s">
        <v>8330</v>
      </c>
      <c r="AD424" t="s">
        <v>8331</v>
      </c>
      <c r="AE424" t="s">
        <v>8332</v>
      </c>
      <c r="AF424" t="s">
        <v>74</v>
      </c>
      <c r="AG424">
        <v>25</v>
      </c>
      <c r="AH424">
        <v>0</v>
      </c>
      <c r="AI424">
        <v>0</v>
      </c>
      <c r="AJ424">
        <v>8</v>
      </c>
      <c r="AK424">
        <v>8</v>
      </c>
      <c r="AL424" t="s">
        <v>426</v>
      </c>
      <c r="AM424" t="s">
        <v>427</v>
      </c>
      <c r="AN424" t="s">
        <v>428</v>
      </c>
      <c r="AO424" t="s">
        <v>605</v>
      </c>
      <c r="AP424" t="s">
        <v>606</v>
      </c>
      <c r="AQ424" t="s">
        <v>74</v>
      </c>
      <c r="AR424" t="s">
        <v>593</v>
      </c>
      <c r="AS424" t="s">
        <v>607</v>
      </c>
      <c r="AT424" t="s">
        <v>8226</v>
      </c>
      <c r="AU424">
        <v>2023</v>
      </c>
      <c r="AV424" t="s">
        <v>74</v>
      </c>
      <c r="AW424" t="s">
        <v>74</v>
      </c>
      <c r="AX424" t="s">
        <v>74</v>
      </c>
      <c r="AY424" t="s">
        <v>74</v>
      </c>
      <c r="AZ424" t="s">
        <v>74</v>
      </c>
      <c r="BA424" t="s">
        <v>74</v>
      </c>
      <c r="BB424" t="s">
        <v>74</v>
      </c>
      <c r="BC424" t="s">
        <v>74</v>
      </c>
      <c r="BD424">
        <v>2303855</v>
      </c>
      <c r="BE424" t="s">
        <v>8333</v>
      </c>
      <c r="BF424" t="str">
        <f>HYPERLINK("http://dx.doi.org/10.1002/smll.202303855","http://dx.doi.org/10.1002/smll.202303855")</f>
        <v>http://dx.doi.org/10.1002/smll.202303855</v>
      </c>
      <c r="BG424" t="s">
        <v>74</v>
      </c>
      <c r="BH424" t="s">
        <v>74</v>
      </c>
      <c r="BI424">
        <v>8</v>
      </c>
      <c r="BJ424" t="s">
        <v>609</v>
      </c>
      <c r="BK424" t="s">
        <v>119</v>
      </c>
      <c r="BL424" t="s">
        <v>610</v>
      </c>
      <c r="BM424" t="s">
        <v>8334</v>
      </c>
      <c r="BN424">
        <v>37643376</v>
      </c>
      <c r="BO424" t="s">
        <v>74</v>
      </c>
      <c r="BP424" t="s">
        <v>74</v>
      </c>
      <c r="BQ424" t="s">
        <v>74</v>
      </c>
      <c r="BR424" t="s">
        <v>99</v>
      </c>
      <c r="BS424" t="s">
        <v>8335</v>
      </c>
      <c r="BT424" t="str">
        <f>HYPERLINK("https%3A%2F%2Fwww.webofscience.com%2Fwos%2Fwoscc%2Ffull-record%2FWOS:001057203700001","View Full Record in Web of Science")</f>
        <v>View Full Record in Web of Science</v>
      </c>
    </row>
    <row r="425" spans="1:72" x14ac:dyDescent="0.15">
      <c r="A425" t="s">
        <v>72</v>
      </c>
      <c r="B425" t="s">
        <v>8336</v>
      </c>
      <c r="C425" t="s">
        <v>74</v>
      </c>
      <c r="D425" t="s">
        <v>74</v>
      </c>
      <c r="E425" t="s">
        <v>74</v>
      </c>
      <c r="F425" t="s">
        <v>8337</v>
      </c>
      <c r="G425" t="s">
        <v>74</v>
      </c>
      <c r="H425" t="s">
        <v>74</v>
      </c>
      <c r="I425" t="s">
        <v>8338</v>
      </c>
      <c r="J425" t="s">
        <v>553</v>
      </c>
      <c r="K425" t="s">
        <v>74</v>
      </c>
      <c r="L425" t="s">
        <v>74</v>
      </c>
      <c r="M425" t="s">
        <v>78</v>
      </c>
      <c r="N425" t="s">
        <v>79</v>
      </c>
      <c r="O425" t="s">
        <v>74</v>
      </c>
      <c r="P425" t="s">
        <v>74</v>
      </c>
      <c r="Q425" t="s">
        <v>74</v>
      </c>
      <c r="R425" t="s">
        <v>74</v>
      </c>
      <c r="S425" t="s">
        <v>74</v>
      </c>
      <c r="T425" t="s">
        <v>74</v>
      </c>
      <c r="U425" t="s">
        <v>74</v>
      </c>
      <c r="V425" t="s">
        <v>8339</v>
      </c>
      <c r="W425" t="s">
        <v>8340</v>
      </c>
      <c r="X425" t="s">
        <v>74</v>
      </c>
      <c r="Y425" t="s">
        <v>8341</v>
      </c>
      <c r="Z425" t="s">
        <v>8342</v>
      </c>
      <c r="AA425" t="s">
        <v>74</v>
      </c>
      <c r="AB425" t="s">
        <v>74</v>
      </c>
      <c r="AC425" t="s">
        <v>8343</v>
      </c>
      <c r="AD425" t="s">
        <v>8343</v>
      </c>
      <c r="AE425" t="s">
        <v>8343</v>
      </c>
      <c r="AF425" t="s">
        <v>74</v>
      </c>
      <c r="AG425">
        <v>6</v>
      </c>
      <c r="AH425">
        <v>0</v>
      </c>
      <c r="AI425">
        <v>0</v>
      </c>
      <c r="AJ425">
        <v>0</v>
      </c>
      <c r="AK425">
        <v>0</v>
      </c>
      <c r="AL425" t="s">
        <v>87</v>
      </c>
      <c r="AM425" t="s">
        <v>88</v>
      </c>
      <c r="AN425" t="s">
        <v>89</v>
      </c>
      <c r="AO425" t="s">
        <v>74</v>
      </c>
      <c r="AP425" t="s">
        <v>562</v>
      </c>
      <c r="AQ425" t="s">
        <v>74</v>
      </c>
      <c r="AR425" t="s">
        <v>563</v>
      </c>
      <c r="AS425" t="s">
        <v>564</v>
      </c>
      <c r="AT425" t="s">
        <v>8226</v>
      </c>
      <c r="AU425">
        <v>2023</v>
      </c>
      <c r="AV425" t="s">
        <v>74</v>
      </c>
      <c r="AW425" t="s">
        <v>74</v>
      </c>
      <c r="AX425" t="s">
        <v>74</v>
      </c>
      <c r="AY425" t="s">
        <v>74</v>
      </c>
      <c r="AZ425" t="s">
        <v>74</v>
      </c>
      <c r="BA425" t="s">
        <v>74</v>
      </c>
      <c r="BB425" t="s">
        <v>74</v>
      </c>
      <c r="BC425" t="s">
        <v>74</v>
      </c>
      <c r="BD425" t="s">
        <v>8344</v>
      </c>
      <c r="BE425" t="s">
        <v>8345</v>
      </c>
      <c r="BF425" t="str">
        <f>HYPERLINK("http://dx.doi.org/10.1002/vrc2.710","http://dx.doi.org/10.1002/vrc2.710")</f>
        <v>http://dx.doi.org/10.1002/vrc2.710</v>
      </c>
      <c r="BG425" t="s">
        <v>74</v>
      </c>
      <c r="BH425" t="s">
        <v>74</v>
      </c>
      <c r="BI425">
        <v>4</v>
      </c>
      <c r="BJ425" t="s">
        <v>354</v>
      </c>
      <c r="BK425" t="s">
        <v>96</v>
      </c>
      <c r="BL425" t="s">
        <v>354</v>
      </c>
      <c r="BM425" t="s">
        <v>8346</v>
      </c>
      <c r="BN425" t="s">
        <v>74</v>
      </c>
      <c r="BO425" t="s">
        <v>122</v>
      </c>
      <c r="BP425" t="s">
        <v>74</v>
      </c>
      <c r="BQ425" t="s">
        <v>74</v>
      </c>
      <c r="BR425" t="s">
        <v>99</v>
      </c>
      <c r="BS425" t="s">
        <v>8347</v>
      </c>
      <c r="BT425" t="str">
        <f>HYPERLINK("https%3A%2F%2Fwww.webofscience.com%2Fwos%2Fwoscc%2Ffull-record%2FWOS:001058745500001","View Full Record in Web of Science")</f>
        <v>View Full Record in Web of Science</v>
      </c>
    </row>
    <row r="426" spans="1:72" x14ac:dyDescent="0.15">
      <c r="A426" t="s">
        <v>72</v>
      </c>
      <c r="B426" t="s">
        <v>8348</v>
      </c>
      <c r="C426" t="s">
        <v>74</v>
      </c>
      <c r="D426" t="s">
        <v>74</v>
      </c>
      <c r="E426" t="s">
        <v>74</v>
      </c>
      <c r="F426" t="s">
        <v>8349</v>
      </c>
      <c r="G426" t="s">
        <v>74</v>
      </c>
      <c r="H426" t="s">
        <v>74</v>
      </c>
      <c r="I426" t="s">
        <v>8350</v>
      </c>
      <c r="J426" t="s">
        <v>4967</v>
      </c>
      <c r="K426" t="s">
        <v>74</v>
      </c>
      <c r="L426" t="s">
        <v>74</v>
      </c>
      <c r="M426" t="s">
        <v>78</v>
      </c>
      <c r="N426" t="s">
        <v>79</v>
      </c>
      <c r="O426" t="s">
        <v>74</v>
      </c>
      <c r="P426" t="s">
        <v>74</v>
      </c>
      <c r="Q426" t="s">
        <v>74</v>
      </c>
      <c r="R426" t="s">
        <v>74</v>
      </c>
      <c r="S426" t="s">
        <v>74</v>
      </c>
      <c r="T426" t="s">
        <v>8351</v>
      </c>
      <c r="U426" t="s">
        <v>8352</v>
      </c>
      <c r="V426" t="s">
        <v>8353</v>
      </c>
      <c r="W426" t="s">
        <v>8354</v>
      </c>
      <c r="X426" t="s">
        <v>8355</v>
      </c>
      <c r="Y426" t="s">
        <v>8356</v>
      </c>
      <c r="Z426" t="s">
        <v>8357</v>
      </c>
      <c r="AA426" t="s">
        <v>74</v>
      </c>
      <c r="AB426" t="s">
        <v>74</v>
      </c>
      <c r="AC426" t="s">
        <v>8358</v>
      </c>
      <c r="AD426" t="s">
        <v>8359</v>
      </c>
      <c r="AE426" t="s">
        <v>8360</v>
      </c>
      <c r="AF426" t="s">
        <v>74</v>
      </c>
      <c r="AG426">
        <v>67</v>
      </c>
      <c r="AH426">
        <v>0</v>
      </c>
      <c r="AI426">
        <v>0</v>
      </c>
      <c r="AJ426">
        <v>3</v>
      </c>
      <c r="AK426">
        <v>3</v>
      </c>
      <c r="AL426" t="s">
        <v>426</v>
      </c>
      <c r="AM426" t="s">
        <v>427</v>
      </c>
      <c r="AN426" t="s">
        <v>428</v>
      </c>
      <c r="AO426" t="s">
        <v>4979</v>
      </c>
      <c r="AP426" t="s">
        <v>4980</v>
      </c>
      <c r="AQ426" t="s">
        <v>74</v>
      </c>
      <c r="AR426" t="s">
        <v>4967</v>
      </c>
      <c r="AS426" t="s">
        <v>4981</v>
      </c>
      <c r="AT426" t="s">
        <v>8226</v>
      </c>
      <c r="AU426">
        <v>2023</v>
      </c>
      <c r="AV426" t="s">
        <v>74</v>
      </c>
      <c r="AW426" t="s">
        <v>74</v>
      </c>
      <c r="AX426" t="s">
        <v>74</v>
      </c>
      <c r="AY426" t="s">
        <v>74</v>
      </c>
      <c r="AZ426" t="s">
        <v>74</v>
      </c>
      <c r="BA426" t="s">
        <v>74</v>
      </c>
      <c r="BB426" t="s">
        <v>74</v>
      </c>
      <c r="BC426" t="s">
        <v>74</v>
      </c>
      <c r="BD426" t="s">
        <v>8361</v>
      </c>
      <c r="BE426" t="s">
        <v>8362</v>
      </c>
      <c r="BF426" t="str">
        <f>HYPERLINK("http://dx.doi.org/10.1002/cssc.202300692","http://dx.doi.org/10.1002/cssc.202300692")</f>
        <v>http://dx.doi.org/10.1002/cssc.202300692</v>
      </c>
      <c r="BG426" t="s">
        <v>74</v>
      </c>
      <c r="BH426" t="s">
        <v>74</v>
      </c>
      <c r="BI426">
        <v>16</v>
      </c>
      <c r="BJ426" t="s">
        <v>4983</v>
      </c>
      <c r="BK426" t="s">
        <v>119</v>
      </c>
      <c r="BL426" t="s">
        <v>4984</v>
      </c>
      <c r="BM426" t="s">
        <v>8363</v>
      </c>
      <c r="BN426">
        <v>37385952</v>
      </c>
      <c r="BO426" t="s">
        <v>122</v>
      </c>
      <c r="BP426" t="s">
        <v>74</v>
      </c>
      <c r="BQ426" t="s">
        <v>74</v>
      </c>
      <c r="BR426" t="s">
        <v>99</v>
      </c>
      <c r="BS426" t="s">
        <v>8364</v>
      </c>
      <c r="BT426" t="str">
        <f>HYPERLINK("https%3A%2F%2Fwww.webofscience.com%2Fwos%2Fwoscc%2Ffull-record%2FWOS:001056937900001","View Full Record in Web of Science")</f>
        <v>View Full Record in Web of Science</v>
      </c>
    </row>
    <row r="427" spans="1:72" x14ac:dyDescent="0.15">
      <c r="A427" t="s">
        <v>72</v>
      </c>
      <c r="B427" t="s">
        <v>8365</v>
      </c>
      <c r="C427" t="s">
        <v>74</v>
      </c>
      <c r="D427" t="s">
        <v>74</v>
      </c>
      <c r="E427" t="s">
        <v>74</v>
      </c>
      <c r="F427" t="s">
        <v>8366</v>
      </c>
      <c r="G427" t="s">
        <v>74</v>
      </c>
      <c r="H427" t="s">
        <v>74</v>
      </c>
      <c r="I427" t="s">
        <v>8367</v>
      </c>
      <c r="J427" t="s">
        <v>5513</v>
      </c>
      <c r="K427" t="s">
        <v>74</v>
      </c>
      <c r="L427" t="s">
        <v>74</v>
      </c>
      <c r="M427" t="s">
        <v>78</v>
      </c>
      <c r="N427" t="s">
        <v>1297</v>
      </c>
      <c r="O427" t="s">
        <v>74</v>
      </c>
      <c r="P427" t="s">
        <v>74</v>
      </c>
      <c r="Q427" t="s">
        <v>74</v>
      </c>
      <c r="R427" t="s">
        <v>74</v>
      </c>
      <c r="S427" t="s">
        <v>74</v>
      </c>
      <c r="T427" t="s">
        <v>74</v>
      </c>
      <c r="U427" t="s">
        <v>74</v>
      </c>
      <c r="V427" t="s">
        <v>74</v>
      </c>
      <c r="W427" t="s">
        <v>8368</v>
      </c>
      <c r="X427" t="s">
        <v>8369</v>
      </c>
      <c r="Y427" t="s">
        <v>8370</v>
      </c>
      <c r="Z427" t="s">
        <v>8371</v>
      </c>
      <c r="AA427" t="s">
        <v>8372</v>
      </c>
      <c r="AB427" t="s">
        <v>8373</v>
      </c>
      <c r="AC427" t="s">
        <v>74</v>
      </c>
      <c r="AD427" t="s">
        <v>74</v>
      </c>
      <c r="AE427" t="s">
        <v>74</v>
      </c>
      <c r="AF427" t="s">
        <v>74</v>
      </c>
      <c r="AG427">
        <v>14</v>
      </c>
      <c r="AH427">
        <v>0</v>
      </c>
      <c r="AI427">
        <v>0</v>
      </c>
      <c r="AJ427">
        <v>0</v>
      </c>
      <c r="AK427">
        <v>0</v>
      </c>
      <c r="AL427" t="s">
        <v>87</v>
      </c>
      <c r="AM427" t="s">
        <v>88</v>
      </c>
      <c r="AN427" t="s">
        <v>89</v>
      </c>
      <c r="AO427" t="s">
        <v>5518</v>
      </c>
      <c r="AP427" t="s">
        <v>5519</v>
      </c>
      <c r="AQ427" t="s">
        <v>74</v>
      </c>
      <c r="AR427" t="s">
        <v>5520</v>
      </c>
      <c r="AS427" t="s">
        <v>5521</v>
      </c>
      <c r="AT427" t="s">
        <v>8139</v>
      </c>
      <c r="AU427">
        <v>2023</v>
      </c>
      <c r="AV427" t="s">
        <v>74</v>
      </c>
      <c r="AW427" t="s">
        <v>74</v>
      </c>
      <c r="AX427" t="s">
        <v>74</v>
      </c>
      <c r="AY427" t="s">
        <v>74</v>
      </c>
      <c r="AZ427" t="s">
        <v>74</v>
      </c>
      <c r="BA427" t="s">
        <v>74</v>
      </c>
      <c r="BB427" t="s">
        <v>74</v>
      </c>
      <c r="BC427" t="s">
        <v>74</v>
      </c>
      <c r="BD427" t="s">
        <v>74</v>
      </c>
      <c r="BE427" t="s">
        <v>8374</v>
      </c>
      <c r="BF427" t="str">
        <f>HYPERLINK("http://dx.doi.org/10.1002/ejhf.3002","http://dx.doi.org/10.1002/ejhf.3002")</f>
        <v>http://dx.doi.org/10.1002/ejhf.3002</v>
      </c>
      <c r="BG427" t="s">
        <v>74</v>
      </c>
      <c r="BH427" t="s">
        <v>7524</v>
      </c>
      <c r="BI427">
        <v>3</v>
      </c>
      <c r="BJ427" t="s">
        <v>1849</v>
      </c>
      <c r="BK427" t="s">
        <v>119</v>
      </c>
      <c r="BL427" t="s">
        <v>1850</v>
      </c>
      <c r="BM427" t="s">
        <v>8375</v>
      </c>
      <c r="BN427">
        <v>37608510</v>
      </c>
      <c r="BO427" t="s">
        <v>74</v>
      </c>
      <c r="BP427" t="s">
        <v>74</v>
      </c>
      <c r="BQ427" t="s">
        <v>74</v>
      </c>
      <c r="BR427" t="s">
        <v>99</v>
      </c>
      <c r="BS427" t="s">
        <v>8376</v>
      </c>
      <c r="BT427" t="str">
        <f>HYPERLINK("https%3A%2F%2Fwww.webofscience.com%2Fwos%2Fwoscc%2Ffull-record%2FWOS:001063809100001","View Full Record in Web of Science")</f>
        <v>View Full Record in Web of Science</v>
      </c>
    </row>
    <row r="428" spans="1:72" x14ac:dyDescent="0.15">
      <c r="A428" t="s">
        <v>72</v>
      </c>
      <c r="B428" t="s">
        <v>8377</v>
      </c>
      <c r="C428" t="s">
        <v>74</v>
      </c>
      <c r="D428" t="s">
        <v>74</v>
      </c>
      <c r="E428" t="s">
        <v>74</v>
      </c>
      <c r="F428" t="s">
        <v>8378</v>
      </c>
      <c r="G428" t="s">
        <v>74</v>
      </c>
      <c r="H428" t="s">
        <v>74</v>
      </c>
      <c r="I428" t="s">
        <v>8379</v>
      </c>
      <c r="J428" t="s">
        <v>8380</v>
      </c>
      <c r="K428" t="s">
        <v>74</v>
      </c>
      <c r="L428" t="s">
        <v>74</v>
      </c>
      <c r="M428" t="s">
        <v>78</v>
      </c>
      <c r="N428" t="s">
        <v>3392</v>
      </c>
      <c r="O428" t="s">
        <v>74</v>
      </c>
      <c r="P428" t="s">
        <v>74</v>
      </c>
      <c r="Q428" t="s">
        <v>74</v>
      </c>
      <c r="R428" t="s">
        <v>74</v>
      </c>
      <c r="S428" t="s">
        <v>74</v>
      </c>
      <c r="T428" t="s">
        <v>8381</v>
      </c>
      <c r="U428" t="s">
        <v>8382</v>
      </c>
      <c r="V428" t="s">
        <v>8383</v>
      </c>
      <c r="W428" t="s">
        <v>8384</v>
      </c>
      <c r="X428" t="s">
        <v>8385</v>
      </c>
      <c r="Y428" t="s">
        <v>8386</v>
      </c>
      <c r="Z428" t="s">
        <v>8387</v>
      </c>
      <c r="AA428" t="s">
        <v>8388</v>
      </c>
      <c r="AB428" t="s">
        <v>8389</v>
      </c>
      <c r="AC428" t="s">
        <v>8390</v>
      </c>
      <c r="AD428" t="s">
        <v>8391</v>
      </c>
      <c r="AE428" t="s">
        <v>8392</v>
      </c>
      <c r="AF428" t="s">
        <v>74</v>
      </c>
      <c r="AG428">
        <v>250</v>
      </c>
      <c r="AH428">
        <v>0</v>
      </c>
      <c r="AI428">
        <v>0</v>
      </c>
      <c r="AJ428">
        <v>7</v>
      </c>
      <c r="AK428">
        <v>7</v>
      </c>
      <c r="AL428" t="s">
        <v>87</v>
      </c>
      <c r="AM428" t="s">
        <v>88</v>
      </c>
      <c r="AN428" t="s">
        <v>89</v>
      </c>
      <c r="AO428" t="s">
        <v>74</v>
      </c>
      <c r="AP428" t="s">
        <v>8393</v>
      </c>
      <c r="AQ428" t="s">
        <v>74</v>
      </c>
      <c r="AR428" t="s">
        <v>8394</v>
      </c>
      <c r="AS428" t="s">
        <v>8395</v>
      </c>
      <c r="AT428" t="s">
        <v>8226</v>
      </c>
      <c r="AU428">
        <v>2023</v>
      </c>
      <c r="AV428" t="s">
        <v>74</v>
      </c>
      <c r="AW428" t="s">
        <v>74</v>
      </c>
      <c r="AX428" t="s">
        <v>74</v>
      </c>
      <c r="AY428" t="s">
        <v>74</v>
      </c>
      <c r="AZ428" t="s">
        <v>74</v>
      </c>
      <c r="BA428" t="s">
        <v>74</v>
      </c>
      <c r="BB428" t="s">
        <v>74</v>
      </c>
      <c r="BC428" t="s">
        <v>74</v>
      </c>
      <c r="BD428">
        <v>2300189</v>
      </c>
      <c r="BE428" t="s">
        <v>8396</v>
      </c>
      <c r="BF428" t="str">
        <f>HYPERLINK("http://dx.doi.org/10.1002/qute.202300189","http://dx.doi.org/10.1002/qute.202300189")</f>
        <v>http://dx.doi.org/10.1002/qute.202300189</v>
      </c>
      <c r="BG428" t="s">
        <v>74</v>
      </c>
      <c r="BH428" t="s">
        <v>74</v>
      </c>
      <c r="BI428">
        <v>25</v>
      </c>
      <c r="BJ428" t="s">
        <v>8397</v>
      </c>
      <c r="BK428" t="s">
        <v>119</v>
      </c>
      <c r="BL428" t="s">
        <v>8398</v>
      </c>
      <c r="BM428" t="s">
        <v>8399</v>
      </c>
      <c r="BN428" t="s">
        <v>74</v>
      </c>
      <c r="BO428" t="s">
        <v>74</v>
      </c>
      <c r="BP428" t="s">
        <v>74</v>
      </c>
      <c r="BQ428" t="s">
        <v>74</v>
      </c>
      <c r="BR428" t="s">
        <v>99</v>
      </c>
      <c r="BS428" t="s">
        <v>8400</v>
      </c>
      <c r="BT428" t="str">
        <f>HYPERLINK("https%3A%2F%2Fwww.webofscience.com%2Fwos%2Fwoscc%2Ffull-record%2FWOS:001057227300001","View Full Record in Web of Science")</f>
        <v>View Full Record in Web of Science</v>
      </c>
    </row>
    <row r="429" spans="1:72" x14ac:dyDescent="0.15">
      <c r="A429" t="s">
        <v>72</v>
      </c>
      <c r="B429" t="s">
        <v>8401</v>
      </c>
      <c r="C429" t="s">
        <v>74</v>
      </c>
      <c r="D429" t="s">
        <v>74</v>
      </c>
      <c r="E429" t="s">
        <v>74</v>
      </c>
      <c r="F429" t="s">
        <v>8402</v>
      </c>
      <c r="G429" t="s">
        <v>74</v>
      </c>
      <c r="H429" t="s">
        <v>74</v>
      </c>
      <c r="I429" t="s">
        <v>8403</v>
      </c>
      <c r="J429" t="s">
        <v>1001</v>
      </c>
      <c r="K429" t="s">
        <v>74</v>
      </c>
      <c r="L429" t="s">
        <v>74</v>
      </c>
      <c r="M429" t="s">
        <v>78</v>
      </c>
      <c r="N429" t="s">
        <v>79</v>
      </c>
      <c r="O429" t="s">
        <v>74</v>
      </c>
      <c r="P429" t="s">
        <v>74</v>
      </c>
      <c r="Q429" t="s">
        <v>74</v>
      </c>
      <c r="R429" t="s">
        <v>74</v>
      </c>
      <c r="S429" t="s">
        <v>74</v>
      </c>
      <c r="T429" t="s">
        <v>8404</v>
      </c>
      <c r="U429" t="s">
        <v>8405</v>
      </c>
      <c r="V429" t="s">
        <v>8406</v>
      </c>
      <c r="W429" t="s">
        <v>8407</v>
      </c>
      <c r="X429" t="s">
        <v>8408</v>
      </c>
      <c r="Y429" t="s">
        <v>8409</v>
      </c>
      <c r="Z429" t="s">
        <v>8410</v>
      </c>
      <c r="AA429" t="s">
        <v>74</v>
      </c>
      <c r="AB429" t="s">
        <v>74</v>
      </c>
      <c r="AC429" t="s">
        <v>8411</v>
      </c>
      <c r="AD429" t="s">
        <v>8412</v>
      </c>
      <c r="AE429" t="s">
        <v>8413</v>
      </c>
      <c r="AF429" t="s">
        <v>74</v>
      </c>
      <c r="AG429">
        <v>55</v>
      </c>
      <c r="AH429">
        <v>0</v>
      </c>
      <c r="AI429">
        <v>0</v>
      </c>
      <c r="AJ429">
        <v>12</v>
      </c>
      <c r="AK429">
        <v>12</v>
      </c>
      <c r="AL429" t="s">
        <v>426</v>
      </c>
      <c r="AM429" t="s">
        <v>427</v>
      </c>
      <c r="AN429" t="s">
        <v>428</v>
      </c>
      <c r="AO429" t="s">
        <v>1014</v>
      </c>
      <c r="AP429" t="s">
        <v>1015</v>
      </c>
      <c r="AQ429" t="s">
        <v>74</v>
      </c>
      <c r="AR429" t="s">
        <v>1016</v>
      </c>
      <c r="AS429" t="s">
        <v>1017</v>
      </c>
      <c r="AT429" t="s">
        <v>8226</v>
      </c>
      <c r="AU429">
        <v>2023</v>
      </c>
      <c r="AV429" t="s">
        <v>74</v>
      </c>
      <c r="AW429" t="s">
        <v>74</v>
      </c>
      <c r="AX429" t="s">
        <v>74</v>
      </c>
      <c r="AY429" t="s">
        <v>74</v>
      </c>
      <c r="AZ429" t="s">
        <v>74</v>
      </c>
      <c r="BA429" t="s">
        <v>74</v>
      </c>
      <c r="BB429" t="s">
        <v>74</v>
      </c>
      <c r="BC429" t="s">
        <v>74</v>
      </c>
      <c r="BD429" t="s">
        <v>8414</v>
      </c>
      <c r="BE429" t="s">
        <v>8415</v>
      </c>
      <c r="BF429" t="str">
        <f>HYPERLINK("http://dx.doi.org/10.1002/anie.202310917","http://dx.doi.org/10.1002/anie.202310917")</f>
        <v>http://dx.doi.org/10.1002/anie.202310917</v>
      </c>
      <c r="BG429" t="s">
        <v>74</v>
      </c>
      <c r="BH429" t="s">
        <v>74</v>
      </c>
      <c r="BI429">
        <v>7</v>
      </c>
      <c r="BJ429" t="s">
        <v>523</v>
      </c>
      <c r="BK429" t="s">
        <v>119</v>
      </c>
      <c r="BL429" t="s">
        <v>524</v>
      </c>
      <c r="BM429" t="s">
        <v>8416</v>
      </c>
      <c r="BN429">
        <v>37602680</v>
      </c>
      <c r="BO429" t="s">
        <v>74</v>
      </c>
      <c r="BP429" t="s">
        <v>74</v>
      </c>
      <c r="BQ429" t="s">
        <v>74</v>
      </c>
      <c r="BR429" t="s">
        <v>99</v>
      </c>
      <c r="BS429" t="s">
        <v>8417</v>
      </c>
      <c r="BT429" t="str">
        <f>HYPERLINK("https%3A%2F%2Fwww.webofscience.com%2Fwos%2Fwoscc%2Ffull-record%2FWOS:001057229800001","View Full Record in Web of Science")</f>
        <v>View Full Record in Web of Science</v>
      </c>
    </row>
    <row r="430" spans="1:72" x14ac:dyDescent="0.15">
      <c r="A430" t="s">
        <v>72</v>
      </c>
      <c r="B430" t="s">
        <v>8418</v>
      </c>
      <c r="C430" t="s">
        <v>74</v>
      </c>
      <c r="D430" t="s">
        <v>74</v>
      </c>
      <c r="E430" t="s">
        <v>74</v>
      </c>
      <c r="F430" t="s">
        <v>8419</v>
      </c>
      <c r="G430" t="s">
        <v>74</v>
      </c>
      <c r="H430" t="s">
        <v>74</v>
      </c>
      <c r="I430" t="s">
        <v>8420</v>
      </c>
      <c r="J430" t="s">
        <v>8421</v>
      </c>
      <c r="K430" t="s">
        <v>74</v>
      </c>
      <c r="L430" t="s">
        <v>74</v>
      </c>
      <c r="M430" t="s">
        <v>78</v>
      </c>
      <c r="N430" t="s">
        <v>594</v>
      </c>
      <c r="O430" t="s">
        <v>74</v>
      </c>
      <c r="P430" t="s">
        <v>74</v>
      </c>
      <c r="Q430" t="s">
        <v>74</v>
      </c>
      <c r="R430" t="s">
        <v>74</v>
      </c>
      <c r="S430" t="s">
        <v>74</v>
      </c>
      <c r="T430" t="s">
        <v>8422</v>
      </c>
      <c r="U430" t="s">
        <v>8423</v>
      </c>
      <c r="V430" t="s">
        <v>8424</v>
      </c>
      <c r="W430" t="s">
        <v>8425</v>
      </c>
      <c r="X430" t="s">
        <v>8426</v>
      </c>
      <c r="Y430" t="s">
        <v>8427</v>
      </c>
      <c r="Z430" t="s">
        <v>8428</v>
      </c>
      <c r="AA430" t="s">
        <v>74</v>
      </c>
      <c r="AB430" t="s">
        <v>74</v>
      </c>
      <c r="AC430" t="s">
        <v>8429</v>
      </c>
      <c r="AD430" t="s">
        <v>8430</v>
      </c>
      <c r="AE430" t="s">
        <v>8431</v>
      </c>
      <c r="AF430" t="s">
        <v>74</v>
      </c>
      <c r="AG430">
        <v>42</v>
      </c>
      <c r="AH430">
        <v>0</v>
      </c>
      <c r="AI430">
        <v>0</v>
      </c>
      <c r="AJ430">
        <v>4</v>
      </c>
      <c r="AK430">
        <v>4</v>
      </c>
      <c r="AL430" t="s">
        <v>87</v>
      </c>
      <c r="AM430" t="s">
        <v>88</v>
      </c>
      <c r="AN430" t="s">
        <v>89</v>
      </c>
      <c r="AO430" t="s">
        <v>8432</v>
      </c>
      <c r="AP430" t="s">
        <v>8433</v>
      </c>
      <c r="AQ430" t="s">
        <v>74</v>
      </c>
      <c r="AR430" t="s">
        <v>8434</v>
      </c>
      <c r="AS430" t="s">
        <v>8435</v>
      </c>
      <c r="AT430" t="s">
        <v>8139</v>
      </c>
      <c r="AU430">
        <v>2023</v>
      </c>
      <c r="AV430" t="s">
        <v>74</v>
      </c>
      <c r="AW430" t="s">
        <v>74</v>
      </c>
      <c r="AX430" t="s">
        <v>74</v>
      </c>
      <c r="AY430" t="s">
        <v>74</v>
      </c>
      <c r="AZ430" t="s">
        <v>74</v>
      </c>
      <c r="BA430" t="s">
        <v>74</v>
      </c>
      <c r="BB430" t="s">
        <v>74</v>
      </c>
      <c r="BC430" t="s">
        <v>74</v>
      </c>
      <c r="BD430" t="s">
        <v>74</v>
      </c>
      <c r="BE430" t="s">
        <v>8436</v>
      </c>
      <c r="BF430" t="str">
        <f>HYPERLINK("http://dx.doi.org/10.1002/jcp.31107","http://dx.doi.org/10.1002/jcp.31107")</f>
        <v>http://dx.doi.org/10.1002/jcp.31107</v>
      </c>
      <c r="BG430" t="s">
        <v>74</v>
      </c>
      <c r="BH430" t="s">
        <v>7524</v>
      </c>
      <c r="BI430">
        <v>15</v>
      </c>
      <c r="BJ430" t="s">
        <v>8437</v>
      </c>
      <c r="BK430" t="s">
        <v>119</v>
      </c>
      <c r="BL430" t="s">
        <v>8437</v>
      </c>
      <c r="BM430" t="s">
        <v>8438</v>
      </c>
      <c r="BN430">
        <v>37642377</v>
      </c>
      <c r="BO430" t="s">
        <v>74</v>
      </c>
      <c r="BP430" t="s">
        <v>74</v>
      </c>
      <c r="BQ430" t="s">
        <v>74</v>
      </c>
      <c r="BR430" t="s">
        <v>99</v>
      </c>
      <c r="BS430" t="s">
        <v>8439</v>
      </c>
      <c r="BT430" t="str">
        <f>HYPERLINK("https%3A%2F%2Fwww.webofscience.com%2Fwos%2Fwoscc%2Ffull-record%2FWOS:001061790900001","View Full Record in Web of Science")</f>
        <v>View Full Record in Web of Science</v>
      </c>
    </row>
    <row r="431" spans="1:72" x14ac:dyDescent="0.15">
      <c r="A431" t="s">
        <v>72</v>
      </c>
      <c r="B431" t="s">
        <v>8440</v>
      </c>
      <c r="C431" t="s">
        <v>74</v>
      </c>
      <c r="D431" t="s">
        <v>74</v>
      </c>
      <c r="E431" t="s">
        <v>74</v>
      </c>
      <c r="F431" t="s">
        <v>8441</v>
      </c>
      <c r="G431" t="s">
        <v>74</v>
      </c>
      <c r="H431" t="s">
        <v>74</v>
      </c>
      <c r="I431" t="s">
        <v>8442</v>
      </c>
      <c r="J431" t="s">
        <v>1001</v>
      </c>
      <c r="K431" t="s">
        <v>74</v>
      </c>
      <c r="L431" t="s">
        <v>74</v>
      </c>
      <c r="M431" t="s">
        <v>78</v>
      </c>
      <c r="N431" t="s">
        <v>79</v>
      </c>
      <c r="O431" t="s">
        <v>74</v>
      </c>
      <c r="P431" t="s">
        <v>74</v>
      </c>
      <c r="Q431" t="s">
        <v>74</v>
      </c>
      <c r="R431" t="s">
        <v>74</v>
      </c>
      <c r="S431" t="s">
        <v>74</v>
      </c>
      <c r="T431" t="s">
        <v>8443</v>
      </c>
      <c r="U431" t="s">
        <v>8444</v>
      </c>
      <c r="V431" t="s">
        <v>8445</v>
      </c>
      <c r="W431" t="s">
        <v>8446</v>
      </c>
      <c r="X431" t="s">
        <v>8447</v>
      </c>
      <c r="Y431" t="s">
        <v>8448</v>
      </c>
      <c r="Z431" t="s">
        <v>8449</v>
      </c>
      <c r="AA431" t="s">
        <v>74</v>
      </c>
      <c r="AB431" t="s">
        <v>8450</v>
      </c>
      <c r="AC431" t="s">
        <v>8451</v>
      </c>
      <c r="AD431" t="s">
        <v>8452</v>
      </c>
      <c r="AE431" t="s">
        <v>8453</v>
      </c>
      <c r="AF431" t="s">
        <v>74</v>
      </c>
      <c r="AG431">
        <v>81</v>
      </c>
      <c r="AH431">
        <v>0</v>
      </c>
      <c r="AI431">
        <v>0</v>
      </c>
      <c r="AJ431">
        <v>28</v>
      </c>
      <c r="AK431">
        <v>28</v>
      </c>
      <c r="AL431" t="s">
        <v>426</v>
      </c>
      <c r="AM431" t="s">
        <v>427</v>
      </c>
      <c r="AN431" t="s">
        <v>428</v>
      </c>
      <c r="AO431" t="s">
        <v>1014</v>
      </c>
      <c r="AP431" t="s">
        <v>1015</v>
      </c>
      <c r="AQ431" t="s">
        <v>74</v>
      </c>
      <c r="AR431" t="s">
        <v>1016</v>
      </c>
      <c r="AS431" t="s">
        <v>1017</v>
      </c>
      <c r="AT431" t="s">
        <v>8226</v>
      </c>
      <c r="AU431">
        <v>2023</v>
      </c>
      <c r="AV431" t="s">
        <v>74</v>
      </c>
      <c r="AW431" t="s">
        <v>74</v>
      </c>
      <c r="AX431" t="s">
        <v>74</v>
      </c>
      <c r="AY431" t="s">
        <v>74</v>
      </c>
      <c r="AZ431" t="s">
        <v>74</v>
      </c>
      <c r="BA431" t="s">
        <v>74</v>
      </c>
      <c r="BB431" t="s">
        <v>74</v>
      </c>
      <c r="BC431" t="s">
        <v>74</v>
      </c>
      <c r="BD431" t="s">
        <v>8454</v>
      </c>
      <c r="BE431" t="s">
        <v>8455</v>
      </c>
      <c r="BF431" t="str">
        <f>HYPERLINK("http://dx.doi.org/10.1002/anie.202307880","http://dx.doi.org/10.1002/anie.202307880")</f>
        <v>http://dx.doi.org/10.1002/anie.202307880</v>
      </c>
      <c r="BG431" t="s">
        <v>74</v>
      </c>
      <c r="BH431" t="s">
        <v>74</v>
      </c>
      <c r="BI431">
        <v>12</v>
      </c>
      <c r="BJ431" t="s">
        <v>523</v>
      </c>
      <c r="BK431" t="s">
        <v>119</v>
      </c>
      <c r="BL431" t="s">
        <v>524</v>
      </c>
      <c r="BM431" t="s">
        <v>8456</v>
      </c>
      <c r="BN431">
        <v>37584605</v>
      </c>
      <c r="BO431" t="s">
        <v>301</v>
      </c>
      <c r="BP431" t="s">
        <v>74</v>
      </c>
      <c r="BQ431" t="s">
        <v>74</v>
      </c>
      <c r="BR431" t="s">
        <v>99</v>
      </c>
      <c r="BS431" t="s">
        <v>8457</v>
      </c>
      <c r="BT431" t="str">
        <f>HYPERLINK("https%3A%2F%2Fwww.webofscience.com%2Fwos%2Fwoscc%2Ffull-record%2FWOS:001057192900001","View Full Record in Web of Science")</f>
        <v>View Full Record in Web of Science</v>
      </c>
    </row>
    <row r="432" spans="1:72" x14ac:dyDescent="0.15">
      <c r="A432" t="s">
        <v>72</v>
      </c>
      <c r="B432" t="s">
        <v>8458</v>
      </c>
      <c r="C432" t="s">
        <v>74</v>
      </c>
      <c r="D432" t="s">
        <v>74</v>
      </c>
      <c r="E432" t="s">
        <v>74</v>
      </c>
      <c r="F432" t="s">
        <v>8459</v>
      </c>
      <c r="G432" t="s">
        <v>74</v>
      </c>
      <c r="H432" t="s">
        <v>74</v>
      </c>
      <c r="I432" t="s">
        <v>8460</v>
      </c>
      <c r="J432" t="s">
        <v>8461</v>
      </c>
      <c r="K432" t="s">
        <v>74</v>
      </c>
      <c r="L432" t="s">
        <v>74</v>
      </c>
      <c r="M432" t="s">
        <v>78</v>
      </c>
      <c r="N432" t="s">
        <v>79</v>
      </c>
      <c r="O432" t="s">
        <v>74</v>
      </c>
      <c r="P432" t="s">
        <v>74</v>
      </c>
      <c r="Q432" t="s">
        <v>74</v>
      </c>
      <c r="R432" t="s">
        <v>74</v>
      </c>
      <c r="S432" t="s">
        <v>74</v>
      </c>
      <c r="T432" t="s">
        <v>8462</v>
      </c>
      <c r="U432" t="s">
        <v>8463</v>
      </c>
      <c r="V432" t="s">
        <v>8464</v>
      </c>
      <c r="W432" t="s">
        <v>8465</v>
      </c>
      <c r="X432" t="s">
        <v>8466</v>
      </c>
      <c r="Y432" t="s">
        <v>8467</v>
      </c>
      <c r="Z432" t="s">
        <v>8468</v>
      </c>
      <c r="AA432" t="s">
        <v>8469</v>
      </c>
      <c r="AB432" t="s">
        <v>8470</v>
      </c>
      <c r="AC432" t="s">
        <v>8471</v>
      </c>
      <c r="AD432" t="s">
        <v>8472</v>
      </c>
      <c r="AE432" t="s">
        <v>8473</v>
      </c>
      <c r="AF432" t="s">
        <v>74</v>
      </c>
      <c r="AG432">
        <v>49</v>
      </c>
      <c r="AH432">
        <v>0</v>
      </c>
      <c r="AI432">
        <v>0</v>
      </c>
      <c r="AJ432">
        <v>3</v>
      </c>
      <c r="AK432">
        <v>3</v>
      </c>
      <c r="AL432" t="s">
        <v>87</v>
      </c>
      <c r="AM432" t="s">
        <v>88</v>
      </c>
      <c r="AN432" t="s">
        <v>89</v>
      </c>
      <c r="AO432" t="s">
        <v>8474</v>
      </c>
      <c r="AP432" t="s">
        <v>8475</v>
      </c>
      <c r="AQ432" t="s">
        <v>74</v>
      </c>
      <c r="AR432" t="s">
        <v>8476</v>
      </c>
      <c r="AS432" t="s">
        <v>8477</v>
      </c>
      <c r="AT432" t="s">
        <v>8478</v>
      </c>
      <c r="AU432">
        <v>2023</v>
      </c>
      <c r="AV432" t="s">
        <v>74</v>
      </c>
      <c r="AW432" t="s">
        <v>74</v>
      </c>
      <c r="AX432" t="s">
        <v>74</v>
      </c>
      <c r="AY432" t="s">
        <v>74</v>
      </c>
      <c r="AZ432" t="s">
        <v>74</v>
      </c>
      <c r="BA432" t="s">
        <v>74</v>
      </c>
      <c r="BB432" t="s">
        <v>74</v>
      </c>
      <c r="BC432" t="s">
        <v>74</v>
      </c>
      <c r="BD432" t="s">
        <v>8479</v>
      </c>
      <c r="BE432" t="s">
        <v>8480</v>
      </c>
      <c r="BF432" t="str">
        <f>HYPERLINK("http://dx.doi.org/10.1002/bdm.2349","http://dx.doi.org/10.1002/bdm.2349")</f>
        <v>http://dx.doi.org/10.1002/bdm.2349</v>
      </c>
      <c r="BG432" t="s">
        <v>74</v>
      </c>
      <c r="BH432" t="s">
        <v>74</v>
      </c>
      <c r="BI432">
        <v>29</v>
      </c>
      <c r="BJ432" t="s">
        <v>8481</v>
      </c>
      <c r="BK432" t="s">
        <v>546</v>
      </c>
      <c r="BL432" t="s">
        <v>1210</v>
      </c>
      <c r="BM432" t="s">
        <v>8482</v>
      </c>
      <c r="BN432" t="s">
        <v>74</v>
      </c>
      <c r="BO432" t="s">
        <v>122</v>
      </c>
      <c r="BP432" t="s">
        <v>74</v>
      </c>
      <c r="BQ432" t="s">
        <v>74</v>
      </c>
      <c r="BR432" t="s">
        <v>99</v>
      </c>
      <c r="BS432" t="s">
        <v>8483</v>
      </c>
      <c r="BT432" t="str">
        <f>HYPERLINK("https%3A%2F%2Fwww.webofscience.com%2Fwos%2Fwoscc%2Ffull-record%2FWOS:001057468800001","View Full Record in Web of Science")</f>
        <v>View Full Record in Web of Science</v>
      </c>
    </row>
    <row r="433" spans="1:72" x14ac:dyDescent="0.15">
      <c r="A433" t="s">
        <v>72</v>
      </c>
      <c r="B433" t="s">
        <v>8484</v>
      </c>
      <c r="C433" t="s">
        <v>74</v>
      </c>
      <c r="D433" t="s">
        <v>74</v>
      </c>
      <c r="E433" t="s">
        <v>74</v>
      </c>
      <c r="F433" t="s">
        <v>8485</v>
      </c>
      <c r="G433" t="s">
        <v>74</v>
      </c>
      <c r="H433" t="s">
        <v>74</v>
      </c>
      <c r="I433" t="s">
        <v>8486</v>
      </c>
      <c r="J433" t="s">
        <v>875</v>
      </c>
      <c r="K433" t="s">
        <v>74</v>
      </c>
      <c r="L433" t="s">
        <v>74</v>
      </c>
      <c r="M433" t="s">
        <v>78</v>
      </c>
      <c r="N433" t="s">
        <v>79</v>
      </c>
      <c r="O433" t="s">
        <v>74</v>
      </c>
      <c r="P433" t="s">
        <v>74</v>
      </c>
      <c r="Q433" t="s">
        <v>74</v>
      </c>
      <c r="R433" t="s">
        <v>74</v>
      </c>
      <c r="S433" t="s">
        <v>74</v>
      </c>
      <c r="T433" t="s">
        <v>8487</v>
      </c>
      <c r="U433" t="s">
        <v>8488</v>
      </c>
      <c r="V433" t="s">
        <v>8489</v>
      </c>
      <c r="W433" t="s">
        <v>8490</v>
      </c>
      <c r="X433" t="s">
        <v>8491</v>
      </c>
      <c r="Y433" t="s">
        <v>8492</v>
      </c>
      <c r="Z433" t="s">
        <v>8493</v>
      </c>
      <c r="AA433" t="s">
        <v>8494</v>
      </c>
      <c r="AB433" t="s">
        <v>8495</v>
      </c>
      <c r="AC433" t="s">
        <v>8496</v>
      </c>
      <c r="AD433" t="s">
        <v>8497</v>
      </c>
      <c r="AE433" t="s">
        <v>8498</v>
      </c>
      <c r="AF433" t="s">
        <v>74</v>
      </c>
      <c r="AG433">
        <v>93</v>
      </c>
      <c r="AH433">
        <v>0</v>
      </c>
      <c r="AI433">
        <v>0</v>
      </c>
      <c r="AJ433">
        <v>5</v>
      </c>
      <c r="AK433">
        <v>5</v>
      </c>
      <c r="AL433" t="s">
        <v>426</v>
      </c>
      <c r="AM433" t="s">
        <v>427</v>
      </c>
      <c r="AN433" t="s">
        <v>428</v>
      </c>
      <c r="AO433" t="s">
        <v>886</v>
      </c>
      <c r="AP433" t="s">
        <v>887</v>
      </c>
      <c r="AQ433" t="s">
        <v>74</v>
      </c>
      <c r="AR433" t="s">
        <v>888</v>
      </c>
      <c r="AS433" t="s">
        <v>889</v>
      </c>
      <c r="AT433" t="s">
        <v>8478</v>
      </c>
      <c r="AU433">
        <v>2023</v>
      </c>
      <c r="AV433" t="s">
        <v>74</v>
      </c>
      <c r="AW433" t="s">
        <v>74</v>
      </c>
      <c r="AX433" t="s">
        <v>74</v>
      </c>
      <c r="AY433" t="s">
        <v>74</v>
      </c>
      <c r="AZ433" t="s">
        <v>74</v>
      </c>
      <c r="BA433" t="s">
        <v>74</v>
      </c>
      <c r="BB433" t="s">
        <v>74</v>
      </c>
      <c r="BC433" t="s">
        <v>74</v>
      </c>
      <c r="BD433">
        <v>2307618</v>
      </c>
      <c r="BE433" t="s">
        <v>8499</v>
      </c>
      <c r="BF433" t="str">
        <f>HYPERLINK("http://dx.doi.org/10.1002/adfm.202307618","http://dx.doi.org/10.1002/adfm.202307618")</f>
        <v>http://dx.doi.org/10.1002/adfm.202307618</v>
      </c>
      <c r="BG433" t="s">
        <v>74</v>
      </c>
      <c r="BH433" t="s">
        <v>74</v>
      </c>
      <c r="BI433">
        <v>13</v>
      </c>
      <c r="BJ433" t="s">
        <v>609</v>
      </c>
      <c r="BK433" t="s">
        <v>119</v>
      </c>
      <c r="BL433" t="s">
        <v>610</v>
      </c>
      <c r="BM433" t="s">
        <v>8500</v>
      </c>
      <c r="BN433" t="s">
        <v>74</v>
      </c>
      <c r="BO433" t="s">
        <v>74</v>
      </c>
      <c r="BP433" t="s">
        <v>74</v>
      </c>
      <c r="BQ433" t="s">
        <v>74</v>
      </c>
      <c r="BR433" t="s">
        <v>99</v>
      </c>
      <c r="BS433" t="s">
        <v>8501</v>
      </c>
      <c r="BT433" t="str">
        <f>HYPERLINK("https%3A%2F%2Fwww.webofscience.com%2Fwos%2Fwoscc%2Ffull-record%2FWOS:001056776400001","View Full Record in Web of Science")</f>
        <v>View Full Record in Web of Science</v>
      </c>
    </row>
    <row r="434" spans="1:72" x14ac:dyDescent="0.15">
      <c r="A434" t="s">
        <v>72</v>
      </c>
      <c r="B434" t="s">
        <v>8502</v>
      </c>
      <c r="C434" t="s">
        <v>74</v>
      </c>
      <c r="D434" t="s">
        <v>74</v>
      </c>
      <c r="E434" t="s">
        <v>74</v>
      </c>
      <c r="F434" t="s">
        <v>8503</v>
      </c>
      <c r="G434" t="s">
        <v>74</v>
      </c>
      <c r="H434" t="s">
        <v>74</v>
      </c>
      <c r="I434" t="s">
        <v>8504</v>
      </c>
      <c r="J434" t="s">
        <v>1001</v>
      </c>
      <c r="K434" t="s">
        <v>74</v>
      </c>
      <c r="L434" t="s">
        <v>74</v>
      </c>
      <c r="M434" t="s">
        <v>78</v>
      </c>
      <c r="N434" t="s">
        <v>79</v>
      </c>
      <c r="O434" t="s">
        <v>74</v>
      </c>
      <c r="P434" t="s">
        <v>74</v>
      </c>
      <c r="Q434" t="s">
        <v>74</v>
      </c>
      <c r="R434" t="s">
        <v>74</v>
      </c>
      <c r="S434" t="s">
        <v>74</v>
      </c>
      <c r="T434" t="s">
        <v>8505</v>
      </c>
      <c r="U434" t="s">
        <v>8506</v>
      </c>
      <c r="V434" t="s">
        <v>8507</v>
      </c>
      <c r="W434" t="s">
        <v>8508</v>
      </c>
      <c r="X434" t="s">
        <v>8509</v>
      </c>
      <c r="Y434" t="s">
        <v>8510</v>
      </c>
      <c r="Z434" t="s">
        <v>8511</v>
      </c>
      <c r="AA434" t="s">
        <v>74</v>
      </c>
      <c r="AB434" t="s">
        <v>8512</v>
      </c>
      <c r="AC434" t="s">
        <v>8513</v>
      </c>
      <c r="AD434" t="s">
        <v>8514</v>
      </c>
      <c r="AE434" t="s">
        <v>8515</v>
      </c>
      <c r="AF434" t="s">
        <v>74</v>
      </c>
      <c r="AG434">
        <v>51</v>
      </c>
      <c r="AH434">
        <v>0</v>
      </c>
      <c r="AI434">
        <v>0</v>
      </c>
      <c r="AJ434">
        <v>18</v>
      </c>
      <c r="AK434">
        <v>18</v>
      </c>
      <c r="AL434" t="s">
        <v>426</v>
      </c>
      <c r="AM434" t="s">
        <v>427</v>
      </c>
      <c r="AN434" t="s">
        <v>428</v>
      </c>
      <c r="AO434" t="s">
        <v>1014</v>
      </c>
      <c r="AP434" t="s">
        <v>1015</v>
      </c>
      <c r="AQ434" t="s">
        <v>74</v>
      </c>
      <c r="AR434" t="s">
        <v>1016</v>
      </c>
      <c r="AS434" t="s">
        <v>1017</v>
      </c>
      <c r="AT434" t="s">
        <v>8478</v>
      </c>
      <c r="AU434">
        <v>2023</v>
      </c>
      <c r="AV434" t="s">
        <v>74</v>
      </c>
      <c r="AW434" t="s">
        <v>74</v>
      </c>
      <c r="AX434" t="s">
        <v>74</v>
      </c>
      <c r="AY434" t="s">
        <v>74</v>
      </c>
      <c r="AZ434" t="s">
        <v>74</v>
      </c>
      <c r="BA434" t="s">
        <v>74</v>
      </c>
      <c r="BB434" t="s">
        <v>74</v>
      </c>
      <c r="BC434" t="s">
        <v>74</v>
      </c>
      <c r="BD434" t="s">
        <v>8516</v>
      </c>
      <c r="BE434" t="s">
        <v>8517</v>
      </c>
      <c r="BF434" t="str">
        <f>HYPERLINK("http://dx.doi.org/10.1002/anie.202311543","http://dx.doi.org/10.1002/anie.202311543")</f>
        <v>http://dx.doi.org/10.1002/anie.202311543</v>
      </c>
      <c r="BG434" t="s">
        <v>74</v>
      </c>
      <c r="BH434" t="s">
        <v>74</v>
      </c>
      <c r="BI434">
        <v>10</v>
      </c>
      <c r="BJ434" t="s">
        <v>523</v>
      </c>
      <c r="BK434" t="s">
        <v>119</v>
      </c>
      <c r="BL434" t="s">
        <v>524</v>
      </c>
      <c r="BM434" t="s">
        <v>8518</v>
      </c>
      <c r="BN434">
        <v>37602709</v>
      </c>
      <c r="BO434" t="s">
        <v>74</v>
      </c>
      <c r="BP434" t="s">
        <v>74</v>
      </c>
      <c r="BQ434" t="s">
        <v>74</v>
      </c>
      <c r="BR434" t="s">
        <v>99</v>
      </c>
      <c r="BS434" t="s">
        <v>8519</v>
      </c>
      <c r="BT434" t="str">
        <f>HYPERLINK("https%3A%2F%2Fwww.webofscience.com%2Fwos%2Fwoscc%2Ffull-record%2FWOS:001055113900001","View Full Record in Web of Science")</f>
        <v>View Full Record in Web of Science</v>
      </c>
    </row>
    <row r="435" spans="1:72" x14ac:dyDescent="0.15">
      <c r="A435" t="s">
        <v>72</v>
      </c>
      <c r="B435" t="s">
        <v>8520</v>
      </c>
      <c r="C435" t="s">
        <v>74</v>
      </c>
      <c r="D435" t="s">
        <v>74</v>
      </c>
      <c r="E435" t="s">
        <v>74</v>
      </c>
      <c r="F435" t="s">
        <v>8521</v>
      </c>
      <c r="G435" t="s">
        <v>74</v>
      </c>
      <c r="H435" t="s">
        <v>74</v>
      </c>
      <c r="I435" t="s">
        <v>8522</v>
      </c>
      <c r="J435" t="s">
        <v>8523</v>
      </c>
      <c r="K435" t="s">
        <v>74</v>
      </c>
      <c r="L435" t="s">
        <v>74</v>
      </c>
      <c r="M435" t="s">
        <v>78</v>
      </c>
      <c r="N435" t="s">
        <v>2743</v>
      </c>
      <c r="O435" t="s">
        <v>74</v>
      </c>
      <c r="P435" t="s">
        <v>74</v>
      </c>
      <c r="Q435" t="s">
        <v>74</v>
      </c>
      <c r="R435" t="s">
        <v>74</v>
      </c>
      <c r="S435" t="s">
        <v>74</v>
      </c>
      <c r="T435" t="s">
        <v>74</v>
      </c>
      <c r="U435" t="s">
        <v>74</v>
      </c>
      <c r="V435" t="s">
        <v>74</v>
      </c>
      <c r="W435" t="s">
        <v>8524</v>
      </c>
      <c r="X435" t="s">
        <v>8525</v>
      </c>
      <c r="Y435" t="s">
        <v>8526</v>
      </c>
      <c r="Z435" t="s">
        <v>8527</v>
      </c>
      <c r="AA435" t="s">
        <v>8528</v>
      </c>
      <c r="AB435" t="s">
        <v>8529</v>
      </c>
      <c r="AC435" t="s">
        <v>8530</v>
      </c>
      <c r="AD435" t="s">
        <v>8530</v>
      </c>
      <c r="AE435" t="s">
        <v>8531</v>
      </c>
      <c r="AF435" t="s">
        <v>74</v>
      </c>
      <c r="AG435">
        <v>3</v>
      </c>
      <c r="AH435">
        <v>0</v>
      </c>
      <c r="AI435">
        <v>0</v>
      </c>
      <c r="AJ435">
        <v>0</v>
      </c>
      <c r="AK435">
        <v>0</v>
      </c>
      <c r="AL435" t="s">
        <v>87</v>
      </c>
      <c r="AM435" t="s">
        <v>88</v>
      </c>
      <c r="AN435" t="s">
        <v>89</v>
      </c>
      <c r="AO435" t="s">
        <v>8532</v>
      </c>
      <c r="AP435" t="s">
        <v>8533</v>
      </c>
      <c r="AQ435" t="s">
        <v>74</v>
      </c>
      <c r="AR435" t="s">
        <v>8523</v>
      </c>
      <c r="AS435" t="s">
        <v>8534</v>
      </c>
      <c r="AT435" t="s">
        <v>8535</v>
      </c>
      <c r="AU435">
        <v>2023</v>
      </c>
      <c r="AV435" t="s">
        <v>74</v>
      </c>
      <c r="AW435" t="s">
        <v>74</v>
      </c>
      <c r="AX435" t="s">
        <v>74</v>
      </c>
      <c r="AY435" t="s">
        <v>74</v>
      </c>
      <c r="AZ435" t="s">
        <v>74</v>
      </c>
      <c r="BA435" t="s">
        <v>74</v>
      </c>
      <c r="BB435" t="s">
        <v>74</v>
      </c>
      <c r="BC435" t="s">
        <v>74</v>
      </c>
      <c r="BD435" t="s">
        <v>74</v>
      </c>
      <c r="BE435" t="s">
        <v>8536</v>
      </c>
      <c r="BF435" t="str">
        <f>HYPERLINK("http://dx.doi.org/10.1111/hae.14829","http://dx.doi.org/10.1111/hae.14829")</f>
        <v>http://dx.doi.org/10.1111/hae.14829</v>
      </c>
      <c r="BG435" t="s">
        <v>74</v>
      </c>
      <c r="BH435" t="s">
        <v>7524</v>
      </c>
      <c r="BI435">
        <v>2</v>
      </c>
      <c r="BJ435" t="s">
        <v>1625</v>
      </c>
      <c r="BK435" t="s">
        <v>119</v>
      </c>
      <c r="BL435" t="s">
        <v>1625</v>
      </c>
      <c r="BM435" t="s">
        <v>8537</v>
      </c>
      <c r="BN435">
        <v>37639368</v>
      </c>
      <c r="BO435" t="s">
        <v>74</v>
      </c>
      <c r="BP435" t="s">
        <v>74</v>
      </c>
      <c r="BQ435" t="s">
        <v>74</v>
      </c>
      <c r="BR435" t="s">
        <v>99</v>
      </c>
      <c r="BS435" t="s">
        <v>8538</v>
      </c>
      <c r="BT435" t="str">
        <f>HYPERLINK("https%3A%2F%2Fwww.webofscience.com%2Fwos%2Fwoscc%2Ffull-record%2FWOS:001063652600001","View Full Record in Web of Science")</f>
        <v>View Full Record in Web of Science</v>
      </c>
    </row>
    <row r="436" spans="1:72" x14ac:dyDescent="0.15">
      <c r="A436" t="s">
        <v>72</v>
      </c>
      <c r="B436" t="s">
        <v>8539</v>
      </c>
      <c r="C436" t="s">
        <v>74</v>
      </c>
      <c r="D436" t="s">
        <v>74</v>
      </c>
      <c r="E436" t="s">
        <v>74</v>
      </c>
      <c r="F436" t="s">
        <v>8540</v>
      </c>
      <c r="G436" t="s">
        <v>74</v>
      </c>
      <c r="H436" t="s">
        <v>74</v>
      </c>
      <c r="I436" t="s">
        <v>8541</v>
      </c>
      <c r="J436" t="s">
        <v>4735</v>
      </c>
      <c r="K436" t="s">
        <v>74</v>
      </c>
      <c r="L436" t="s">
        <v>74</v>
      </c>
      <c r="M436" t="s">
        <v>78</v>
      </c>
      <c r="N436" t="s">
        <v>338</v>
      </c>
      <c r="O436" t="s">
        <v>74</v>
      </c>
      <c r="P436" t="s">
        <v>74</v>
      </c>
      <c r="Q436" t="s">
        <v>74</v>
      </c>
      <c r="R436" t="s">
        <v>74</v>
      </c>
      <c r="S436" t="s">
        <v>74</v>
      </c>
      <c r="T436" t="s">
        <v>8542</v>
      </c>
      <c r="U436" t="s">
        <v>74</v>
      </c>
      <c r="V436" t="s">
        <v>8543</v>
      </c>
      <c r="W436" t="s">
        <v>8544</v>
      </c>
      <c r="X436" t="s">
        <v>8545</v>
      </c>
      <c r="Y436" t="s">
        <v>8546</v>
      </c>
      <c r="Z436" t="s">
        <v>8547</v>
      </c>
      <c r="AA436" t="s">
        <v>74</v>
      </c>
      <c r="AB436" t="s">
        <v>74</v>
      </c>
      <c r="AC436" t="s">
        <v>74</v>
      </c>
      <c r="AD436" t="s">
        <v>74</v>
      </c>
      <c r="AE436" t="s">
        <v>74</v>
      </c>
      <c r="AF436" t="s">
        <v>74</v>
      </c>
      <c r="AG436">
        <v>0</v>
      </c>
      <c r="AH436">
        <v>0</v>
      </c>
      <c r="AI436">
        <v>0</v>
      </c>
      <c r="AJ436">
        <v>0</v>
      </c>
      <c r="AK436">
        <v>0</v>
      </c>
      <c r="AL436" t="s">
        <v>87</v>
      </c>
      <c r="AM436" t="s">
        <v>88</v>
      </c>
      <c r="AN436" t="s">
        <v>89</v>
      </c>
      <c r="AO436" t="s">
        <v>4740</v>
      </c>
      <c r="AP436" t="s">
        <v>4741</v>
      </c>
      <c r="AQ436" t="s">
        <v>74</v>
      </c>
      <c r="AR436" t="s">
        <v>4742</v>
      </c>
      <c r="AS436" t="s">
        <v>4743</v>
      </c>
      <c r="AT436" t="s">
        <v>8535</v>
      </c>
      <c r="AU436">
        <v>2023</v>
      </c>
      <c r="AV436" t="s">
        <v>74</v>
      </c>
      <c r="AW436" t="s">
        <v>74</v>
      </c>
      <c r="AX436" t="s">
        <v>74</v>
      </c>
      <c r="AY436" t="s">
        <v>74</v>
      </c>
      <c r="AZ436" t="s">
        <v>74</v>
      </c>
      <c r="BA436" t="s">
        <v>74</v>
      </c>
      <c r="BB436" t="s">
        <v>74</v>
      </c>
      <c r="BC436" t="s">
        <v>74</v>
      </c>
      <c r="BD436" t="s">
        <v>74</v>
      </c>
      <c r="BE436" t="s">
        <v>8548</v>
      </c>
      <c r="BF436" t="str">
        <f>HYPERLINK("http://dx.doi.org/10.1111/fcre.12746","http://dx.doi.org/10.1111/fcre.12746")</f>
        <v>http://dx.doi.org/10.1111/fcre.12746</v>
      </c>
      <c r="BG436" t="s">
        <v>74</v>
      </c>
      <c r="BH436" t="s">
        <v>7524</v>
      </c>
      <c r="BI436">
        <v>16</v>
      </c>
      <c r="BJ436" t="s">
        <v>4745</v>
      </c>
      <c r="BK436" t="s">
        <v>96</v>
      </c>
      <c r="BL436" t="s">
        <v>4746</v>
      </c>
      <c r="BM436" t="s">
        <v>8549</v>
      </c>
      <c r="BN436" t="s">
        <v>74</v>
      </c>
      <c r="BO436" t="s">
        <v>74</v>
      </c>
      <c r="BP436" t="s">
        <v>74</v>
      </c>
      <c r="BQ436" t="s">
        <v>74</v>
      </c>
      <c r="BR436" t="s">
        <v>99</v>
      </c>
      <c r="BS436" t="s">
        <v>8550</v>
      </c>
      <c r="BT436" t="str">
        <f>HYPERLINK("https%3A%2F%2Fwww.webofscience.com%2Fwos%2Fwoscc%2Ffull-record%2FWOS:001060320400001","View Full Record in Web of Science")</f>
        <v>View Full Record in Web of Science</v>
      </c>
    </row>
    <row r="437" spans="1:72" x14ac:dyDescent="0.15">
      <c r="A437" t="s">
        <v>72</v>
      </c>
      <c r="B437" t="s">
        <v>8551</v>
      </c>
      <c r="C437" t="s">
        <v>74</v>
      </c>
      <c r="D437" t="s">
        <v>74</v>
      </c>
      <c r="E437" t="s">
        <v>74</v>
      </c>
      <c r="F437" t="s">
        <v>8552</v>
      </c>
      <c r="G437" t="s">
        <v>74</v>
      </c>
      <c r="H437" t="s">
        <v>74</v>
      </c>
      <c r="I437" t="s">
        <v>8553</v>
      </c>
      <c r="J437" t="s">
        <v>8554</v>
      </c>
      <c r="K437" t="s">
        <v>74</v>
      </c>
      <c r="L437" t="s">
        <v>74</v>
      </c>
      <c r="M437" t="s">
        <v>78</v>
      </c>
      <c r="N437" t="s">
        <v>338</v>
      </c>
      <c r="O437" t="s">
        <v>74</v>
      </c>
      <c r="P437" t="s">
        <v>74</v>
      </c>
      <c r="Q437" t="s">
        <v>74</v>
      </c>
      <c r="R437" t="s">
        <v>74</v>
      </c>
      <c r="S437" t="s">
        <v>74</v>
      </c>
      <c r="T437" t="s">
        <v>74</v>
      </c>
      <c r="U437" t="s">
        <v>8555</v>
      </c>
      <c r="V437" t="s">
        <v>74</v>
      </c>
      <c r="W437" t="s">
        <v>8556</v>
      </c>
      <c r="X437" t="s">
        <v>8557</v>
      </c>
      <c r="Y437" t="s">
        <v>8558</v>
      </c>
      <c r="Z437" t="s">
        <v>8559</v>
      </c>
      <c r="AA437" t="s">
        <v>74</v>
      </c>
      <c r="AB437" t="s">
        <v>74</v>
      </c>
      <c r="AC437" t="s">
        <v>74</v>
      </c>
      <c r="AD437" t="s">
        <v>74</v>
      </c>
      <c r="AE437" t="s">
        <v>74</v>
      </c>
      <c r="AF437" t="s">
        <v>74</v>
      </c>
      <c r="AG437">
        <v>37</v>
      </c>
      <c r="AH437">
        <v>0</v>
      </c>
      <c r="AI437">
        <v>0</v>
      </c>
      <c r="AJ437">
        <v>0</v>
      </c>
      <c r="AK437">
        <v>0</v>
      </c>
      <c r="AL437" t="s">
        <v>87</v>
      </c>
      <c r="AM437" t="s">
        <v>88</v>
      </c>
      <c r="AN437" t="s">
        <v>89</v>
      </c>
      <c r="AO437" t="s">
        <v>8560</v>
      </c>
      <c r="AP437" t="s">
        <v>8561</v>
      </c>
      <c r="AQ437" t="s">
        <v>74</v>
      </c>
      <c r="AR437" t="s">
        <v>8562</v>
      </c>
      <c r="AS437" t="s">
        <v>8563</v>
      </c>
      <c r="AT437" t="s">
        <v>8535</v>
      </c>
      <c r="AU437">
        <v>2023</v>
      </c>
      <c r="AV437" t="s">
        <v>74</v>
      </c>
      <c r="AW437" t="s">
        <v>74</v>
      </c>
      <c r="AX437" t="s">
        <v>74</v>
      </c>
      <c r="AY437" t="s">
        <v>74</v>
      </c>
      <c r="AZ437" t="s">
        <v>74</v>
      </c>
      <c r="BA437" t="s">
        <v>74</v>
      </c>
      <c r="BB437" t="s">
        <v>74</v>
      </c>
      <c r="BC437" t="s">
        <v>74</v>
      </c>
      <c r="BD437" t="s">
        <v>74</v>
      </c>
      <c r="BE437" t="s">
        <v>8564</v>
      </c>
      <c r="BF437" t="str">
        <f>HYPERLINK("http://dx.doi.org/10.1111/1467-8675.12704","http://dx.doi.org/10.1111/1467-8675.12704")</f>
        <v>http://dx.doi.org/10.1111/1467-8675.12704</v>
      </c>
      <c r="BG437" t="s">
        <v>74</v>
      </c>
      <c r="BH437" t="s">
        <v>7524</v>
      </c>
      <c r="BI437">
        <v>13</v>
      </c>
      <c r="BJ437" t="s">
        <v>8565</v>
      </c>
      <c r="BK437" t="s">
        <v>96</v>
      </c>
      <c r="BL437" t="s">
        <v>8566</v>
      </c>
      <c r="BM437" t="s">
        <v>8567</v>
      </c>
      <c r="BN437" t="s">
        <v>74</v>
      </c>
      <c r="BO437" t="s">
        <v>74</v>
      </c>
      <c r="BP437" t="s">
        <v>74</v>
      </c>
      <c r="BQ437" t="s">
        <v>74</v>
      </c>
      <c r="BR437" t="s">
        <v>99</v>
      </c>
      <c r="BS437" t="s">
        <v>8568</v>
      </c>
      <c r="BT437" t="str">
        <f>HYPERLINK("https%3A%2F%2Fwww.webofscience.com%2Fwos%2Fwoscc%2Ffull-record%2FWOS:001063651500001","View Full Record in Web of Science")</f>
        <v>View Full Record in Web of Science</v>
      </c>
    </row>
    <row r="438" spans="1:72" x14ac:dyDescent="0.15">
      <c r="A438" t="s">
        <v>72</v>
      </c>
      <c r="B438" t="s">
        <v>8569</v>
      </c>
      <c r="C438" t="s">
        <v>74</v>
      </c>
      <c r="D438" t="s">
        <v>74</v>
      </c>
      <c r="E438" t="s">
        <v>74</v>
      </c>
      <c r="F438" t="s">
        <v>8570</v>
      </c>
      <c r="G438" t="s">
        <v>74</v>
      </c>
      <c r="H438" t="s">
        <v>74</v>
      </c>
      <c r="I438" t="s">
        <v>8571</v>
      </c>
      <c r="J438" t="s">
        <v>8572</v>
      </c>
      <c r="K438" t="s">
        <v>74</v>
      </c>
      <c r="L438" t="s">
        <v>74</v>
      </c>
      <c r="M438" t="s">
        <v>78</v>
      </c>
      <c r="N438" t="s">
        <v>338</v>
      </c>
      <c r="O438" t="s">
        <v>74</v>
      </c>
      <c r="P438" t="s">
        <v>74</v>
      </c>
      <c r="Q438" t="s">
        <v>74</v>
      </c>
      <c r="R438" t="s">
        <v>74</v>
      </c>
      <c r="S438" t="s">
        <v>74</v>
      </c>
      <c r="T438" t="s">
        <v>8573</v>
      </c>
      <c r="U438" t="s">
        <v>8574</v>
      </c>
      <c r="V438" t="s">
        <v>8575</v>
      </c>
      <c r="W438" t="s">
        <v>8576</v>
      </c>
      <c r="X438" t="s">
        <v>8577</v>
      </c>
      <c r="Y438" t="s">
        <v>8578</v>
      </c>
      <c r="Z438" t="s">
        <v>8579</v>
      </c>
      <c r="AA438" t="s">
        <v>74</v>
      </c>
      <c r="AB438" t="s">
        <v>74</v>
      </c>
      <c r="AC438" t="s">
        <v>8580</v>
      </c>
      <c r="AD438" t="s">
        <v>8580</v>
      </c>
      <c r="AE438" t="s">
        <v>8580</v>
      </c>
      <c r="AF438" t="s">
        <v>74</v>
      </c>
      <c r="AG438">
        <v>51</v>
      </c>
      <c r="AH438">
        <v>0</v>
      </c>
      <c r="AI438">
        <v>0</v>
      </c>
      <c r="AJ438">
        <v>4</v>
      </c>
      <c r="AK438">
        <v>4</v>
      </c>
      <c r="AL438" t="s">
        <v>87</v>
      </c>
      <c r="AM438" t="s">
        <v>88</v>
      </c>
      <c r="AN438" t="s">
        <v>89</v>
      </c>
      <c r="AO438" t="s">
        <v>8581</v>
      </c>
      <c r="AP438" t="s">
        <v>8582</v>
      </c>
      <c r="AQ438" t="s">
        <v>74</v>
      </c>
      <c r="AR438" t="s">
        <v>8583</v>
      </c>
      <c r="AS438" t="s">
        <v>8584</v>
      </c>
      <c r="AT438" t="s">
        <v>8535</v>
      </c>
      <c r="AU438">
        <v>2023</v>
      </c>
      <c r="AV438" t="s">
        <v>74</v>
      </c>
      <c r="AW438" t="s">
        <v>74</v>
      </c>
      <c r="AX438" t="s">
        <v>74</v>
      </c>
      <c r="AY438" t="s">
        <v>74</v>
      </c>
      <c r="AZ438" t="s">
        <v>74</v>
      </c>
      <c r="BA438" t="s">
        <v>74</v>
      </c>
      <c r="BB438" t="s">
        <v>74</v>
      </c>
      <c r="BC438" t="s">
        <v>74</v>
      </c>
      <c r="BD438" t="s">
        <v>74</v>
      </c>
      <c r="BE438" t="s">
        <v>8585</v>
      </c>
      <c r="BF438" t="str">
        <f>HYPERLINK("http://dx.doi.org/10.1002/ijfe.2881","http://dx.doi.org/10.1002/ijfe.2881")</f>
        <v>http://dx.doi.org/10.1002/ijfe.2881</v>
      </c>
      <c r="BG438" t="s">
        <v>74</v>
      </c>
      <c r="BH438" t="s">
        <v>7524</v>
      </c>
      <c r="BI438">
        <v>14</v>
      </c>
      <c r="BJ438" t="s">
        <v>545</v>
      </c>
      <c r="BK438" t="s">
        <v>546</v>
      </c>
      <c r="BL438" t="s">
        <v>547</v>
      </c>
      <c r="BM438" t="s">
        <v>8586</v>
      </c>
      <c r="BN438" t="s">
        <v>74</v>
      </c>
      <c r="BO438" t="s">
        <v>74</v>
      </c>
      <c r="BP438" t="s">
        <v>74</v>
      </c>
      <c r="BQ438" t="s">
        <v>74</v>
      </c>
      <c r="BR438" t="s">
        <v>99</v>
      </c>
      <c r="BS438" t="s">
        <v>8587</v>
      </c>
      <c r="BT438" t="str">
        <f>HYPERLINK("https%3A%2F%2Fwww.webofscience.com%2Fwos%2Fwoscc%2Ffull-record%2FWOS:001063656900001","View Full Record in Web of Science")</f>
        <v>View Full Record in Web of Science</v>
      </c>
    </row>
    <row r="439" spans="1:72" x14ac:dyDescent="0.15">
      <c r="A439" t="s">
        <v>72</v>
      </c>
      <c r="B439" t="s">
        <v>8588</v>
      </c>
      <c r="C439" t="s">
        <v>74</v>
      </c>
      <c r="D439" t="s">
        <v>74</v>
      </c>
      <c r="E439" t="s">
        <v>74</v>
      </c>
      <c r="F439" t="s">
        <v>8589</v>
      </c>
      <c r="G439" t="s">
        <v>74</v>
      </c>
      <c r="H439" t="s">
        <v>74</v>
      </c>
      <c r="I439" t="s">
        <v>8590</v>
      </c>
      <c r="J439" t="s">
        <v>8591</v>
      </c>
      <c r="K439" t="s">
        <v>74</v>
      </c>
      <c r="L439" t="s">
        <v>74</v>
      </c>
      <c r="M439" t="s">
        <v>78</v>
      </c>
      <c r="N439" t="s">
        <v>79</v>
      </c>
      <c r="O439" t="s">
        <v>74</v>
      </c>
      <c r="P439" t="s">
        <v>74</v>
      </c>
      <c r="Q439" t="s">
        <v>74</v>
      </c>
      <c r="R439" t="s">
        <v>74</v>
      </c>
      <c r="S439" t="s">
        <v>74</v>
      </c>
      <c r="T439" t="s">
        <v>8592</v>
      </c>
      <c r="U439" t="s">
        <v>8593</v>
      </c>
      <c r="V439" t="s">
        <v>8594</v>
      </c>
      <c r="W439" t="s">
        <v>8595</v>
      </c>
      <c r="X439" t="s">
        <v>8596</v>
      </c>
      <c r="Y439" t="s">
        <v>8597</v>
      </c>
      <c r="Z439" t="s">
        <v>8598</v>
      </c>
      <c r="AA439" t="s">
        <v>8599</v>
      </c>
      <c r="AB439" t="s">
        <v>8600</v>
      </c>
      <c r="AC439" t="s">
        <v>8601</v>
      </c>
      <c r="AD439" t="s">
        <v>8602</v>
      </c>
      <c r="AE439" t="s">
        <v>8603</v>
      </c>
      <c r="AF439" t="s">
        <v>74</v>
      </c>
      <c r="AG439">
        <v>29</v>
      </c>
      <c r="AH439">
        <v>0</v>
      </c>
      <c r="AI439">
        <v>0</v>
      </c>
      <c r="AJ439">
        <v>1</v>
      </c>
      <c r="AK439">
        <v>1</v>
      </c>
      <c r="AL439" t="s">
        <v>426</v>
      </c>
      <c r="AM439" t="s">
        <v>427</v>
      </c>
      <c r="AN439" t="s">
        <v>428</v>
      </c>
      <c r="AO439" t="s">
        <v>8604</v>
      </c>
      <c r="AP439" t="s">
        <v>8605</v>
      </c>
      <c r="AQ439" t="s">
        <v>74</v>
      </c>
      <c r="AR439" t="s">
        <v>8606</v>
      </c>
      <c r="AS439" t="s">
        <v>8607</v>
      </c>
      <c r="AT439" t="s">
        <v>8478</v>
      </c>
      <c r="AU439">
        <v>2023</v>
      </c>
      <c r="AV439" t="s">
        <v>74</v>
      </c>
      <c r="AW439" t="s">
        <v>74</v>
      </c>
      <c r="AX439" t="s">
        <v>74</v>
      </c>
      <c r="AY439" t="s">
        <v>74</v>
      </c>
      <c r="AZ439" t="s">
        <v>74</v>
      </c>
      <c r="BA439" t="s">
        <v>74</v>
      </c>
      <c r="BB439" t="s">
        <v>74</v>
      </c>
      <c r="BC439" t="s">
        <v>74</v>
      </c>
      <c r="BD439" t="s">
        <v>8608</v>
      </c>
      <c r="BE439" t="s">
        <v>8609</v>
      </c>
      <c r="BF439" t="str">
        <f>HYPERLINK("http://dx.doi.org/10.1002/zaac.202300076","http://dx.doi.org/10.1002/zaac.202300076")</f>
        <v>http://dx.doi.org/10.1002/zaac.202300076</v>
      </c>
      <c r="BG439" t="s">
        <v>74</v>
      </c>
      <c r="BH439" t="s">
        <v>74</v>
      </c>
      <c r="BI439">
        <v>7</v>
      </c>
      <c r="BJ439" t="s">
        <v>4460</v>
      </c>
      <c r="BK439" t="s">
        <v>119</v>
      </c>
      <c r="BL439" t="s">
        <v>524</v>
      </c>
      <c r="BM439" t="s">
        <v>8610</v>
      </c>
      <c r="BN439" t="s">
        <v>74</v>
      </c>
      <c r="BO439" t="s">
        <v>122</v>
      </c>
      <c r="BP439" t="s">
        <v>74</v>
      </c>
      <c r="BQ439" t="s">
        <v>74</v>
      </c>
      <c r="BR439" t="s">
        <v>99</v>
      </c>
      <c r="BS439" t="s">
        <v>8611</v>
      </c>
      <c r="BT439" t="str">
        <f>HYPERLINK("https%3A%2F%2Fwww.webofscience.com%2Fwos%2Fwoscc%2Ffull-record%2FWOS:001055606900001","View Full Record in Web of Science")</f>
        <v>View Full Record in Web of Science</v>
      </c>
    </row>
    <row r="440" spans="1:72" x14ac:dyDescent="0.15">
      <c r="A440" t="s">
        <v>72</v>
      </c>
      <c r="B440" t="s">
        <v>8612</v>
      </c>
      <c r="C440" t="s">
        <v>74</v>
      </c>
      <c r="D440" t="s">
        <v>74</v>
      </c>
      <c r="E440" t="s">
        <v>74</v>
      </c>
      <c r="F440" t="s">
        <v>8613</v>
      </c>
      <c r="G440" t="s">
        <v>74</v>
      </c>
      <c r="H440" t="s">
        <v>74</v>
      </c>
      <c r="I440" t="s">
        <v>8614</v>
      </c>
      <c r="J440" t="s">
        <v>8299</v>
      </c>
      <c r="K440" t="s">
        <v>74</v>
      </c>
      <c r="L440" t="s">
        <v>74</v>
      </c>
      <c r="M440" t="s">
        <v>78</v>
      </c>
      <c r="N440" t="s">
        <v>307</v>
      </c>
      <c r="O440" t="s">
        <v>74</v>
      </c>
      <c r="P440" t="s">
        <v>74</v>
      </c>
      <c r="Q440" t="s">
        <v>74</v>
      </c>
      <c r="R440" t="s">
        <v>74</v>
      </c>
      <c r="S440" t="s">
        <v>74</v>
      </c>
      <c r="T440" t="s">
        <v>74</v>
      </c>
      <c r="U440" t="s">
        <v>74</v>
      </c>
      <c r="V440" t="s">
        <v>74</v>
      </c>
      <c r="W440" t="s">
        <v>8615</v>
      </c>
      <c r="X440" t="s">
        <v>8616</v>
      </c>
      <c r="Y440" t="s">
        <v>8617</v>
      </c>
      <c r="Z440" t="s">
        <v>8618</v>
      </c>
      <c r="AA440" t="s">
        <v>74</v>
      </c>
      <c r="AB440" t="s">
        <v>74</v>
      </c>
      <c r="AC440" t="s">
        <v>74</v>
      </c>
      <c r="AD440" t="s">
        <v>74</v>
      </c>
      <c r="AE440" t="s">
        <v>74</v>
      </c>
      <c r="AF440" t="s">
        <v>74</v>
      </c>
      <c r="AG440">
        <v>0</v>
      </c>
      <c r="AH440">
        <v>0</v>
      </c>
      <c r="AI440">
        <v>0</v>
      </c>
      <c r="AJ440">
        <v>0</v>
      </c>
      <c r="AK440">
        <v>0</v>
      </c>
      <c r="AL440" t="s">
        <v>87</v>
      </c>
      <c r="AM440" t="s">
        <v>88</v>
      </c>
      <c r="AN440" t="s">
        <v>89</v>
      </c>
      <c r="AO440" t="s">
        <v>74</v>
      </c>
      <c r="AP440" t="s">
        <v>8311</v>
      </c>
      <c r="AQ440" t="s">
        <v>74</v>
      </c>
      <c r="AR440" t="s">
        <v>8299</v>
      </c>
      <c r="AS440" t="s">
        <v>8312</v>
      </c>
      <c r="AT440" t="s">
        <v>8478</v>
      </c>
      <c r="AU440">
        <v>2023</v>
      </c>
      <c r="AV440" t="s">
        <v>74</v>
      </c>
      <c r="AW440" t="s">
        <v>74</v>
      </c>
      <c r="AX440" t="s">
        <v>74</v>
      </c>
      <c r="AY440" t="s">
        <v>74</v>
      </c>
      <c r="AZ440" t="s">
        <v>74</v>
      </c>
      <c r="BA440" t="s">
        <v>74</v>
      </c>
      <c r="BB440" t="s">
        <v>74</v>
      </c>
      <c r="BC440" t="s">
        <v>74</v>
      </c>
      <c r="BD440" t="s">
        <v>8619</v>
      </c>
      <c r="BE440" t="s">
        <v>8620</v>
      </c>
      <c r="BF440" t="str">
        <f>HYPERLINK("http://dx.doi.org/10.1002/eom2.12404","http://dx.doi.org/10.1002/eom2.12404")</f>
        <v>http://dx.doi.org/10.1002/eom2.12404</v>
      </c>
      <c r="BG440" t="s">
        <v>74</v>
      </c>
      <c r="BH440" t="s">
        <v>74</v>
      </c>
      <c r="BI440">
        <v>2</v>
      </c>
      <c r="BJ440" t="s">
        <v>8315</v>
      </c>
      <c r="BK440" t="s">
        <v>119</v>
      </c>
      <c r="BL440" t="s">
        <v>954</v>
      </c>
      <c r="BM440" t="s">
        <v>8621</v>
      </c>
      <c r="BN440" t="s">
        <v>74</v>
      </c>
      <c r="BO440" t="s">
        <v>234</v>
      </c>
      <c r="BP440" t="s">
        <v>74</v>
      </c>
      <c r="BQ440" t="s">
        <v>74</v>
      </c>
      <c r="BR440" t="s">
        <v>99</v>
      </c>
      <c r="BS440" t="s">
        <v>8622</v>
      </c>
      <c r="BT440" t="str">
        <f>HYPERLINK("https%3A%2F%2Fwww.webofscience.com%2Fwos%2Fwoscc%2Ffull-record%2FWOS:001057414000001","View Full Record in Web of Science")</f>
        <v>View Full Record in Web of Science</v>
      </c>
    </row>
    <row r="441" spans="1:72" x14ac:dyDescent="0.15">
      <c r="A441" t="s">
        <v>72</v>
      </c>
      <c r="B441" t="s">
        <v>8623</v>
      </c>
      <c r="C441" t="s">
        <v>74</v>
      </c>
      <c r="D441" t="s">
        <v>74</v>
      </c>
      <c r="E441" t="s">
        <v>74</v>
      </c>
      <c r="F441" t="s">
        <v>8624</v>
      </c>
      <c r="G441" t="s">
        <v>74</v>
      </c>
      <c r="H441" t="s">
        <v>74</v>
      </c>
      <c r="I441" t="s">
        <v>8625</v>
      </c>
      <c r="J441" t="s">
        <v>7663</v>
      </c>
      <c r="K441" t="s">
        <v>74</v>
      </c>
      <c r="L441" t="s">
        <v>74</v>
      </c>
      <c r="M441" t="s">
        <v>78</v>
      </c>
      <c r="N441" t="s">
        <v>338</v>
      </c>
      <c r="O441" t="s">
        <v>74</v>
      </c>
      <c r="P441" t="s">
        <v>74</v>
      </c>
      <c r="Q441" t="s">
        <v>74</v>
      </c>
      <c r="R441" t="s">
        <v>74</v>
      </c>
      <c r="S441" t="s">
        <v>74</v>
      </c>
      <c r="T441" t="s">
        <v>74</v>
      </c>
      <c r="U441" t="s">
        <v>8626</v>
      </c>
      <c r="V441" t="s">
        <v>8627</v>
      </c>
      <c r="W441" t="s">
        <v>8628</v>
      </c>
      <c r="X441" t="s">
        <v>8629</v>
      </c>
      <c r="Y441" t="s">
        <v>8630</v>
      </c>
      <c r="Z441" t="s">
        <v>8631</v>
      </c>
      <c r="AA441" t="s">
        <v>8632</v>
      </c>
      <c r="AB441" t="s">
        <v>8633</v>
      </c>
      <c r="AC441" t="s">
        <v>8634</v>
      </c>
      <c r="AD441" t="s">
        <v>8634</v>
      </c>
      <c r="AE441" t="s">
        <v>8635</v>
      </c>
      <c r="AF441" t="s">
        <v>74</v>
      </c>
      <c r="AG441">
        <v>22</v>
      </c>
      <c r="AH441">
        <v>0</v>
      </c>
      <c r="AI441">
        <v>0</v>
      </c>
      <c r="AJ441">
        <v>0</v>
      </c>
      <c r="AK441">
        <v>0</v>
      </c>
      <c r="AL441" t="s">
        <v>87</v>
      </c>
      <c r="AM441" t="s">
        <v>88</v>
      </c>
      <c r="AN441" t="s">
        <v>89</v>
      </c>
      <c r="AO441" t="s">
        <v>7672</v>
      </c>
      <c r="AP441" t="s">
        <v>7673</v>
      </c>
      <c r="AQ441" t="s">
        <v>74</v>
      </c>
      <c r="AR441" t="s">
        <v>7674</v>
      </c>
      <c r="AS441" t="s">
        <v>7675</v>
      </c>
      <c r="AT441" t="s">
        <v>8535</v>
      </c>
      <c r="AU441">
        <v>2023</v>
      </c>
      <c r="AV441" t="s">
        <v>74</v>
      </c>
      <c r="AW441" t="s">
        <v>74</v>
      </c>
      <c r="AX441" t="s">
        <v>74</v>
      </c>
      <c r="AY441" t="s">
        <v>74</v>
      </c>
      <c r="AZ441" t="s">
        <v>74</v>
      </c>
      <c r="BA441" t="s">
        <v>74</v>
      </c>
      <c r="BB441" t="s">
        <v>74</v>
      </c>
      <c r="BC441" t="s">
        <v>74</v>
      </c>
      <c r="BD441" t="s">
        <v>74</v>
      </c>
      <c r="BE441" t="s">
        <v>8636</v>
      </c>
      <c r="BF441" t="str">
        <f>HYPERLINK("http://dx.doi.org/10.1111/cts.13616","http://dx.doi.org/10.1111/cts.13616")</f>
        <v>http://dx.doi.org/10.1111/cts.13616</v>
      </c>
      <c r="BG441" t="s">
        <v>74</v>
      </c>
      <c r="BH441" t="s">
        <v>7524</v>
      </c>
      <c r="BI441">
        <v>7</v>
      </c>
      <c r="BJ441" t="s">
        <v>231</v>
      </c>
      <c r="BK441" t="s">
        <v>119</v>
      </c>
      <c r="BL441" t="s">
        <v>232</v>
      </c>
      <c r="BM441" t="s">
        <v>8637</v>
      </c>
      <c r="BN441">
        <v>37605430</v>
      </c>
      <c r="BO441" t="s">
        <v>234</v>
      </c>
      <c r="BP441" t="s">
        <v>74</v>
      </c>
      <c r="BQ441" t="s">
        <v>74</v>
      </c>
      <c r="BR441" t="s">
        <v>99</v>
      </c>
      <c r="BS441" t="s">
        <v>8638</v>
      </c>
      <c r="BT441" t="str">
        <f>HYPERLINK("https%3A%2F%2Fwww.webofscience.com%2Fwos%2Fwoscc%2Ffull-record%2FWOS:001060048000001","View Full Record in Web of Science")</f>
        <v>View Full Record in Web of Science</v>
      </c>
    </row>
    <row r="442" spans="1:72" x14ac:dyDescent="0.15">
      <c r="A442" t="s">
        <v>72</v>
      </c>
      <c r="B442" t="s">
        <v>8639</v>
      </c>
      <c r="C442" t="s">
        <v>74</v>
      </c>
      <c r="D442" t="s">
        <v>74</v>
      </c>
      <c r="E442" t="s">
        <v>74</v>
      </c>
      <c r="F442" t="s">
        <v>8640</v>
      </c>
      <c r="G442" t="s">
        <v>74</v>
      </c>
      <c r="H442" t="s">
        <v>74</v>
      </c>
      <c r="I442" t="s">
        <v>8641</v>
      </c>
      <c r="J442" t="s">
        <v>4696</v>
      </c>
      <c r="K442" t="s">
        <v>74</v>
      </c>
      <c r="L442" t="s">
        <v>74</v>
      </c>
      <c r="M442" t="s">
        <v>78</v>
      </c>
      <c r="N442" t="s">
        <v>79</v>
      </c>
      <c r="O442" t="s">
        <v>74</v>
      </c>
      <c r="P442" t="s">
        <v>74</v>
      </c>
      <c r="Q442" t="s">
        <v>74</v>
      </c>
      <c r="R442" t="s">
        <v>74</v>
      </c>
      <c r="S442" t="s">
        <v>74</v>
      </c>
      <c r="T442" t="s">
        <v>8642</v>
      </c>
      <c r="U442" t="s">
        <v>8643</v>
      </c>
      <c r="V442" t="s">
        <v>8644</v>
      </c>
      <c r="W442" t="s">
        <v>8645</v>
      </c>
      <c r="X442" t="s">
        <v>8646</v>
      </c>
      <c r="Y442" t="s">
        <v>8647</v>
      </c>
      <c r="Z442" t="s">
        <v>8648</v>
      </c>
      <c r="AA442" t="s">
        <v>74</v>
      </c>
      <c r="AB442" t="s">
        <v>74</v>
      </c>
      <c r="AC442" t="s">
        <v>8649</v>
      </c>
      <c r="AD442" t="s">
        <v>8649</v>
      </c>
      <c r="AE442" t="s">
        <v>8649</v>
      </c>
      <c r="AF442" t="s">
        <v>74</v>
      </c>
      <c r="AG442">
        <v>30</v>
      </c>
      <c r="AH442">
        <v>0</v>
      </c>
      <c r="AI442">
        <v>0</v>
      </c>
      <c r="AJ442">
        <v>0</v>
      </c>
      <c r="AK442">
        <v>0</v>
      </c>
      <c r="AL442" t="s">
        <v>87</v>
      </c>
      <c r="AM442" t="s">
        <v>88</v>
      </c>
      <c r="AN442" t="s">
        <v>89</v>
      </c>
      <c r="AO442" t="s">
        <v>4705</v>
      </c>
      <c r="AP442" t="s">
        <v>74</v>
      </c>
      <c r="AQ442" t="s">
        <v>74</v>
      </c>
      <c r="AR442" t="s">
        <v>4706</v>
      </c>
      <c r="AS442" t="s">
        <v>4707</v>
      </c>
      <c r="AT442" t="s">
        <v>8478</v>
      </c>
      <c r="AU442">
        <v>2023</v>
      </c>
      <c r="AV442" t="s">
        <v>74</v>
      </c>
      <c r="AW442" t="s">
        <v>74</v>
      </c>
      <c r="AX442" t="s">
        <v>74</v>
      </c>
      <c r="AY442" t="s">
        <v>74</v>
      </c>
      <c r="AZ442" t="s">
        <v>74</v>
      </c>
      <c r="BA442" t="s">
        <v>74</v>
      </c>
      <c r="BB442" t="s">
        <v>74</v>
      </c>
      <c r="BC442" t="s">
        <v>74</v>
      </c>
      <c r="BD442" t="s">
        <v>8650</v>
      </c>
      <c r="BE442" t="s">
        <v>8651</v>
      </c>
      <c r="BF442" t="str">
        <f>HYPERLINK("http://dx.doi.org/10.1002/fsn3.3641","http://dx.doi.org/10.1002/fsn3.3641")</f>
        <v>http://dx.doi.org/10.1002/fsn3.3641</v>
      </c>
      <c r="BG442" t="s">
        <v>74</v>
      </c>
      <c r="BH442" t="s">
        <v>74</v>
      </c>
      <c r="BI442">
        <v>5</v>
      </c>
      <c r="BJ442" t="s">
        <v>433</v>
      </c>
      <c r="BK442" t="s">
        <v>119</v>
      </c>
      <c r="BL442" t="s">
        <v>433</v>
      </c>
      <c r="BM442" t="s">
        <v>8652</v>
      </c>
      <c r="BN442" t="s">
        <v>74</v>
      </c>
      <c r="BO442" t="s">
        <v>234</v>
      </c>
      <c r="BP442" t="s">
        <v>74</v>
      </c>
      <c r="BQ442" t="s">
        <v>74</v>
      </c>
      <c r="BR442" t="s">
        <v>99</v>
      </c>
      <c r="BS442" t="s">
        <v>8653</v>
      </c>
      <c r="BT442" t="str">
        <f>HYPERLINK("https%3A%2F%2Fwww.webofscience.com%2Fwos%2Fwoscc%2Ffull-record%2FWOS:001056832500001","View Full Record in Web of Science")</f>
        <v>View Full Record in Web of Science</v>
      </c>
    </row>
    <row r="443" spans="1:72" x14ac:dyDescent="0.15">
      <c r="A443" t="s">
        <v>72</v>
      </c>
      <c r="B443" t="s">
        <v>8654</v>
      </c>
      <c r="C443" t="s">
        <v>74</v>
      </c>
      <c r="D443" t="s">
        <v>74</v>
      </c>
      <c r="E443" t="s">
        <v>74</v>
      </c>
      <c r="F443" t="s">
        <v>8655</v>
      </c>
      <c r="G443" t="s">
        <v>74</v>
      </c>
      <c r="H443" t="s">
        <v>74</v>
      </c>
      <c r="I443" t="s">
        <v>8656</v>
      </c>
      <c r="J443" t="s">
        <v>1401</v>
      </c>
      <c r="K443" t="s">
        <v>74</v>
      </c>
      <c r="L443" t="s">
        <v>74</v>
      </c>
      <c r="M443" t="s">
        <v>78</v>
      </c>
      <c r="N443" t="s">
        <v>338</v>
      </c>
      <c r="O443" t="s">
        <v>74</v>
      </c>
      <c r="P443" t="s">
        <v>74</v>
      </c>
      <c r="Q443" t="s">
        <v>74</v>
      </c>
      <c r="R443" t="s">
        <v>74</v>
      </c>
      <c r="S443" t="s">
        <v>74</v>
      </c>
      <c r="T443" t="s">
        <v>8657</v>
      </c>
      <c r="U443" t="s">
        <v>8658</v>
      </c>
      <c r="V443" t="s">
        <v>8659</v>
      </c>
      <c r="W443" t="s">
        <v>8660</v>
      </c>
      <c r="X443" t="s">
        <v>8661</v>
      </c>
      <c r="Y443" t="s">
        <v>8662</v>
      </c>
      <c r="Z443" t="s">
        <v>8663</v>
      </c>
      <c r="AA443" t="s">
        <v>74</v>
      </c>
      <c r="AB443" t="s">
        <v>74</v>
      </c>
      <c r="AC443" t="s">
        <v>8664</v>
      </c>
      <c r="AD443" t="s">
        <v>2201</v>
      </c>
      <c r="AE443" t="s">
        <v>8665</v>
      </c>
      <c r="AF443" t="s">
        <v>74</v>
      </c>
      <c r="AG443">
        <v>37</v>
      </c>
      <c r="AH443">
        <v>0</v>
      </c>
      <c r="AI443">
        <v>0</v>
      </c>
      <c r="AJ443">
        <v>0</v>
      </c>
      <c r="AK443">
        <v>0</v>
      </c>
      <c r="AL443" t="s">
        <v>87</v>
      </c>
      <c r="AM443" t="s">
        <v>88</v>
      </c>
      <c r="AN443" t="s">
        <v>1412</v>
      </c>
      <c r="AO443" t="s">
        <v>1413</v>
      </c>
      <c r="AP443" t="s">
        <v>1414</v>
      </c>
      <c r="AQ443" t="s">
        <v>74</v>
      </c>
      <c r="AR443" t="s">
        <v>1415</v>
      </c>
      <c r="AS443" t="s">
        <v>1416</v>
      </c>
      <c r="AT443" t="s">
        <v>8535</v>
      </c>
      <c r="AU443">
        <v>2023</v>
      </c>
      <c r="AV443" t="s">
        <v>74</v>
      </c>
      <c r="AW443" t="s">
        <v>74</v>
      </c>
      <c r="AX443" t="s">
        <v>74</v>
      </c>
      <c r="AY443" t="s">
        <v>74</v>
      </c>
      <c r="AZ443" t="s">
        <v>74</v>
      </c>
      <c r="BA443" t="s">
        <v>74</v>
      </c>
      <c r="BB443" t="s">
        <v>74</v>
      </c>
      <c r="BC443" t="s">
        <v>74</v>
      </c>
      <c r="BD443" t="s">
        <v>74</v>
      </c>
      <c r="BE443" t="s">
        <v>8666</v>
      </c>
      <c r="BF443" t="str">
        <f>HYPERLINK("http://dx.doi.org/10.1002/pol.20230404","http://dx.doi.org/10.1002/pol.20230404")</f>
        <v>http://dx.doi.org/10.1002/pol.20230404</v>
      </c>
      <c r="BG443" t="s">
        <v>74</v>
      </c>
      <c r="BH443" t="s">
        <v>7524</v>
      </c>
      <c r="BI443">
        <v>13</v>
      </c>
      <c r="BJ443" t="s">
        <v>1418</v>
      </c>
      <c r="BK443" t="s">
        <v>119</v>
      </c>
      <c r="BL443" t="s">
        <v>1418</v>
      </c>
      <c r="BM443" t="s">
        <v>8667</v>
      </c>
      <c r="BN443" t="s">
        <v>74</v>
      </c>
      <c r="BO443" t="s">
        <v>122</v>
      </c>
      <c r="BP443" t="s">
        <v>74</v>
      </c>
      <c r="BQ443" t="s">
        <v>74</v>
      </c>
      <c r="BR443" t="s">
        <v>99</v>
      </c>
      <c r="BS443" t="s">
        <v>8668</v>
      </c>
      <c r="BT443" t="str">
        <f>HYPERLINK("https%3A%2F%2Fwww.webofscience.com%2Fwos%2Fwoscc%2Ffull-record%2FWOS:001063641600001","View Full Record in Web of Science")</f>
        <v>View Full Record in Web of Science</v>
      </c>
    </row>
    <row r="444" spans="1:72" x14ac:dyDescent="0.15">
      <c r="A444" t="s">
        <v>72</v>
      </c>
      <c r="B444" t="s">
        <v>8669</v>
      </c>
      <c r="C444" t="s">
        <v>74</v>
      </c>
      <c r="D444" t="s">
        <v>74</v>
      </c>
      <c r="E444" t="s">
        <v>74</v>
      </c>
      <c r="F444" t="s">
        <v>8670</v>
      </c>
      <c r="G444" t="s">
        <v>74</v>
      </c>
      <c r="H444" t="s">
        <v>74</v>
      </c>
      <c r="I444" t="s">
        <v>8671</v>
      </c>
      <c r="J444" t="s">
        <v>6022</v>
      </c>
      <c r="K444" t="s">
        <v>74</v>
      </c>
      <c r="L444" t="s">
        <v>74</v>
      </c>
      <c r="M444" t="s">
        <v>78</v>
      </c>
      <c r="N444" t="s">
        <v>338</v>
      </c>
      <c r="O444" t="s">
        <v>74</v>
      </c>
      <c r="P444" t="s">
        <v>74</v>
      </c>
      <c r="Q444" t="s">
        <v>74</v>
      </c>
      <c r="R444" t="s">
        <v>74</v>
      </c>
      <c r="S444" t="s">
        <v>74</v>
      </c>
      <c r="T444" t="s">
        <v>8672</v>
      </c>
      <c r="U444" t="s">
        <v>8673</v>
      </c>
      <c r="V444" t="s">
        <v>8674</v>
      </c>
      <c r="W444" t="s">
        <v>8675</v>
      </c>
      <c r="X444" t="s">
        <v>8676</v>
      </c>
      <c r="Y444" t="s">
        <v>8677</v>
      </c>
      <c r="Z444" t="s">
        <v>8678</v>
      </c>
      <c r="AA444" t="s">
        <v>74</v>
      </c>
      <c r="AB444" t="s">
        <v>74</v>
      </c>
      <c r="AC444" t="s">
        <v>74</v>
      </c>
      <c r="AD444" t="s">
        <v>74</v>
      </c>
      <c r="AE444" t="s">
        <v>74</v>
      </c>
      <c r="AF444" t="s">
        <v>74</v>
      </c>
      <c r="AG444">
        <v>28</v>
      </c>
      <c r="AH444">
        <v>0</v>
      </c>
      <c r="AI444">
        <v>0</v>
      </c>
      <c r="AJ444">
        <v>0</v>
      </c>
      <c r="AK444">
        <v>0</v>
      </c>
      <c r="AL444" t="s">
        <v>87</v>
      </c>
      <c r="AM444" t="s">
        <v>88</v>
      </c>
      <c r="AN444" t="s">
        <v>89</v>
      </c>
      <c r="AO444" t="s">
        <v>6030</v>
      </c>
      <c r="AP444" t="s">
        <v>6031</v>
      </c>
      <c r="AQ444" t="s">
        <v>74</v>
      </c>
      <c r="AR444" t="s">
        <v>6032</v>
      </c>
      <c r="AS444" t="s">
        <v>6033</v>
      </c>
      <c r="AT444" t="s">
        <v>8535</v>
      </c>
      <c r="AU444">
        <v>2023</v>
      </c>
      <c r="AV444" t="s">
        <v>74</v>
      </c>
      <c r="AW444" t="s">
        <v>74</v>
      </c>
      <c r="AX444" t="s">
        <v>74</v>
      </c>
      <c r="AY444" t="s">
        <v>74</v>
      </c>
      <c r="AZ444" t="s">
        <v>74</v>
      </c>
      <c r="BA444" t="s">
        <v>74</v>
      </c>
      <c r="BB444" t="s">
        <v>74</v>
      </c>
      <c r="BC444" t="s">
        <v>74</v>
      </c>
      <c r="BD444" t="s">
        <v>74</v>
      </c>
      <c r="BE444" t="s">
        <v>8679</v>
      </c>
      <c r="BF444" t="str">
        <f>HYPERLINK("http://dx.doi.org/10.1002/bin.1976","http://dx.doi.org/10.1002/bin.1976")</f>
        <v>http://dx.doi.org/10.1002/bin.1976</v>
      </c>
      <c r="BG444" t="s">
        <v>74</v>
      </c>
      <c r="BH444" t="s">
        <v>7524</v>
      </c>
      <c r="BI444">
        <v>11</v>
      </c>
      <c r="BJ444" t="s">
        <v>6035</v>
      </c>
      <c r="BK444" t="s">
        <v>546</v>
      </c>
      <c r="BL444" t="s">
        <v>1210</v>
      </c>
      <c r="BM444" t="s">
        <v>8680</v>
      </c>
      <c r="BN444" t="s">
        <v>74</v>
      </c>
      <c r="BO444" t="s">
        <v>74</v>
      </c>
      <c r="BP444" t="s">
        <v>74</v>
      </c>
      <c r="BQ444" t="s">
        <v>74</v>
      </c>
      <c r="BR444" t="s">
        <v>99</v>
      </c>
      <c r="BS444" t="s">
        <v>8681</v>
      </c>
      <c r="BT444" t="str">
        <f>HYPERLINK("https%3A%2F%2Fwww.webofscience.com%2Fwos%2Fwoscc%2Ffull-record%2FWOS:001060406200001","View Full Record in Web of Science")</f>
        <v>View Full Record in Web of Science</v>
      </c>
    </row>
    <row r="445" spans="1:72" x14ac:dyDescent="0.15">
      <c r="A445" t="s">
        <v>72</v>
      </c>
      <c r="B445" t="s">
        <v>8682</v>
      </c>
      <c r="C445" t="s">
        <v>74</v>
      </c>
      <c r="D445" t="s">
        <v>74</v>
      </c>
      <c r="E445" t="s">
        <v>74</v>
      </c>
      <c r="F445" t="s">
        <v>8683</v>
      </c>
      <c r="G445" t="s">
        <v>74</v>
      </c>
      <c r="H445" t="s">
        <v>74</v>
      </c>
      <c r="I445" t="s">
        <v>8684</v>
      </c>
      <c r="J445" t="s">
        <v>8685</v>
      </c>
      <c r="K445" t="s">
        <v>74</v>
      </c>
      <c r="L445" t="s">
        <v>74</v>
      </c>
      <c r="M445" t="s">
        <v>78</v>
      </c>
      <c r="N445" t="s">
        <v>79</v>
      </c>
      <c r="O445" t="s">
        <v>74</v>
      </c>
      <c r="P445" t="s">
        <v>74</v>
      </c>
      <c r="Q445" t="s">
        <v>74</v>
      </c>
      <c r="R445" t="s">
        <v>74</v>
      </c>
      <c r="S445" t="s">
        <v>74</v>
      </c>
      <c r="T445" t="s">
        <v>8686</v>
      </c>
      <c r="U445" t="s">
        <v>8687</v>
      </c>
      <c r="V445" t="s">
        <v>8688</v>
      </c>
      <c r="W445" t="s">
        <v>8689</v>
      </c>
      <c r="X445" t="s">
        <v>8690</v>
      </c>
      <c r="Y445" t="s">
        <v>8691</v>
      </c>
      <c r="Z445" t="s">
        <v>8692</v>
      </c>
      <c r="AA445" t="s">
        <v>74</v>
      </c>
      <c r="AB445" t="s">
        <v>8693</v>
      </c>
      <c r="AC445" t="s">
        <v>8694</v>
      </c>
      <c r="AD445" t="s">
        <v>8694</v>
      </c>
      <c r="AE445" t="s">
        <v>8695</v>
      </c>
      <c r="AF445" t="s">
        <v>74</v>
      </c>
      <c r="AG445">
        <v>48</v>
      </c>
      <c r="AH445">
        <v>0</v>
      </c>
      <c r="AI445">
        <v>0</v>
      </c>
      <c r="AJ445">
        <v>2</v>
      </c>
      <c r="AK445">
        <v>2</v>
      </c>
      <c r="AL445" t="s">
        <v>87</v>
      </c>
      <c r="AM445" t="s">
        <v>88</v>
      </c>
      <c r="AN445" t="s">
        <v>89</v>
      </c>
      <c r="AO445" t="s">
        <v>8696</v>
      </c>
      <c r="AP445" t="s">
        <v>8697</v>
      </c>
      <c r="AQ445" t="s">
        <v>74</v>
      </c>
      <c r="AR445" t="s">
        <v>8698</v>
      </c>
      <c r="AS445" t="s">
        <v>8699</v>
      </c>
      <c r="AT445" t="s">
        <v>8478</v>
      </c>
      <c r="AU445">
        <v>2023</v>
      </c>
      <c r="AV445" t="s">
        <v>74</v>
      </c>
      <c r="AW445" t="s">
        <v>74</v>
      </c>
      <c r="AX445" t="s">
        <v>74</v>
      </c>
      <c r="AY445" t="s">
        <v>74</v>
      </c>
      <c r="AZ445" t="s">
        <v>74</v>
      </c>
      <c r="BA445" t="s">
        <v>74</v>
      </c>
      <c r="BB445" t="s">
        <v>74</v>
      </c>
      <c r="BC445" t="s">
        <v>74</v>
      </c>
      <c r="BD445" t="s">
        <v>8700</v>
      </c>
      <c r="BE445" t="s">
        <v>8701</v>
      </c>
      <c r="BF445" t="str">
        <f>HYPERLINK("http://dx.doi.org/10.1002/aic.18224","http://dx.doi.org/10.1002/aic.18224")</f>
        <v>http://dx.doi.org/10.1002/aic.18224</v>
      </c>
      <c r="BG445" t="s">
        <v>74</v>
      </c>
      <c r="BH445" t="s">
        <v>74</v>
      </c>
      <c r="BI445">
        <v>20</v>
      </c>
      <c r="BJ445" t="s">
        <v>8702</v>
      </c>
      <c r="BK445" t="s">
        <v>119</v>
      </c>
      <c r="BL445" t="s">
        <v>1250</v>
      </c>
      <c r="BM445" t="s">
        <v>8703</v>
      </c>
      <c r="BN445" t="s">
        <v>74</v>
      </c>
      <c r="BO445" t="s">
        <v>5713</v>
      </c>
      <c r="BP445" t="s">
        <v>74</v>
      </c>
      <c r="BQ445" t="s">
        <v>74</v>
      </c>
      <c r="BR445" t="s">
        <v>99</v>
      </c>
      <c r="BS445" t="s">
        <v>8704</v>
      </c>
      <c r="BT445" t="str">
        <f>HYPERLINK("https%3A%2F%2Fwww.webofscience.com%2Fwos%2Fwoscc%2Ffull-record%2FWOS:001056816500001","View Full Record in Web of Science")</f>
        <v>View Full Record in Web of Science</v>
      </c>
    </row>
    <row r="446" spans="1:72" x14ac:dyDescent="0.15">
      <c r="A446" t="s">
        <v>72</v>
      </c>
      <c r="B446" t="s">
        <v>8705</v>
      </c>
      <c r="C446" t="s">
        <v>74</v>
      </c>
      <c r="D446" t="s">
        <v>74</v>
      </c>
      <c r="E446" t="s">
        <v>74</v>
      </c>
      <c r="F446" t="s">
        <v>8706</v>
      </c>
      <c r="G446" t="s">
        <v>74</v>
      </c>
      <c r="H446" t="s">
        <v>74</v>
      </c>
      <c r="I446" t="s">
        <v>8707</v>
      </c>
      <c r="J446" t="s">
        <v>8708</v>
      </c>
      <c r="K446" t="s">
        <v>74</v>
      </c>
      <c r="L446" t="s">
        <v>74</v>
      </c>
      <c r="M446" t="s">
        <v>78</v>
      </c>
      <c r="N446" t="s">
        <v>79</v>
      </c>
      <c r="O446" t="s">
        <v>74</v>
      </c>
      <c r="P446" t="s">
        <v>74</v>
      </c>
      <c r="Q446" t="s">
        <v>74</v>
      </c>
      <c r="R446" t="s">
        <v>74</v>
      </c>
      <c r="S446" t="s">
        <v>74</v>
      </c>
      <c r="T446" t="s">
        <v>8709</v>
      </c>
      <c r="U446" t="s">
        <v>8710</v>
      </c>
      <c r="V446" t="s">
        <v>8711</v>
      </c>
      <c r="W446" t="s">
        <v>8712</v>
      </c>
      <c r="X446" t="s">
        <v>8713</v>
      </c>
      <c r="Y446" t="s">
        <v>8714</v>
      </c>
      <c r="Z446" t="s">
        <v>8715</v>
      </c>
      <c r="AA446" t="s">
        <v>74</v>
      </c>
      <c r="AB446" t="s">
        <v>74</v>
      </c>
      <c r="AC446" t="s">
        <v>74</v>
      </c>
      <c r="AD446" t="s">
        <v>74</v>
      </c>
      <c r="AE446" t="s">
        <v>74</v>
      </c>
      <c r="AF446" t="s">
        <v>74</v>
      </c>
      <c r="AG446">
        <v>17</v>
      </c>
      <c r="AH446">
        <v>0</v>
      </c>
      <c r="AI446">
        <v>0</v>
      </c>
      <c r="AJ446">
        <v>0</v>
      </c>
      <c r="AK446">
        <v>0</v>
      </c>
      <c r="AL446" t="s">
        <v>87</v>
      </c>
      <c r="AM446" t="s">
        <v>88</v>
      </c>
      <c r="AN446" t="s">
        <v>89</v>
      </c>
      <c r="AO446" t="s">
        <v>8716</v>
      </c>
      <c r="AP446" t="s">
        <v>8717</v>
      </c>
      <c r="AQ446" t="s">
        <v>74</v>
      </c>
      <c r="AR446" t="s">
        <v>8718</v>
      </c>
      <c r="AS446" t="s">
        <v>8719</v>
      </c>
      <c r="AT446" t="s">
        <v>8478</v>
      </c>
      <c r="AU446">
        <v>2023</v>
      </c>
      <c r="AV446" t="s">
        <v>74</v>
      </c>
      <c r="AW446" t="s">
        <v>74</v>
      </c>
      <c r="AX446" t="s">
        <v>74</v>
      </c>
      <c r="AY446" t="s">
        <v>74</v>
      </c>
      <c r="AZ446" t="s">
        <v>74</v>
      </c>
      <c r="BA446" t="s">
        <v>74</v>
      </c>
      <c r="BB446" t="s">
        <v>74</v>
      </c>
      <c r="BC446" t="s">
        <v>74</v>
      </c>
      <c r="BD446" t="s">
        <v>8720</v>
      </c>
      <c r="BE446" t="s">
        <v>8721</v>
      </c>
      <c r="BF446" t="str">
        <f>HYPERLINK("http://dx.doi.org/10.1111/tid.14114","http://dx.doi.org/10.1111/tid.14114")</f>
        <v>http://dx.doi.org/10.1111/tid.14114</v>
      </c>
      <c r="BG446" t="s">
        <v>74</v>
      </c>
      <c r="BH446" t="s">
        <v>74</v>
      </c>
      <c r="BI446">
        <v>9</v>
      </c>
      <c r="BJ446" t="s">
        <v>8722</v>
      </c>
      <c r="BK446" t="s">
        <v>119</v>
      </c>
      <c r="BL446" t="s">
        <v>8722</v>
      </c>
      <c r="BM446" t="s">
        <v>8723</v>
      </c>
      <c r="BN446">
        <v>37639316</v>
      </c>
      <c r="BO446" t="s">
        <v>74</v>
      </c>
      <c r="BP446" t="s">
        <v>74</v>
      </c>
      <c r="BQ446" t="s">
        <v>74</v>
      </c>
      <c r="BR446" t="s">
        <v>99</v>
      </c>
      <c r="BS446" t="s">
        <v>8724</v>
      </c>
      <c r="BT446" t="str">
        <f>HYPERLINK("https%3A%2F%2Fwww.webofscience.com%2Fwos%2Fwoscc%2Ffull-record%2FWOS:001055638000001","View Full Record in Web of Science")</f>
        <v>View Full Record in Web of Science</v>
      </c>
    </row>
    <row r="447" spans="1:72" x14ac:dyDescent="0.15">
      <c r="A447" t="s">
        <v>72</v>
      </c>
      <c r="B447" t="s">
        <v>8725</v>
      </c>
      <c r="C447" t="s">
        <v>74</v>
      </c>
      <c r="D447" t="s">
        <v>74</v>
      </c>
      <c r="E447" t="s">
        <v>74</v>
      </c>
      <c r="F447" t="s">
        <v>8726</v>
      </c>
      <c r="G447" t="s">
        <v>74</v>
      </c>
      <c r="H447" t="s">
        <v>74</v>
      </c>
      <c r="I447" t="s">
        <v>8727</v>
      </c>
      <c r="J447" t="s">
        <v>1001</v>
      </c>
      <c r="K447" t="s">
        <v>74</v>
      </c>
      <c r="L447" t="s">
        <v>74</v>
      </c>
      <c r="M447" t="s">
        <v>78</v>
      </c>
      <c r="N447" t="s">
        <v>79</v>
      </c>
      <c r="O447" t="s">
        <v>74</v>
      </c>
      <c r="P447" t="s">
        <v>74</v>
      </c>
      <c r="Q447" t="s">
        <v>74</v>
      </c>
      <c r="R447" t="s">
        <v>74</v>
      </c>
      <c r="S447" t="s">
        <v>74</v>
      </c>
      <c r="T447" t="s">
        <v>8728</v>
      </c>
      <c r="U447" t="s">
        <v>8729</v>
      </c>
      <c r="V447" t="s">
        <v>8730</v>
      </c>
      <c r="W447" t="s">
        <v>8731</v>
      </c>
      <c r="X447" t="s">
        <v>8732</v>
      </c>
      <c r="Y447" t="s">
        <v>8733</v>
      </c>
      <c r="Z447" t="s">
        <v>8734</v>
      </c>
      <c r="AA447" t="s">
        <v>74</v>
      </c>
      <c r="AB447" t="s">
        <v>74</v>
      </c>
      <c r="AC447" t="s">
        <v>8735</v>
      </c>
      <c r="AD447" t="s">
        <v>8736</v>
      </c>
      <c r="AE447" t="s">
        <v>8737</v>
      </c>
      <c r="AF447" t="s">
        <v>74</v>
      </c>
      <c r="AG447">
        <v>80</v>
      </c>
      <c r="AH447">
        <v>0</v>
      </c>
      <c r="AI447">
        <v>0</v>
      </c>
      <c r="AJ447">
        <v>35</v>
      </c>
      <c r="AK447">
        <v>35</v>
      </c>
      <c r="AL447" t="s">
        <v>426</v>
      </c>
      <c r="AM447" t="s">
        <v>427</v>
      </c>
      <c r="AN447" t="s">
        <v>428</v>
      </c>
      <c r="AO447" t="s">
        <v>1014</v>
      </c>
      <c r="AP447" t="s">
        <v>1015</v>
      </c>
      <c r="AQ447" t="s">
        <v>74</v>
      </c>
      <c r="AR447" t="s">
        <v>1016</v>
      </c>
      <c r="AS447" t="s">
        <v>1017</v>
      </c>
      <c r="AT447" t="s">
        <v>8478</v>
      </c>
      <c r="AU447">
        <v>2023</v>
      </c>
      <c r="AV447" t="s">
        <v>74</v>
      </c>
      <c r="AW447" t="s">
        <v>74</v>
      </c>
      <c r="AX447" t="s">
        <v>74</v>
      </c>
      <c r="AY447" t="s">
        <v>74</v>
      </c>
      <c r="AZ447" t="s">
        <v>74</v>
      </c>
      <c r="BA447" t="s">
        <v>74</v>
      </c>
      <c r="BB447" t="s">
        <v>74</v>
      </c>
      <c r="BC447" t="s">
        <v>74</v>
      </c>
      <c r="BD447" t="s">
        <v>8738</v>
      </c>
      <c r="BE447" t="s">
        <v>8739</v>
      </c>
      <c r="BF447" t="str">
        <f>HYPERLINK("http://dx.doi.org/10.1002/anie.202310047","http://dx.doi.org/10.1002/anie.202310047")</f>
        <v>http://dx.doi.org/10.1002/anie.202310047</v>
      </c>
      <c r="BG447" t="s">
        <v>74</v>
      </c>
      <c r="BH447" t="s">
        <v>74</v>
      </c>
      <c r="BI447">
        <v>9</v>
      </c>
      <c r="BJ447" t="s">
        <v>523</v>
      </c>
      <c r="BK447" t="s">
        <v>119</v>
      </c>
      <c r="BL447" t="s">
        <v>524</v>
      </c>
      <c r="BM447" t="s">
        <v>8740</v>
      </c>
      <c r="BN447">
        <v>37593817</v>
      </c>
      <c r="BO447" t="s">
        <v>74</v>
      </c>
      <c r="BP447" t="s">
        <v>74</v>
      </c>
      <c r="BQ447" t="s">
        <v>74</v>
      </c>
      <c r="BR447" t="s">
        <v>99</v>
      </c>
      <c r="BS447" t="s">
        <v>8741</v>
      </c>
      <c r="BT447" t="str">
        <f>HYPERLINK("https%3A%2F%2Fwww.webofscience.com%2Fwos%2Fwoscc%2Ffull-record%2FWOS:001055120500001","View Full Record in Web of Science")</f>
        <v>View Full Record in Web of Science</v>
      </c>
    </row>
    <row r="448" spans="1:72" x14ac:dyDescent="0.15">
      <c r="A448" t="s">
        <v>72</v>
      </c>
      <c r="B448" t="s">
        <v>8742</v>
      </c>
      <c r="C448" t="s">
        <v>74</v>
      </c>
      <c r="D448" t="s">
        <v>74</v>
      </c>
      <c r="E448" t="s">
        <v>74</v>
      </c>
      <c r="F448" t="s">
        <v>8743</v>
      </c>
      <c r="G448" t="s">
        <v>74</v>
      </c>
      <c r="H448" t="s">
        <v>74</v>
      </c>
      <c r="I448" t="s">
        <v>8744</v>
      </c>
      <c r="J448" t="s">
        <v>981</v>
      </c>
      <c r="K448" t="s">
        <v>74</v>
      </c>
      <c r="L448" t="s">
        <v>74</v>
      </c>
      <c r="M448" t="s">
        <v>78</v>
      </c>
      <c r="N448" t="s">
        <v>338</v>
      </c>
      <c r="O448" t="s">
        <v>74</v>
      </c>
      <c r="P448" t="s">
        <v>74</v>
      </c>
      <c r="Q448" t="s">
        <v>74</v>
      </c>
      <c r="R448" t="s">
        <v>74</v>
      </c>
      <c r="S448" t="s">
        <v>74</v>
      </c>
      <c r="T448" t="s">
        <v>8745</v>
      </c>
      <c r="U448" t="s">
        <v>8746</v>
      </c>
      <c r="V448" t="s">
        <v>8747</v>
      </c>
      <c r="W448" t="s">
        <v>8748</v>
      </c>
      <c r="X448" t="s">
        <v>8749</v>
      </c>
      <c r="Y448" t="s">
        <v>8750</v>
      </c>
      <c r="Z448" t="s">
        <v>8751</v>
      </c>
      <c r="AA448" t="s">
        <v>74</v>
      </c>
      <c r="AB448" t="s">
        <v>8752</v>
      </c>
      <c r="AC448" t="s">
        <v>8753</v>
      </c>
      <c r="AD448" t="s">
        <v>8753</v>
      </c>
      <c r="AE448" t="s">
        <v>8754</v>
      </c>
      <c r="AF448" t="s">
        <v>74</v>
      </c>
      <c r="AG448">
        <v>47</v>
      </c>
      <c r="AH448">
        <v>0</v>
      </c>
      <c r="AI448">
        <v>0</v>
      </c>
      <c r="AJ448">
        <v>2</v>
      </c>
      <c r="AK448">
        <v>2</v>
      </c>
      <c r="AL448" t="s">
        <v>87</v>
      </c>
      <c r="AM448" t="s">
        <v>88</v>
      </c>
      <c r="AN448" t="s">
        <v>89</v>
      </c>
      <c r="AO448" t="s">
        <v>990</v>
      </c>
      <c r="AP448" t="s">
        <v>991</v>
      </c>
      <c r="AQ448" t="s">
        <v>74</v>
      </c>
      <c r="AR448" t="s">
        <v>992</v>
      </c>
      <c r="AS448" t="s">
        <v>993</v>
      </c>
      <c r="AT448" t="s">
        <v>8535</v>
      </c>
      <c r="AU448">
        <v>2023</v>
      </c>
      <c r="AV448" t="s">
        <v>74</v>
      </c>
      <c r="AW448" t="s">
        <v>74</v>
      </c>
      <c r="AX448" t="s">
        <v>74</v>
      </c>
      <c r="AY448" t="s">
        <v>74</v>
      </c>
      <c r="AZ448" t="s">
        <v>74</v>
      </c>
      <c r="BA448" t="s">
        <v>74</v>
      </c>
      <c r="BB448" t="s">
        <v>74</v>
      </c>
      <c r="BC448" t="s">
        <v>74</v>
      </c>
      <c r="BD448" t="s">
        <v>74</v>
      </c>
      <c r="BE448" t="s">
        <v>8755</v>
      </c>
      <c r="BF448" t="str">
        <f>HYPERLINK("http://dx.doi.org/10.1111/jomf.12938","http://dx.doi.org/10.1111/jomf.12938")</f>
        <v>http://dx.doi.org/10.1111/jomf.12938</v>
      </c>
      <c r="BG448" t="s">
        <v>74</v>
      </c>
      <c r="BH448" t="s">
        <v>7524</v>
      </c>
      <c r="BI448">
        <v>20</v>
      </c>
      <c r="BJ448" t="s">
        <v>995</v>
      </c>
      <c r="BK448" t="s">
        <v>546</v>
      </c>
      <c r="BL448" t="s">
        <v>995</v>
      </c>
      <c r="BM448" t="s">
        <v>8756</v>
      </c>
      <c r="BN448" t="s">
        <v>74</v>
      </c>
      <c r="BO448" t="s">
        <v>122</v>
      </c>
      <c r="BP448" t="s">
        <v>74</v>
      </c>
      <c r="BQ448" t="s">
        <v>74</v>
      </c>
      <c r="BR448" t="s">
        <v>99</v>
      </c>
      <c r="BS448" t="s">
        <v>8757</v>
      </c>
      <c r="BT448" t="str">
        <f>HYPERLINK("https%3A%2F%2Fwww.webofscience.com%2Fwos%2Fwoscc%2Ffull-record%2FWOS:001063763300001","View Full Record in Web of Science")</f>
        <v>View Full Record in Web of Science</v>
      </c>
    </row>
    <row r="449" spans="1:72" x14ac:dyDescent="0.15">
      <c r="A449" t="s">
        <v>72</v>
      </c>
      <c r="B449" t="s">
        <v>8758</v>
      </c>
      <c r="C449" t="s">
        <v>74</v>
      </c>
      <c r="D449" t="s">
        <v>74</v>
      </c>
      <c r="E449" t="s">
        <v>74</v>
      </c>
      <c r="F449" t="s">
        <v>8759</v>
      </c>
      <c r="G449" t="s">
        <v>74</v>
      </c>
      <c r="H449" t="s">
        <v>74</v>
      </c>
      <c r="I449" t="s">
        <v>8760</v>
      </c>
      <c r="J449" t="s">
        <v>8761</v>
      </c>
      <c r="K449" t="s">
        <v>74</v>
      </c>
      <c r="L449" t="s">
        <v>74</v>
      </c>
      <c r="M449" t="s">
        <v>78</v>
      </c>
      <c r="N449" t="s">
        <v>338</v>
      </c>
      <c r="O449" t="s">
        <v>74</v>
      </c>
      <c r="P449" t="s">
        <v>74</v>
      </c>
      <c r="Q449" t="s">
        <v>74</v>
      </c>
      <c r="R449" t="s">
        <v>74</v>
      </c>
      <c r="S449" t="s">
        <v>74</v>
      </c>
      <c r="T449" t="s">
        <v>8762</v>
      </c>
      <c r="U449" t="s">
        <v>74</v>
      </c>
      <c r="V449" t="s">
        <v>8763</v>
      </c>
      <c r="W449" t="s">
        <v>8764</v>
      </c>
      <c r="X449" t="s">
        <v>8765</v>
      </c>
      <c r="Y449" t="s">
        <v>8766</v>
      </c>
      <c r="Z449" t="s">
        <v>8767</v>
      </c>
      <c r="AA449" t="s">
        <v>8768</v>
      </c>
      <c r="AB449" t="s">
        <v>8769</v>
      </c>
      <c r="AC449" t="s">
        <v>8770</v>
      </c>
      <c r="AD449" t="s">
        <v>8770</v>
      </c>
      <c r="AE449" t="s">
        <v>8771</v>
      </c>
      <c r="AF449" t="s">
        <v>74</v>
      </c>
      <c r="AG449">
        <v>33</v>
      </c>
      <c r="AH449">
        <v>0</v>
      </c>
      <c r="AI449">
        <v>0</v>
      </c>
      <c r="AJ449">
        <v>0</v>
      </c>
      <c r="AK449">
        <v>0</v>
      </c>
      <c r="AL449" t="s">
        <v>87</v>
      </c>
      <c r="AM449" t="s">
        <v>88</v>
      </c>
      <c r="AN449" t="s">
        <v>89</v>
      </c>
      <c r="AO449" t="s">
        <v>8772</v>
      </c>
      <c r="AP449" t="s">
        <v>8773</v>
      </c>
      <c r="AQ449" t="s">
        <v>74</v>
      </c>
      <c r="AR449" t="s">
        <v>8774</v>
      </c>
      <c r="AS449" t="s">
        <v>8775</v>
      </c>
      <c r="AT449" t="s">
        <v>8776</v>
      </c>
      <c r="AU449">
        <v>2023</v>
      </c>
      <c r="AV449" t="s">
        <v>74</v>
      </c>
      <c r="AW449" t="s">
        <v>74</v>
      </c>
      <c r="AX449" t="s">
        <v>74</v>
      </c>
      <c r="AY449" t="s">
        <v>74</v>
      </c>
      <c r="AZ449" t="s">
        <v>74</v>
      </c>
      <c r="BA449" t="s">
        <v>74</v>
      </c>
      <c r="BB449" t="s">
        <v>74</v>
      </c>
      <c r="BC449" t="s">
        <v>74</v>
      </c>
      <c r="BD449" t="s">
        <v>74</v>
      </c>
      <c r="BE449" t="s">
        <v>8777</v>
      </c>
      <c r="BF449" t="str">
        <f>HYPERLINK("http://dx.doi.org/10.1111/ahe.12958","http://dx.doi.org/10.1111/ahe.12958")</f>
        <v>http://dx.doi.org/10.1111/ahe.12958</v>
      </c>
      <c r="BG449" t="s">
        <v>74</v>
      </c>
      <c r="BH449" t="s">
        <v>7524</v>
      </c>
      <c r="BI449">
        <v>6</v>
      </c>
      <c r="BJ449" t="s">
        <v>8778</v>
      </c>
      <c r="BK449" t="s">
        <v>119</v>
      </c>
      <c r="BL449" t="s">
        <v>8778</v>
      </c>
      <c r="BM449" t="s">
        <v>8779</v>
      </c>
      <c r="BN449">
        <v>37635393</v>
      </c>
      <c r="BO449" t="s">
        <v>122</v>
      </c>
      <c r="BP449" t="s">
        <v>74</v>
      </c>
      <c r="BQ449" t="s">
        <v>74</v>
      </c>
      <c r="BR449" t="s">
        <v>99</v>
      </c>
      <c r="BS449" t="s">
        <v>8780</v>
      </c>
      <c r="BT449" t="str">
        <f>HYPERLINK("https%3A%2F%2Fwww.webofscience.com%2Fwos%2Fwoscc%2Ffull-record%2FWOS:001063712300001","View Full Record in Web of Science")</f>
        <v>View Full Record in Web of Science</v>
      </c>
    </row>
    <row r="450" spans="1:72" x14ac:dyDescent="0.15">
      <c r="A450" t="s">
        <v>72</v>
      </c>
      <c r="B450" t="s">
        <v>8781</v>
      </c>
      <c r="C450" t="s">
        <v>74</v>
      </c>
      <c r="D450" t="s">
        <v>74</v>
      </c>
      <c r="E450" t="s">
        <v>74</v>
      </c>
      <c r="F450" t="s">
        <v>8782</v>
      </c>
      <c r="G450" t="s">
        <v>74</v>
      </c>
      <c r="H450" t="s">
        <v>74</v>
      </c>
      <c r="I450" t="s">
        <v>8783</v>
      </c>
      <c r="J450" t="s">
        <v>875</v>
      </c>
      <c r="K450" t="s">
        <v>74</v>
      </c>
      <c r="L450" t="s">
        <v>74</v>
      </c>
      <c r="M450" t="s">
        <v>78</v>
      </c>
      <c r="N450" t="s">
        <v>79</v>
      </c>
      <c r="O450" t="s">
        <v>74</v>
      </c>
      <c r="P450" t="s">
        <v>74</v>
      </c>
      <c r="Q450" t="s">
        <v>74</v>
      </c>
      <c r="R450" t="s">
        <v>74</v>
      </c>
      <c r="S450" t="s">
        <v>74</v>
      </c>
      <c r="T450" t="s">
        <v>8784</v>
      </c>
      <c r="U450" t="s">
        <v>8785</v>
      </c>
      <c r="V450" t="s">
        <v>8786</v>
      </c>
      <c r="W450" t="s">
        <v>8787</v>
      </c>
      <c r="X450" t="s">
        <v>8788</v>
      </c>
      <c r="Y450" t="s">
        <v>8789</v>
      </c>
      <c r="Z450" t="s">
        <v>8790</v>
      </c>
      <c r="AA450" t="s">
        <v>74</v>
      </c>
      <c r="AB450" t="s">
        <v>74</v>
      </c>
      <c r="AC450" t="s">
        <v>8791</v>
      </c>
      <c r="AD450" t="s">
        <v>8792</v>
      </c>
      <c r="AE450" t="s">
        <v>8793</v>
      </c>
      <c r="AF450" t="s">
        <v>74</v>
      </c>
      <c r="AG450">
        <v>82</v>
      </c>
      <c r="AH450">
        <v>0</v>
      </c>
      <c r="AI450">
        <v>0</v>
      </c>
      <c r="AJ450">
        <v>0</v>
      </c>
      <c r="AK450">
        <v>0</v>
      </c>
      <c r="AL450" t="s">
        <v>426</v>
      </c>
      <c r="AM450" t="s">
        <v>427</v>
      </c>
      <c r="AN450" t="s">
        <v>428</v>
      </c>
      <c r="AO450" t="s">
        <v>886</v>
      </c>
      <c r="AP450" t="s">
        <v>887</v>
      </c>
      <c r="AQ450" t="s">
        <v>74</v>
      </c>
      <c r="AR450" t="s">
        <v>888</v>
      </c>
      <c r="AS450" t="s">
        <v>889</v>
      </c>
      <c r="AT450" t="s">
        <v>8794</v>
      </c>
      <c r="AU450">
        <v>2023</v>
      </c>
      <c r="AV450" t="s">
        <v>74</v>
      </c>
      <c r="AW450" t="s">
        <v>74</v>
      </c>
      <c r="AX450" t="s">
        <v>74</v>
      </c>
      <c r="AY450" t="s">
        <v>74</v>
      </c>
      <c r="AZ450" t="s">
        <v>74</v>
      </c>
      <c r="BA450" t="s">
        <v>74</v>
      </c>
      <c r="BB450" t="s">
        <v>74</v>
      </c>
      <c r="BC450" t="s">
        <v>74</v>
      </c>
      <c r="BD450">
        <v>2304672</v>
      </c>
      <c r="BE450" t="s">
        <v>8795</v>
      </c>
      <c r="BF450" t="str">
        <f>HYPERLINK("http://dx.doi.org/10.1002/adfm.202304672","http://dx.doi.org/10.1002/adfm.202304672")</f>
        <v>http://dx.doi.org/10.1002/adfm.202304672</v>
      </c>
      <c r="BG450" t="s">
        <v>74</v>
      </c>
      <c r="BH450" t="s">
        <v>74</v>
      </c>
      <c r="BI450">
        <v>14</v>
      </c>
      <c r="BJ450" t="s">
        <v>609</v>
      </c>
      <c r="BK450" t="s">
        <v>119</v>
      </c>
      <c r="BL450" t="s">
        <v>610</v>
      </c>
      <c r="BM450" t="s">
        <v>8796</v>
      </c>
      <c r="BN450" t="s">
        <v>74</v>
      </c>
      <c r="BO450" t="s">
        <v>74</v>
      </c>
      <c r="BP450" t="s">
        <v>74</v>
      </c>
      <c r="BQ450" t="s">
        <v>74</v>
      </c>
      <c r="BR450" t="s">
        <v>99</v>
      </c>
      <c r="BS450" t="s">
        <v>8797</v>
      </c>
      <c r="BT450" t="str">
        <f>HYPERLINK("https%3A%2F%2Fwww.webofscience.com%2Fwos%2Fwoscc%2Ffull-record%2FWOS:001056457400001","View Full Record in Web of Science")</f>
        <v>View Full Record in Web of Science</v>
      </c>
    </row>
    <row r="451" spans="1:72" x14ac:dyDescent="0.15">
      <c r="A451" t="s">
        <v>72</v>
      </c>
      <c r="B451" t="s">
        <v>8798</v>
      </c>
      <c r="C451" t="s">
        <v>74</v>
      </c>
      <c r="D451" t="s">
        <v>74</v>
      </c>
      <c r="E451" t="s">
        <v>74</v>
      </c>
      <c r="F451" t="s">
        <v>8799</v>
      </c>
      <c r="G451" t="s">
        <v>74</v>
      </c>
      <c r="H451" t="s">
        <v>74</v>
      </c>
      <c r="I451" t="s">
        <v>8800</v>
      </c>
      <c r="J451" t="s">
        <v>8801</v>
      </c>
      <c r="K451" t="s">
        <v>74</v>
      </c>
      <c r="L451" t="s">
        <v>74</v>
      </c>
      <c r="M451" t="s">
        <v>78</v>
      </c>
      <c r="N451" t="s">
        <v>338</v>
      </c>
      <c r="O451" t="s">
        <v>74</v>
      </c>
      <c r="P451" t="s">
        <v>74</v>
      </c>
      <c r="Q451" t="s">
        <v>74</v>
      </c>
      <c r="R451" t="s">
        <v>74</v>
      </c>
      <c r="S451" t="s">
        <v>74</v>
      </c>
      <c r="T451" t="s">
        <v>8802</v>
      </c>
      <c r="U451" t="s">
        <v>8803</v>
      </c>
      <c r="V451" t="s">
        <v>8804</v>
      </c>
      <c r="W451" t="s">
        <v>8805</v>
      </c>
      <c r="X451" t="s">
        <v>8806</v>
      </c>
      <c r="Y451" t="s">
        <v>8807</v>
      </c>
      <c r="Z451" t="s">
        <v>8808</v>
      </c>
      <c r="AA451" t="s">
        <v>74</v>
      </c>
      <c r="AB451" t="s">
        <v>8809</v>
      </c>
      <c r="AC451" t="s">
        <v>8810</v>
      </c>
      <c r="AD451" t="s">
        <v>8811</v>
      </c>
      <c r="AE451" t="s">
        <v>8812</v>
      </c>
      <c r="AF451" t="s">
        <v>74</v>
      </c>
      <c r="AG451">
        <v>32</v>
      </c>
      <c r="AH451">
        <v>0</v>
      </c>
      <c r="AI451">
        <v>0</v>
      </c>
      <c r="AJ451">
        <v>0</v>
      </c>
      <c r="AK451">
        <v>0</v>
      </c>
      <c r="AL451" t="s">
        <v>87</v>
      </c>
      <c r="AM451" t="s">
        <v>88</v>
      </c>
      <c r="AN451" t="s">
        <v>89</v>
      </c>
      <c r="AO451" t="s">
        <v>74</v>
      </c>
      <c r="AP451" t="s">
        <v>8813</v>
      </c>
      <c r="AQ451" t="s">
        <v>74</v>
      </c>
      <c r="AR451" t="s">
        <v>8814</v>
      </c>
      <c r="AS451" t="s">
        <v>8815</v>
      </c>
      <c r="AT451" t="s">
        <v>8776</v>
      </c>
      <c r="AU451">
        <v>2023</v>
      </c>
      <c r="AV451" t="s">
        <v>74</v>
      </c>
      <c r="AW451" t="s">
        <v>74</v>
      </c>
      <c r="AX451" t="s">
        <v>74</v>
      </c>
      <c r="AY451" t="s">
        <v>74</v>
      </c>
      <c r="AZ451" t="s">
        <v>74</v>
      </c>
      <c r="BA451" t="s">
        <v>74</v>
      </c>
      <c r="BB451" t="s">
        <v>74</v>
      </c>
      <c r="BC451" t="s">
        <v>74</v>
      </c>
      <c r="BD451" t="s">
        <v>74</v>
      </c>
      <c r="BE451" t="s">
        <v>8816</v>
      </c>
      <c r="BF451" t="str">
        <f>HYPERLINK("http://dx.doi.org/10.1111/acer.15163","http://dx.doi.org/10.1111/acer.15163")</f>
        <v>http://dx.doi.org/10.1111/acer.15163</v>
      </c>
      <c r="BG451" t="s">
        <v>74</v>
      </c>
      <c r="BH451" t="s">
        <v>7524</v>
      </c>
      <c r="BI451">
        <v>9</v>
      </c>
      <c r="BJ451" t="s">
        <v>8817</v>
      </c>
      <c r="BK451" t="s">
        <v>119</v>
      </c>
      <c r="BL451" t="s">
        <v>8817</v>
      </c>
      <c r="BM451" t="s">
        <v>8818</v>
      </c>
      <c r="BN451">
        <v>37553910</v>
      </c>
      <c r="BO451" t="s">
        <v>122</v>
      </c>
      <c r="BP451" t="s">
        <v>74</v>
      </c>
      <c r="BQ451" t="s">
        <v>74</v>
      </c>
      <c r="BR451" t="s">
        <v>99</v>
      </c>
      <c r="BS451" t="s">
        <v>8819</v>
      </c>
      <c r="BT451" t="str">
        <f>HYPERLINK("https%3A%2F%2Fwww.webofscience.com%2Fwos%2Fwoscc%2Ffull-record%2FWOS:001063712700001","View Full Record in Web of Science")</f>
        <v>View Full Record in Web of Science</v>
      </c>
    </row>
    <row r="452" spans="1:72" x14ac:dyDescent="0.15">
      <c r="A452" t="s">
        <v>72</v>
      </c>
      <c r="B452" t="s">
        <v>8820</v>
      </c>
      <c r="C452" t="s">
        <v>74</v>
      </c>
      <c r="D452" t="s">
        <v>74</v>
      </c>
      <c r="E452" t="s">
        <v>74</v>
      </c>
      <c r="F452" t="s">
        <v>8821</v>
      </c>
      <c r="G452" t="s">
        <v>74</v>
      </c>
      <c r="H452" t="s">
        <v>74</v>
      </c>
      <c r="I452" t="s">
        <v>8822</v>
      </c>
      <c r="J452" t="s">
        <v>1587</v>
      </c>
      <c r="K452" t="s">
        <v>74</v>
      </c>
      <c r="L452" t="s">
        <v>74</v>
      </c>
      <c r="M452" t="s">
        <v>78</v>
      </c>
      <c r="N452" t="s">
        <v>338</v>
      </c>
      <c r="O452" t="s">
        <v>74</v>
      </c>
      <c r="P452" t="s">
        <v>74</v>
      </c>
      <c r="Q452" t="s">
        <v>74</v>
      </c>
      <c r="R452" t="s">
        <v>74</v>
      </c>
      <c r="S452" t="s">
        <v>74</v>
      </c>
      <c r="T452" t="s">
        <v>8823</v>
      </c>
      <c r="U452" t="s">
        <v>8824</v>
      </c>
      <c r="V452" t="s">
        <v>8825</v>
      </c>
      <c r="W452" t="s">
        <v>8826</v>
      </c>
      <c r="X452" t="s">
        <v>8827</v>
      </c>
      <c r="Y452" t="s">
        <v>8828</v>
      </c>
      <c r="Z452" t="s">
        <v>8829</v>
      </c>
      <c r="AA452" t="s">
        <v>74</v>
      </c>
      <c r="AB452" t="s">
        <v>74</v>
      </c>
      <c r="AC452" t="s">
        <v>8830</v>
      </c>
      <c r="AD452" t="s">
        <v>8830</v>
      </c>
      <c r="AE452" t="s">
        <v>8830</v>
      </c>
      <c r="AF452" t="s">
        <v>74</v>
      </c>
      <c r="AG452">
        <v>39</v>
      </c>
      <c r="AH452">
        <v>0</v>
      </c>
      <c r="AI452">
        <v>0</v>
      </c>
      <c r="AJ452">
        <v>0</v>
      </c>
      <c r="AK452">
        <v>0</v>
      </c>
      <c r="AL452" t="s">
        <v>87</v>
      </c>
      <c r="AM452" t="s">
        <v>88</v>
      </c>
      <c r="AN452" t="s">
        <v>89</v>
      </c>
      <c r="AO452" t="s">
        <v>1599</v>
      </c>
      <c r="AP452" t="s">
        <v>1600</v>
      </c>
      <c r="AQ452" t="s">
        <v>74</v>
      </c>
      <c r="AR452" t="s">
        <v>1601</v>
      </c>
      <c r="AS452" t="s">
        <v>1602</v>
      </c>
      <c r="AT452" t="s">
        <v>8776</v>
      </c>
      <c r="AU452">
        <v>2023</v>
      </c>
      <c r="AV452" t="s">
        <v>74</v>
      </c>
      <c r="AW452" t="s">
        <v>74</v>
      </c>
      <c r="AX452" t="s">
        <v>74</v>
      </c>
      <c r="AY452" t="s">
        <v>74</v>
      </c>
      <c r="AZ452" t="s">
        <v>74</v>
      </c>
      <c r="BA452" t="s">
        <v>74</v>
      </c>
      <c r="BB452" t="s">
        <v>74</v>
      </c>
      <c r="BC452" t="s">
        <v>74</v>
      </c>
      <c r="BD452" t="s">
        <v>74</v>
      </c>
      <c r="BE452" t="s">
        <v>8831</v>
      </c>
      <c r="BF452" t="str">
        <f>HYPERLINK("http://dx.doi.org/10.1111/1756-185X.14860","http://dx.doi.org/10.1111/1756-185X.14860")</f>
        <v>http://dx.doi.org/10.1111/1756-185X.14860</v>
      </c>
      <c r="BG452" t="s">
        <v>74</v>
      </c>
      <c r="BH452" t="s">
        <v>7524</v>
      </c>
      <c r="BI452">
        <v>10</v>
      </c>
      <c r="BJ452" t="s">
        <v>1604</v>
      </c>
      <c r="BK452" t="s">
        <v>119</v>
      </c>
      <c r="BL452" t="s">
        <v>1604</v>
      </c>
      <c r="BM452" t="s">
        <v>8832</v>
      </c>
      <c r="BN452">
        <v>37635355</v>
      </c>
      <c r="BO452" t="s">
        <v>74</v>
      </c>
      <c r="BP452" t="s">
        <v>74</v>
      </c>
      <c r="BQ452" t="s">
        <v>74</v>
      </c>
      <c r="BR452" t="s">
        <v>99</v>
      </c>
      <c r="BS452" t="s">
        <v>8833</v>
      </c>
      <c r="BT452" t="str">
        <f>HYPERLINK("https%3A%2F%2Fwww.webofscience.com%2Fwos%2Fwoscc%2Ffull-record%2FWOS:001063727200001","View Full Record in Web of Science")</f>
        <v>View Full Record in Web of Science</v>
      </c>
    </row>
    <row r="453" spans="1:72" x14ac:dyDescent="0.15">
      <c r="A453" t="s">
        <v>72</v>
      </c>
      <c r="B453" t="s">
        <v>8834</v>
      </c>
      <c r="C453" t="s">
        <v>74</v>
      </c>
      <c r="D453" t="s">
        <v>74</v>
      </c>
      <c r="E453" t="s">
        <v>74</v>
      </c>
      <c r="F453" t="s">
        <v>8835</v>
      </c>
      <c r="G453" t="s">
        <v>74</v>
      </c>
      <c r="H453" t="s">
        <v>74</v>
      </c>
      <c r="I453" t="s">
        <v>8836</v>
      </c>
      <c r="J453" t="s">
        <v>8837</v>
      </c>
      <c r="K453" t="s">
        <v>74</v>
      </c>
      <c r="L453" t="s">
        <v>74</v>
      </c>
      <c r="M453" t="s">
        <v>78</v>
      </c>
      <c r="N453" t="s">
        <v>338</v>
      </c>
      <c r="O453" t="s">
        <v>74</v>
      </c>
      <c r="P453" t="s">
        <v>74</v>
      </c>
      <c r="Q453" t="s">
        <v>74</v>
      </c>
      <c r="R453" t="s">
        <v>74</v>
      </c>
      <c r="S453" t="s">
        <v>74</v>
      </c>
      <c r="T453" t="s">
        <v>8838</v>
      </c>
      <c r="U453" t="s">
        <v>8839</v>
      </c>
      <c r="V453" t="s">
        <v>8840</v>
      </c>
      <c r="W453" t="s">
        <v>8841</v>
      </c>
      <c r="X453" t="s">
        <v>8842</v>
      </c>
      <c r="Y453" t="s">
        <v>8843</v>
      </c>
      <c r="Z453" t="s">
        <v>8844</v>
      </c>
      <c r="AA453" t="s">
        <v>8845</v>
      </c>
      <c r="AB453" t="s">
        <v>8846</v>
      </c>
      <c r="AC453" t="s">
        <v>8847</v>
      </c>
      <c r="AD453" t="s">
        <v>8848</v>
      </c>
      <c r="AE453" t="s">
        <v>8849</v>
      </c>
      <c r="AF453" t="s">
        <v>74</v>
      </c>
      <c r="AG453">
        <v>47</v>
      </c>
      <c r="AH453">
        <v>0</v>
      </c>
      <c r="AI453">
        <v>0</v>
      </c>
      <c r="AJ453">
        <v>0</v>
      </c>
      <c r="AK453">
        <v>0</v>
      </c>
      <c r="AL453" t="s">
        <v>87</v>
      </c>
      <c r="AM453" t="s">
        <v>88</v>
      </c>
      <c r="AN453" t="s">
        <v>89</v>
      </c>
      <c r="AO453" t="s">
        <v>8850</v>
      </c>
      <c r="AP453" t="s">
        <v>8851</v>
      </c>
      <c r="AQ453" t="s">
        <v>74</v>
      </c>
      <c r="AR453" t="s">
        <v>8852</v>
      </c>
      <c r="AS453" t="s">
        <v>8853</v>
      </c>
      <c r="AT453" t="s">
        <v>8776</v>
      </c>
      <c r="AU453">
        <v>2023</v>
      </c>
      <c r="AV453" t="s">
        <v>74</v>
      </c>
      <c r="AW453" t="s">
        <v>74</v>
      </c>
      <c r="AX453" t="s">
        <v>74</v>
      </c>
      <c r="AY453" t="s">
        <v>74</v>
      </c>
      <c r="AZ453" t="s">
        <v>74</v>
      </c>
      <c r="BA453" t="s">
        <v>74</v>
      </c>
      <c r="BB453" t="s">
        <v>74</v>
      </c>
      <c r="BC453" t="s">
        <v>74</v>
      </c>
      <c r="BD453" t="s">
        <v>74</v>
      </c>
      <c r="BE453" t="s">
        <v>8854</v>
      </c>
      <c r="BF453" t="str">
        <f>HYPERLINK("http://dx.doi.org/10.1111/jfd.13852","http://dx.doi.org/10.1111/jfd.13852")</f>
        <v>http://dx.doi.org/10.1111/jfd.13852</v>
      </c>
      <c r="BG453" t="s">
        <v>74</v>
      </c>
      <c r="BH453" t="s">
        <v>7524</v>
      </c>
      <c r="BI453">
        <v>13</v>
      </c>
      <c r="BJ453" t="s">
        <v>8855</v>
      </c>
      <c r="BK453" t="s">
        <v>119</v>
      </c>
      <c r="BL453" t="s">
        <v>8855</v>
      </c>
      <c r="BM453" t="s">
        <v>8856</v>
      </c>
      <c r="BN453">
        <v>37635442</v>
      </c>
      <c r="BO453" t="s">
        <v>74</v>
      </c>
      <c r="BP453" t="s">
        <v>74</v>
      </c>
      <c r="BQ453" t="s">
        <v>74</v>
      </c>
      <c r="BR453" t="s">
        <v>99</v>
      </c>
      <c r="BS453" t="s">
        <v>8857</v>
      </c>
      <c r="BT453" t="str">
        <f>HYPERLINK("https%3A%2F%2Fwww.webofscience.com%2Fwos%2Fwoscc%2Ffull-record%2FWOS:001063754900001","View Full Record in Web of Science")</f>
        <v>View Full Record in Web of Science</v>
      </c>
    </row>
    <row r="454" spans="1:72" x14ac:dyDescent="0.15">
      <c r="A454" t="s">
        <v>72</v>
      </c>
      <c r="B454" t="s">
        <v>8858</v>
      </c>
      <c r="C454" t="s">
        <v>74</v>
      </c>
      <c r="D454" t="s">
        <v>74</v>
      </c>
      <c r="E454" t="s">
        <v>74</v>
      </c>
      <c r="F454" t="s">
        <v>8859</v>
      </c>
      <c r="G454" t="s">
        <v>74</v>
      </c>
      <c r="H454" t="s">
        <v>74</v>
      </c>
      <c r="I454" t="s">
        <v>8860</v>
      </c>
      <c r="J454" t="s">
        <v>8861</v>
      </c>
      <c r="K454" t="s">
        <v>74</v>
      </c>
      <c r="L454" t="s">
        <v>74</v>
      </c>
      <c r="M454" t="s">
        <v>78</v>
      </c>
      <c r="N454" t="s">
        <v>307</v>
      </c>
      <c r="O454" t="s">
        <v>74</v>
      </c>
      <c r="P454" t="s">
        <v>74</v>
      </c>
      <c r="Q454" t="s">
        <v>74</v>
      </c>
      <c r="R454" t="s">
        <v>74</v>
      </c>
      <c r="S454" t="s">
        <v>74</v>
      </c>
      <c r="T454" t="s">
        <v>8862</v>
      </c>
      <c r="U454" t="s">
        <v>8863</v>
      </c>
      <c r="V454" t="s">
        <v>8864</v>
      </c>
      <c r="W454" t="s">
        <v>8865</v>
      </c>
      <c r="X454" t="s">
        <v>8866</v>
      </c>
      <c r="Y454" t="s">
        <v>8867</v>
      </c>
      <c r="Z454" t="s">
        <v>8868</v>
      </c>
      <c r="AA454" t="s">
        <v>8869</v>
      </c>
      <c r="AB454" t="s">
        <v>8870</v>
      </c>
      <c r="AC454" t="s">
        <v>8871</v>
      </c>
      <c r="AD454" t="s">
        <v>8872</v>
      </c>
      <c r="AE454" t="s">
        <v>8873</v>
      </c>
      <c r="AF454" t="s">
        <v>74</v>
      </c>
      <c r="AG454">
        <v>12</v>
      </c>
      <c r="AH454">
        <v>0</v>
      </c>
      <c r="AI454">
        <v>0</v>
      </c>
      <c r="AJ454">
        <v>2</v>
      </c>
      <c r="AK454">
        <v>2</v>
      </c>
      <c r="AL454" t="s">
        <v>87</v>
      </c>
      <c r="AM454" t="s">
        <v>88</v>
      </c>
      <c r="AN454" t="s">
        <v>89</v>
      </c>
      <c r="AO454" t="s">
        <v>8874</v>
      </c>
      <c r="AP454" t="s">
        <v>8875</v>
      </c>
      <c r="AQ454" t="s">
        <v>74</v>
      </c>
      <c r="AR454" t="s">
        <v>8876</v>
      </c>
      <c r="AS454" t="s">
        <v>8877</v>
      </c>
      <c r="AT454" t="s">
        <v>8878</v>
      </c>
      <c r="AU454">
        <v>2023</v>
      </c>
      <c r="AV454" t="s">
        <v>74</v>
      </c>
      <c r="AW454" t="s">
        <v>74</v>
      </c>
      <c r="AX454" t="s">
        <v>74</v>
      </c>
      <c r="AY454" t="s">
        <v>74</v>
      </c>
      <c r="AZ454" t="s">
        <v>74</v>
      </c>
      <c r="BA454" t="s">
        <v>74</v>
      </c>
      <c r="BB454" t="s">
        <v>74</v>
      </c>
      <c r="BC454" t="s">
        <v>74</v>
      </c>
      <c r="BD454" t="s">
        <v>8879</v>
      </c>
      <c r="BE454" t="s">
        <v>8880</v>
      </c>
      <c r="BF454" t="str">
        <f>HYPERLINK("http://dx.doi.org/10.1111/opn.12572","http://dx.doi.org/10.1111/opn.12572")</f>
        <v>http://dx.doi.org/10.1111/opn.12572</v>
      </c>
      <c r="BG454" t="s">
        <v>74</v>
      </c>
      <c r="BH454" t="s">
        <v>74</v>
      </c>
      <c r="BI454">
        <v>5</v>
      </c>
      <c r="BJ454" t="s">
        <v>8881</v>
      </c>
      <c r="BK454" t="s">
        <v>409</v>
      </c>
      <c r="BL454" t="s">
        <v>8882</v>
      </c>
      <c r="BM454" t="s">
        <v>8883</v>
      </c>
      <c r="BN454">
        <v>37632269</v>
      </c>
      <c r="BO454" t="s">
        <v>301</v>
      </c>
      <c r="BP454" t="s">
        <v>74</v>
      </c>
      <c r="BQ454" t="s">
        <v>74</v>
      </c>
      <c r="BR454" t="s">
        <v>99</v>
      </c>
      <c r="BS454" t="s">
        <v>8884</v>
      </c>
      <c r="BT454" t="str">
        <f>HYPERLINK("https%3A%2F%2Fwww.webofscience.com%2Fwos%2Fwoscc%2Ffull-record%2FWOS:001054426900001","View Full Record in Web of Science")</f>
        <v>View Full Record in Web of Science</v>
      </c>
    </row>
    <row r="455" spans="1:72" x14ac:dyDescent="0.15">
      <c r="A455" t="s">
        <v>72</v>
      </c>
      <c r="B455" t="s">
        <v>8885</v>
      </c>
      <c r="C455" t="s">
        <v>74</v>
      </c>
      <c r="D455" t="s">
        <v>74</v>
      </c>
      <c r="E455" t="s">
        <v>74</v>
      </c>
      <c r="F455" t="s">
        <v>8886</v>
      </c>
      <c r="G455" t="s">
        <v>74</v>
      </c>
      <c r="H455" t="s">
        <v>8887</v>
      </c>
      <c r="I455" t="s">
        <v>8888</v>
      </c>
      <c r="J455" t="s">
        <v>4340</v>
      </c>
      <c r="K455" t="s">
        <v>74</v>
      </c>
      <c r="L455" t="s">
        <v>74</v>
      </c>
      <c r="M455" t="s">
        <v>78</v>
      </c>
      <c r="N455" t="s">
        <v>338</v>
      </c>
      <c r="O455" t="s">
        <v>74</v>
      </c>
      <c r="P455" t="s">
        <v>74</v>
      </c>
      <c r="Q455" t="s">
        <v>74</v>
      </c>
      <c r="R455" t="s">
        <v>74</v>
      </c>
      <c r="S455" t="s">
        <v>74</v>
      </c>
      <c r="T455" t="s">
        <v>8889</v>
      </c>
      <c r="U455" t="s">
        <v>8890</v>
      </c>
      <c r="V455" t="s">
        <v>8891</v>
      </c>
      <c r="W455" t="s">
        <v>8892</v>
      </c>
      <c r="X455" t="s">
        <v>8893</v>
      </c>
      <c r="Y455" t="s">
        <v>8894</v>
      </c>
      <c r="Z455" t="s">
        <v>8895</v>
      </c>
      <c r="AA455" t="s">
        <v>74</v>
      </c>
      <c r="AB455" t="s">
        <v>8896</v>
      </c>
      <c r="AC455" t="s">
        <v>8897</v>
      </c>
      <c r="AD455" t="s">
        <v>8898</v>
      </c>
      <c r="AE455" t="s">
        <v>8899</v>
      </c>
      <c r="AF455" t="s">
        <v>74</v>
      </c>
      <c r="AG455">
        <v>28</v>
      </c>
      <c r="AH455">
        <v>0</v>
      </c>
      <c r="AI455">
        <v>0</v>
      </c>
      <c r="AJ455">
        <v>2</v>
      </c>
      <c r="AK455">
        <v>2</v>
      </c>
      <c r="AL455" t="s">
        <v>87</v>
      </c>
      <c r="AM455" t="s">
        <v>88</v>
      </c>
      <c r="AN455" t="s">
        <v>89</v>
      </c>
      <c r="AO455" t="s">
        <v>4353</v>
      </c>
      <c r="AP455" t="s">
        <v>4354</v>
      </c>
      <c r="AQ455" t="s">
        <v>74</v>
      </c>
      <c r="AR455" t="s">
        <v>4355</v>
      </c>
      <c r="AS455" t="s">
        <v>4356</v>
      </c>
      <c r="AT455" t="s">
        <v>8900</v>
      </c>
      <c r="AU455">
        <v>2023</v>
      </c>
      <c r="AV455" t="s">
        <v>74</v>
      </c>
      <c r="AW455" t="s">
        <v>74</v>
      </c>
      <c r="AX455" t="s">
        <v>74</v>
      </c>
      <c r="AY455" t="s">
        <v>74</v>
      </c>
      <c r="AZ455" t="s">
        <v>74</v>
      </c>
      <c r="BA455" t="s">
        <v>74</v>
      </c>
      <c r="BB455" t="s">
        <v>74</v>
      </c>
      <c r="BC455" t="s">
        <v>74</v>
      </c>
      <c r="BD455" t="s">
        <v>74</v>
      </c>
      <c r="BE455" t="s">
        <v>8901</v>
      </c>
      <c r="BF455" t="str">
        <f>HYPERLINK("http://dx.doi.org/10.1002/ijc.34685","http://dx.doi.org/10.1002/ijc.34685")</f>
        <v>http://dx.doi.org/10.1002/ijc.34685</v>
      </c>
      <c r="BG455" t="s">
        <v>74</v>
      </c>
      <c r="BH455" t="s">
        <v>7524</v>
      </c>
      <c r="BI455">
        <v>12</v>
      </c>
      <c r="BJ455" t="s">
        <v>789</v>
      </c>
      <c r="BK455" t="s">
        <v>119</v>
      </c>
      <c r="BL455" t="s">
        <v>789</v>
      </c>
      <c r="BM455" t="s">
        <v>8902</v>
      </c>
      <c r="BN455">
        <v>37632406</v>
      </c>
      <c r="BO455" t="s">
        <v>122</v>
      </c>
      <c r="BP455" t="s">
        <v>74</v>
      </c>
      <c r="BQ455" t="s">
        <v>74</v>
      </c>
      <c r="BR455" t="s">
        <v>99</v>
      </c>
      <c r="BS455" t="s">
        <v>8903</v>
      </c>
      <c r="BT455" t="str">
        <f>HYPERLINK("https%3A%2F%2Fwww.webofscience.com%2Fwos%2Fwoscc%2Ffull-record%2FWOS:001063606800001","View Full Record in Web of Science")</f>
        <v>View Full Record in Web of Science</v>
      </c>
    </row>
    <row r="456" spans="1:72" x14ac:dyDescent="0.15">
      <c r="A456" t="s">
        <v>72</v>
      </c>
      <c r="B456" t="s">
        <v>8904</v>
      </c>
      <c r="C456" t="s">
        <v>74</v>
      </c>
      <c r="D456" t="s">
        <v>74</v>
      </c>
      <c r="E456" t="s">
        <v>74</v>
      </c>
      <c r="F456" t="s">
        <v>8905</v>
      </c>
      <c r="G456" t="s">
        <v>74</v>
      </c>
      <c r="H456" t="s">
        <v>74</v>
      </c>
      <c r="I456" t="s">
        <v>8906</v>
      </c>
      <c r="J456" t="s">
        <v>8907</v>
      </c>
      <c r="K456" t="s">
        <v>74</v>
      </c>
      <c r="L456" t="s">
        <v>74</v>
      </c>
      <c r="M456" t="s">
        <v>78</v>
      </c>
      <c r="N456" t="s">
        <v>338</v>
      </c>
      <c r="O456" t="s">
        <v>74</v>
      </c>
      <c r="P456" t="s">
        <v>74</v>
      </c>
      <c r="Q456" t="s">
        <v>74</v>
      </c>
      <c r="R456" t="s">
        <v>74</v>
      </c>
      <c r="S456" t="s">
        <v>74</v>
      </c>
      <c r="T456" t="s">
        <v>8908</v>
      </c>
      <c r="U456" t="s">
        <v>8909</v>
      </c>
      <c r="V456" t="s">
        <v>8910</v>
      </c>
      <c r="W456" t="s">
        <v>8911</v>
      </c>
      <c r="X456" t="s">
        <v>8912</v>
      </c>
      <c r="Y456" t="s">
        <v>8913</v>
      </c>
      <c r="Z456" t="s">
        <v>8914</v>
      </c>
      <c r="AA456" t="s">
        <v>74</v>
      </c>
      <c r="AB456" t="s">
        <v>74</v>
      </c>
      <c r="AC456" t="s">
        <v>8915</v>
      </c>
      <c r="AD456" t="s">
        <v>8916</v>
      </c>
      <c r="AE456" t="s">
        <v>8917</v>
      </c>
      <c r="AF456" t="s">
        <v>74</v>
      </c>
      <c r="AG456">
        <v>62</v>
      </c>
      <c r="AH456">
        <v>0</v>
      </c>
      <c r="AI456">
        <v>0</v>
      </c>
      <c r="AJ456">
        <v>0</v>
      </c>
      <c r="AK456">
        <v>0</v>
      </c>
      <c r="AL456" t="s">
        <v>87</v>
      </c>
      <c r="AM456" t="s">
        <v>88</v>
      </c>
      <c r="AN456" t="s">
        <v>89</v>
      </c>
      <c r="AO456" t="s">
        <v>8918</v>
      </c>
      <c r="AP456" t="s">
        <v>8919</v>
      </c>
      <c r="AQ456" t="s">
        <v>74</v>
      </c>
      <c r="AR456" t="s">
        <v>8920</v>
      </c>
      <c r="AS456" t="s">
        <v>8921</v>
      </c>
      <c r="AT456" t="s">
        <v>8922</v>
      </c>
      <c r="AU456">
        <v>2023</v>
      </c>
      <c r="AV456" t="s">
        <v>74</v>
      </c>
      <c r="AW456" t="s">
        <v>74</v>
      </c>
      <c r="AX456" t="s">
        <v>74</v>
      </c>
      <c r="AY456" t="s">
        <v>74</v>
      </c>
      <c r="AZ456" t="s">
        <v>74</v>
      </c>
      <c r="BA456" t="s">
        <v>74</v>
      </c>
      <c r="BB456" t="s">
        <v>74</v>
      </c>
      <c r="BC456" t="s">
        <v>74</v>
      </c>
      <c r="BD456" t="s">
        <v>74</v>
      </c>
      <c r="BE456" t="s">
        <v>8923</v>
      </c>
      <c r="BF456" t="str">
        <f>HYPERLINK("http://dx.doi.org/10.1111/jzo.13112","http://dx.doi.org/10.1111/jzo.13112")</f>
        <v>http://dx.doi.org/10.1111/jzo.13112</v>
      </c>
      <c r="BG456" t="s">
        <v>74</v>
      </c>
      <c r="BH456" t="s">
        <v>7524</v>
      </c>
      <c r="BI456">
        <v>14</v>
      </c>
      <c r="BJ456" t="s">
        <v>8924</v>
      </c>
      <c r="BK456" t="s">
        <v>119</v>
      </c>
      <c r="BL456" t="s">
        <v>8924</v>
      </c>
      <c r="BM456" t="s">
        <v>8925</v>
      </c>
      <c r="BN456" t="s">
        <v>74</v>
      </c>
      <c r="BO456" t="s">
        <v>74</v>
      </c>
      <c r="BP456" t="s">
        <v>74</v>
      </c>
      <c r="BQ456" t="s">
        <v>74</v>
      </c>
      <c r="BR456" t="s">
        <v>99</v>
      </c>
      <c r="BS456" t="s">
        <v>8926</v>
      </c>
      <c r="BT456" t="str">
        <f>HYPERLINK("https%3A%2F%2Fwww.webofscience.com%2Fwos%2Fwoscc%2Ffull-record%2FWOS:001063599800001","View Full Record in Web of Science")</f>
        <v>View Full Record in Web of Science</v>
      </c>
    </row>
    <row r="457" spans="1:72" x14ac:dyDescent="0.15">
      <c r="A457" t="s">
        <v>72</v>
      </c>
      <c r="B457" t="s">
        <v>8927</v>
      </c>
      <c r="C457" t="s">
        <v>74</v>
      </c>
      <c r="D457" t="s">
        <v>74</v>
      </c>
      <c r="E457" t="s">
        <v>74</v>
      </c>
      <c r="F457" t="s">
        <v>8928</v>
      </c>
      <c r="G457" t="s">
        <v>74</v>
      </c>
      <c r="H457" t="s">
        <v>74</v>
      </c>
      <c r="I457" t="s">
        <v>8929</v>
      </c>
      <c r="J457" t="s">
        <v>3832</v>
      </c>
      <c r="K457" t="s">
        <v>74</v>
      </c>
      <c r="L457" t="s">
        <v>74</v>
      </c>
      <c r="M457" t="s">
        <v>78</v>
      </c>
      <c r="N457" t="s">
        <v>79</v>
      </c>
      <c r="O457" t="s">
        <v>74</v>
      </c>
      <c r="P457" t="s">
        <v>74</v>
      </c>
      <c r="Q457" t="s">
        <v>74</v>
      </c>
      <c r="R457" t="s">
        <v>74</v>
      </c>
      <c r="S457" t="s">
        <v>74</v>
      </c>
      <c r="T457" t="s">
        <v>8930</v>
      </c>
      <c r="U457" t="s">
        <v>74</v>
      </c>
      <c r="V457" t="s">
        <v>8931</v>
      </c>
      <c r="W457" t="s">
        <v>8932</v>
      </c>
      <c r="X457" t="s">
        <v>8933</v>
      </c>
      <c r="Y457" t="s">
        <v>8934</v>
      </c>
      <c r="Z457" t="s">
        <v>8935</v>
      </c>
      <c r="AA457" t="s">
        <v>74</v>
      </c>
      <c r="AB457" t="s">
        <v>8936</v>
      </c>
      <c r="AC457" t="s">
        <v>8937</v>
      </c>
      <c r="AD457" t="s">
        <v>8937</v>
      </c>
      <c r="AE457" t="s">
        <v>8938</v>
      </c>
      <c r="AF457" t="s">
        <v>74</v>
      </c>
      <c r="AG457">
        <v>34</v>
      </c>
      <c r="AH457">
        <v>0</v>
      </c>
      <c r="AI457">
        <v>0</v>
      </c>
      <c r="AJ457">
        <v>0</v>
      </c>
      <c r="AK457">
        <v>0</v>
      </c>
      <c r="AL457" t="s">
        <v>87</v>
      </c>
      <c r="AM457" t="s">
        <v>88</v>
      </c>
      <c r="AN457" t="s">
        <v>89</v>
      </c>
      <c r="AO457" t="s">
        <v>3845</v>
      </c>
      <c r="AP457" t="s">
        <v>74</v>
      </c>
      <c r="AQ457" t="s">
        <v>74</v>
      </c>
      <c r="AR457" t="s">
        <v>3846</v>
      </c>
      <c r="AS457" t="s">
        <v>3847</v>
      </c>
      <c r="AT457" t="s">
        <v>8939</v>
      </c>
      <c r="AU457">
        <v>2023</v>
      </c>
      <c r="AV457" t="s">
        <v>74</v>
      </c>
      <c r="AW457" t="s">
        <v>74</v>
      </c>
      <c r="AX457" t="s">
        <v>74</v>
      </c>
      <c r="AY457" t="s">
        <v>74</v>
      </c>
      <c r="AZ457" t="s">
        <v>74</v>
      </c>
      <c r="BA457" t="s">
        <v>74</v>
      </c>
      <c r="BB457" t="s">
        <v>74</v>
      </c>
      <c r="BC457" t="s">
        <v>74</v>
      </c>
      <c r="BD457" t="s">
        <v>8940</v>
      </c>
      <c r="BE457" t="s">
        <v>8941</v>
      </c>
      <c r="BF457" t="str">
        <f>HYPERLINK("http://dx.doi.org/10.1002/lrh2.10386","http://dx.doi.org/10.1002/lrh2.10386")</f>
        <v>http://dx.doi.org/10.1002/lrh2.10386</v>
      </c>
      <c r="BG457" t="s">
        <v>74</v>
      </c>
      <c r="BH457" t="s">
        <v>74</v>
      </c>
      <c r="BI457">
        <v>8</v>
      </c>
      <c r="BJ457" t="s">
        <v>3849</v>
      </c>
      <c r="BK457" t="s">
        <v>96</v>
      </c>
      <c r="BL457" t="s">
        <v>3850</v>
      </c>
      <c r="BM457" t="s">
        <v>8942</v>
      </c>
      <c r="BN457" t="s">
        <v>74</v>
      </c>
      <c r="BO457" t="s">
        <v>234</v>
      </c>
      <c r="BP457" t="s">
        <v>74</v>
      </c>
      <c r="BQ457" t="s">
        <v>74</v>
      </c>
      <c r="BR457" t="s">
        <v>99</v>
      </c>
      <c r="BS457" t="s">
        <v>8943</v>
      </c>
      <c r="BT457" t="str">
        <f>HYPERLINK("https%3A%2F%2Fwww.webofscience.com%2Fwos%2Fwoscc%2Ffull-record%2FWOS:001054410900001","View Full Record in Web of Science")</f>
        <v>View Full Record in Web of Science</v>
      </c>
    </row>
    <row r="458" spans="1:72" x14ac:dyDescent="0.15">
      <c r="A458" t="s">
        <v>72</v>
      </c>
      <c r="B458" t="s">
        <v>8944</v>
      </c>
      <c r="C458" t="s">
        <v>74</v>
      </c>
      <c r="D458" t="s">
        <v>74</v>
      </c>
      <c r="E458" t="s">
        <v>74</v>
      </c>
      <c r="F458" t="s">
        <v>8945</v>
      </c>
      <c r="G458" t="s">
        <v>74</v>
      </c>
      <c r="H458" t="s">
        <v>74</v>
      </c>
      <c r="I458" t="s">
        <v>8946</v>
      </c>
      <c r="J458" t="s">
        <v>1001</v>
      </c>
      <c r="K458" t="s">
        <v>74</v>
      </c>
      <c r="L458" t="s">
        <v>74</v>
      </c>
      <c r="M458" t="s">
        <v>78</v>
      </c>
      <c r="N458" t="s">
        <v>8947</v>
      </c>
      <c r="O458" t="s">
        <v>74</v>
      </c>
      <c r="P458" t="s">
        <v>74</v>
      </c>
      <c r="Q458" t="s">
        <v>74</v>
      </c>
      <c r="R458" t="s">
        <v>74</v>
      </c>
      <c r="S458" t="s">
        <v>74</v>
      </c>
      <c r="T458" t="s">
        <v>74</v>
      </c>
      <c r="U458" t="s">
        <v>74</v>
      </c>
      <c r="V458" t="s">
        <v>74</v>
      </c>
      <c r="W458" t="s">
        <v>74</v>
      </c>
      <c r="X458" t="s">
        <v>74</v>
      </c>
      <c r="Y458" t="s">
        <v>74</v>
      </c>
      <c r="Z458" t="s">
        <v>74</v>
      </c>
      <c r="AA458" t="s">
        <v>74</v>
      </c>
      <c r="AB458" t="s">
        <v>74</v>
      </c>
      <c r="AC458" t="s">
        <v>74</v>
      </c>
      <c r="AD458" t="s">
        <v>74</v>
      </c>
      <c r="AE458" t="s">
        <v>74</v>
      </c>
      <c r="AF458" t="s">
        <v>74</v>
      </c>
      <c r="AG458">
        <v>1</v>
      </c>
      <c r="AH458">
        <v>0</v>
      </c>
      <c r="AI458">
        <v>0</v>
      </c>
      <c r="AJ458">
        <v>6</v>
      </c>
      <c r="AK458">
        <v>6</v>
      </c>
      <c r="AL458" t="s">
        <v>426</v>
      </c>
      <c r="AM458" t="s">
        <v>427</v>
      </c>
      <c r="AN458" t="s">
        <v>428</v>
      </c>
      <c r="AO458" t="s">
        <v>1014</v>
      </c>
      <c r="AP458" t="s">
        <v>1015</v>
      </c>
      <c r="AQ458" t="s">
        <v>74</v>
      </c>
      <c r="AR458" t="s">
        <v>1016</v>
      </c>
      <c r="AS458" t="s">
        <v>1017</v>
      </c>
      <c r="AT458" t="s">
        <v>8948</v>
      </c>
      <c r="AU458">
        <v>2023</v>
      </c>
      <c r="AV458" t="s">
        <v>74</v>
      </c>
      <c r="AW458" t="s">
        <v>74</v>
      </c>
      <c r="AX458" t="s">
        <v>74</v>
      </c>
      <c r="AY458" t="s">
        <v>74</v>
      </c>
      <c r="AZ458" t="s">
        <v>74</v>
      </c>
      <c r="BA458" t="s">
        <v>74</v>
      </c>
      <c r="BB458" t="s">
        <v>74</v>
      </c>
      <c r="BC458" t="s">
        <v>74</v>
      </c>
      <c r="BD458" t="s">
        <v>8949</v>
      </c>
      <c r="BE458" t="s">
        <v>8950</v>
      </c>
      <c r="BF458" t="str">
        <f>HYPERLINK("http://dx.doi.org/10.1002/anie.202311469","http://dx.doi.org/10.1002/anie.202311469")</f>
        <v>http://dx.doi.org/10.1002/anie.202311469</v>
      </c>
      <c r="BG458" t="s">
        <v>74</v>
      </c>
      <c r="BH458" t="s">
        <v>74</v>
      </c>
      <c r="BI458">
        <v>1</v>
      </c>
      <c r="BJ458" t="s">
        <v>523</v>
      </c>
      <c r="BK458" t="s">
        <v>119</v>
      </c>
      <c r="BL458" t="s">
        <v>524</v>
      </c>
      <c r="BM458" t="s">
        <v>8951</v>
      </c>
      <c r="BN458" t="s">
        <v>74</v>
      </c>
      <c r="BO458" t="s">
        <v>301</v>
      </c>
      <c r="BP458" t="s">
        <v>74</v>
      </c>
      <c r="BQ458" t="s">
        <v>74</v>
      </c>
      <c r="BR458" t="s">
        <v>99</v>
      </c>
      <c r="BS458" t="s">
        <v>8952</v>
      </c>
      <c r="BT458" t="str">
        <f>HYPERLINK("https%3A%2F%2Fwww.webofscience.com%2Fwos%2Fwoscc%2Ffull-record%2FWOS:001053908100001","View Full Record in Web of Science")</f>
        <v>View Full Record in Web of Science</v>
      </c>
    </row>
    <row r="459" spans="1:72" x14ac:dyDescent="0.15">
      <c r="A459" t="s">
        <v>72</v>
      </c>
      <c r="B459" t="s">
        <v>8953</v>
      </c>
      <c r="C459" t="s">
        <v>74</v>
      </c>
      <c r="D459" t="s">
        <v>74</v>
      </c>
      <c r="E459" t="s">
        <v>74</v>
      </c>
      <c r="F459" t="s">
        <v>8954</v>
      </c>
      <c r="G459" t="s">
        <v>74</v>
      </c>
      <c r="H459" t="s">
        <v>74</v>
      </c>
      <c r="I459" t="s">
        <v>8955</v>
      </c>
      <c r="J459" t="s">
        <v>8956</v>
      </c>
      <c r="K459" t="s">
        <v>74</v>
      </c>
      <c r="L459" t="s">
        <v>74</v>
      </c>
      <c r="M459" t="s">
        <v>78</v>
      </c>
      <c r="N459" t="s">
        <v>79</v>
      </c>
      <c r="O459" t="s">
        <v>74</v>
      </c>
      <c r="P459" t="s">
        <v>74</v>
      </c>
      <c r="Q459" t="s">
        <v>74</v>
      </c>
      <c r="R459" t="s">
        <v>74</v>
      </c>
      <c r="S459" t="s">
        <v>74</v>
      </c>
      <c r="T459" t="s">
        <v>8957</v>
      </c>
      <c r="U459" t="s">
        <v>8958</v>
      </c>
      <c r="V459" t="s">
        <v>8959</v>
      </c>
      <c r="W459" t="s">
        <v>8960</v>
      </c>
      <c r="X459" t="s">
        <v>8961</v>
      </c>
      <c r="Y459" t="s">
        <v>8962</v>
      </c>
      <c r="Z459" t="s">
        <v>8963</v>
      </c>
      <c r="AA459" t="s">
        <v>74</v>
      </c>
      <c r="AB459" t="s">
        <v>8964</v>
      </c>
      <c r="AC459" t="s">
        <v>8965</v>
      </c>
      <c r="AD459" t="s">
        <v>8965</v>
      </c>
      <c r="AE459" t="s">
        <v>8966</v>
      </c>
      <c r="AF459" t="s">
        <v>74</v>
      </c>
      <c r="AG459">
        <v>20</v>
      </c>
      <c r="AH459">
        <v>0</v>
      </c>
      <c r="AI459">
        <v>0</v>
      </c>
      <c r="AJ459">
        <v>1</v>
      </c>
      <c r="AK459">
        <v>1</v>
      </c>
      <c r="AL459" t="s">
        <v>87</v>
      </c>
      <c r="AM459" t="s">
        <v>88</v>
      </c>
      <c r="AN459" t="s">
        <v>89</v>
      </c>
      <c r="AO459" t="s">
        <v>74</v>
      </c>
      <c r="AP459" t="s">
        <v>8967</v>
      </c>
      <c r="AQ459" t="s">
        <v>74</v>
      </c>
      <c r="AR459" t="s">
        <v>8956</v>
      </c>
      <c r="AS459" t="s">
        <v>8968</v>
      </c>
      <c r="AT459" t="s">
        <v>8948</v>
      </c>
      <c r="AU459">
        <v>2023</v>
      </c>
      <c r="AV459" t="s">
        <v>74</v>
      </c>
      <c r="AW459" t="s">
        <v>74</v>
      </c>
      <c r="AX459" t="s">
        <v>74</v>
      </c>
      <c r="AY459" t="s">
        <v>74</v>
      </c>
      <c r="AZ459" t="s">
        <v>74</v>
      </c>
      <c r="BA459" t="s">
        <v>74</v>
      </c>
      <c r="BB459" t="s">
        <v>74</v>
      </c>
      <c r="BC459" t="s">
        <v>74</v>
      </c>
      <c r="BD459" t="s">
        <v>8969</v>
      </c>
      <c r="BE459" t="s">
        <v>8970</v>
      </c>
      <c r="BF459" t="str">
        <f>HYPERLINK("http://dx.doi.org/10.1002/epi4.12816","http://dx.doi.org/10.1002/epi4.12816")</f>
        <v>http://dx.doi.org/10.1002/epi4.12816</v>
      </c>
      <c r="BG459" t="s">
        <v>74</v>
      </c>
      <c r="BH459" t="s">
        <v>74</v>
      </c>
      <c r="BI459">
        <v>7</v>
      </c>
      <c r="BJ459" t="s">
        <v>1670</v>
      </c>
      <c r="BK459" t="s">
        <v>119</v>
      </c>
      <c r="BL459" t="s">
        <v>1562</v>
      </c>
      <c r="BM459" t="s">
        <v>8971</v>
      </c>
      <c r="BN459">
        <v>37593891</v>
      </c>
      <c r="BO459" t="s">
        <v>234</v>
      </c>
      <c r="BP459" t="s">
        <v>74</v>
      </c>
      <c r="BQ459" t="s">
        <v>74</v>
      </c>
      <c r="BR459" t="s">
        <v>99</v>
      </c>
      <c r="BS459" t="s">
        <v>8972</v>
      </c>
      <c r="BT459" t="str">
        <f>HYPERLINK("https%3A%2F%2Fwww.webofscience.com%2Fwos%2Fwoscc%2Ffull-record%2FWOS:001053916600001","View Full Record in Web of Science")</f>
        <v>View Full Record in Web of Science</v>
      </c>
    </row>
    <row r="460" spans="1:72" x14ac:dyDescent="0.15">
      <c r="A460" t="s">
        <v>72</v>
      </c>
      <c r="B460" t="s">
        <v>8973</v>
      </c>
      <c r="C460" t="s">
        <v>74</v>
      </c>
      <c r="D460" t="s">
        <v>74</v>
      </c>
      <c r="E460" t="s">
        <v>74</v>
      </c>
      <c r="F460" t="s">
        <v>8974</v>
      </c>
      <c r="G460" t="s">
        <v>74</v>
      </c>
      <c r="H460" t="s">
        <v>74</v>
      </c>
      <c r="I460" t="s">
        <v>8975</v>
      </c>
      <c r="J460" t="s">
        <v>8976</v>
      </c>
      <c r="K460" t="s">
        <v>74</v>
      </c>
      <c r="L460" t="s">
        <v>74</v>
      </c>
      <c r="M460" t="s">
        <v>78</v>
      </c>
      <c r="N460" t="s">
        <v>338</v>
      </c>
      <c r="O460" t="s">
        <v>74</v>
      </c>
      <c r="P460" t="s">
        <v>74</v>
      </c>
      <c r="Q460" t="s">
        <v>74</v>
      </c>
      <c r="R460" t="s">
        <v>74</v>
      </c>
      <c r="S460" t="s">
        <v>74</v>
      </c>
      <c r="T460" t="s">
        <v>8977</v>
      </c>
      <c r="U460" t="s">
        <v>8978</v>
      </c>
      <c r="V460" t="s">
        <v>8979</v>
      </c>
      <c r="W460" t="s">
        <v>8980</v>
      </c>
      <c r="X460" t="s">
        <v>8981</v>
      </c>
      <c r="Y460" t="s">
        <v>8982</v>
      </c>
      <c r="Z460" t="s">
        <v>8983</v>
      </c>
      <c r="AA460" t="s">
        <v>74</v>
      </c>
      <c r="AB460" t="s">
        <v>8984</v>
      </c>
      <c r="AC460" t="s">
        <v>8985</v>
      </c>
      <c r="AD460" t="s">
        <v>8985</v>
      </c>
      <c r="AE460" t="s">
        <v>8985</v>
      </c>
      <c r="AF460" t="s">
        <v>74</v>
      </c>
      <c r="AG460">
        <v>21</v>
      </c>
      <c r="AH460">
        <v>0</v>
      </c>
      <c r="AI460">
        <v>0</v>
      </c>
      <c r="AJ460">
        <v>0</v>
      </c>
      <c r="AK460">
        <v>0</v>
      </c>
      <c r="AL460" t="s">
        <v>87</v>
      </c>
      <c r="AM460" t="s">
        <v>88</v>
      </c>
      <c r="AN460" t="s">
        <v>89</v>
      </c>
      <c r="AO460" t="s">
        <v>8986</v>
      </c>
      <c r="AP460" t="s">
        <v>8987</v>
      </c>
      <c r="AQ460" t="s">
        <v>74</v>
      </c>
      <c r="AR460" t="s">
        <v>8988</v>
      </c>
      <c r="AS460" t="s">
        <v>8989</v>
      </c>
      <c r="AT460" t="s">
        <v>8990</v>
      </c>
      <c r="AU460">
        <v>2023</v>
      </c>
      <c r="AV460" t="s">
        <v>74</v>
      </c>
      <c r="AW460" t="s">
        <v>74</v>
      </c>
      <c r="AX460" t="s">
        <v>74</v>
      </c>
      <c r="AY460" t="s">
        <v>74</v>
      </c>
      <c r="AZ460" t="s">
        <v>74</v>
      </c>
      <c r="BA460" t="s">
        <v>74</v>
      </c>
      <c r="BB460" t="s">
        <v>74</v>
      </c>
      <c r="BC460" t="s">
        <v>74</v>
      </c>
      <c r="BD460" t="s">
        <v>74</v>
      </c>
      <c r="BE460" t="s">
        <v>8991</v>
      </c>
      <c r="BF460" t="str">
        <f>HYPERLINK("http://dx.doi.org/10.1111/ijlh.14161","http://dx.doi.org/10.1111/ijlh.14161")</f>
        <v>http://dx.doi.org/10.1111/ijlh.14161</v>
      </c>
      <c r="BG460" t="s">
        <v>74</v>
      </c>
      <c r="BH460" t="s">
        <v>7524</v>
      </c>
      <c r="BI460">
        <v>8</v>
      </c>
      <c r="BJ460" t="s">
        <v>1625</v>
      </c>
      <c r="BK460" t="s">
        <v>119</v>
      </c>
      <c r="BL460" t="s">
        <v>1625</v>
      </c>
      <c r="BM460" t="s">
        <v>8992</v>
      </c>
      <c r="BN460">
        <v>37621174</v>
      </c>
      <c r="BO460" t="s">
        <v>122</v>
      </c>
      <c r="BP460" t="s">
        <v>74</v>
      </c>
      <c r="BQ460" t="s">
        <v>74</v>
      </c>
      <c r="BR460" t="s">
        <v>99</v>
      </c>
      <c r="BS460" t="s">
        <v>8993</v>
      </c>
      <c r="BT460" t="str">
        <f>HYPERLINK("https%3A%2F%2Fwww.webofscience.com%2Fwos%2Fwoscc%2Ffull-record%2FWOS:001069554700001","View Full Record in Web of Science")</f>
        <v>View Full Record in Web of Science</v>
      </c>
    </row>
    <row r="461" spans="1:72" x14ac:dyDescent="0.15">
      <c r="A461" t="s">
        <v>72</v>
      </c>
      <c r="B461" t="s">
        <v>8994</v>
      </c>
      <c r="C461" t="s">
        <v>74</v>
      </c>
      <c r="D461" t="s">
        <v>74</v>
      </c>
      <c r="E461" t="s">
        <v>74</v>
      </c>
      <c r="F461" t="s">
        <v>8995</v>
      </c>
      <c r="G461" t="s">
        <v>74</v>
      </c>
      <c r="H461" t="s">
        <v>74</v>
      </c>
      <c r="I461" t="s">
        <v>8996</v>
      </c>
      <c r="J461" t="s">
        <v>8761</v>
      </c>
      <c r="K461" t="s">
        <v>74</v>
      </c>
      <c r="L461" t="s">
        <v>74</v>
      </c>
      <c r="M461" t="s">
        <v>78</v>
      </c>
      <c r="N461" t="s">
        <v>338</v>
      </c>
      <c r="O461" t="s">
        <v>74</v>
      </c>
      <c r="P461" t="s">
        <v>74</v>
      </c>
      <c r="Q461" t="s">
        <v>74</v>
      </c>
      <c r="R461" t="s">
        <v>74</v>
      </c>
      <c r="S461" t="s">
        <v>74</v>
      </c>
      <c r="T461" t="s">
        <v>8997</v>
      </c>
      <c r="U461" t="s">
        <v>8998</v>
      </c>
      <c r="V461" t="s">
        <v>8999</v>
      </c>
      <c r="W461" t="s">
        <v>9000</v>
      </c>
      <c r="X461" t="s">
        <v>9001</v>
      </c>
      <c r="Y461" t="s">
        <v>9002</v>
      </c>
      <c r="Z461" t="s">
        <v>9003</v>
      </c>
      <c r="AA461" t="s">
        <v>9004</v>
      </c>
      <c r="AB461" t="s">
        <v>9005</v>
      </c>
      <c r="AC461" t="s">
        <v>74</v>
      </c>
      <c r="AD461" t="s">
        <v>74</v>
      </c>
      <c r="AE461" t="s">
        <v>74</v>
      </c>
      <c r="AF461" t="s">
        <v>74</v>
      </c>
      <c r="AG461">
        <v>40</v>
      </c>
      <c r="AH461">
        <v>0</v>
      </c>
      <c r="AI461">
        <v>0</v>
      </c>
      <c r="AJ461">
        <v>0</v>
      </c>
      <c r="AK461">
        <v>0</v>
      </c>
      <c r="AL461" t="s">
        <v>87</v>
      </c>
      <c r="AM461" t="s">
        <v>88</v>
      </c>
      <c r="AN461" t="s">
        <v>89</v>
      </c>
      <c r="AO461" t="s">
        <v>8772</v>
      </c>
      <c r="AP461" t="s">
        <v>8773</v>
      </c>
      <c r="AQ461" t="s">
        <v>74</v>
      </c>
      <c r="AR461" t="s">
        <v>8774</v>
      </c>
      <c r="AS461" t="s">
        <v>8775</v>
      </c>
      <c r="AT461" t="s">
        <v>8990</v>
      </c>
      <c r="AU461">
        <v>2023</v>
      </c>
      <c r="AV461" t="s">
        <v>74</v>
      </c>
      <c r="AW461" t="s">
        <v>74</v>
      </c>
      <c r="AX461" t="s">
        <v>74</v>
      </c>
      <c r="AY461" t="s">
        <v>74</v>
      </c>
      <c r="AZ461" t="s">
        <v>74</v>
      </c>
      <c r="BA461" t="s">
        <v>74</v>
      </c>
      <c r="BB461" t="s">
        <v>74</v>
      </c>
      <c r="BC461" t="s">
        <v>74</v>
      </c>
      <c r="BD461" t="s">
        <v>74</v>
      </c>
      <c r="BE461" t="s">
        <v>9006</v>
      </c>
      <c r="BF461" t="str">
        <f>HYPERLINK("http://dx.doi.org/10.1111/ahe.12956","http://dx.doi.org/10.1111/ahe.12956")</f>
        <v>http://dx.doi.org/10.1111/ahe.12956</v>
      </c>
      <c r="BG461" t="s">
        <v>74</v>
      </c>
      <c r="BH461" t="s">
        <v>7524</v>
      </c>
      <c r="BI461">
        <v>8</v>
      </c>
      <c r="BJ461" t="s">
        <v>8778</v>
      </c>
      <c r="BK461" t="s">
        <v>119</v>
      </c>
      <c r="BL461" t="s">
        <v>8778</v>
      </c>
      <c r="BM461" t="s">
        <v>9007</v>
      </c>
      <c r="BN461">
        <v>37615352</v>
      </c>
      <c r="BO461" t="s">
        <v>74</v>
      </c>
      <c r="BP461" t="s">
        <v>74</v>
      </c>
      <c r="BQ461" t="s">
        <v>74</v>
      </c>
      <c r="BR461" t="s">
        <v>99</v>
      </c>
      <c r="BS461" t="s">
        <v>9008</v>
      </c>
      <c r="BT461" t="str">
        <f>HYPERLINK("https%3A%2F%2Fwww.webofscience.com%2Fwos%2Fwoscc%2Ffull-record%2FWOS:001063528900001","View Full Record in Web of Science")</f>
        <v>View Full Record in Web of Science</v>
      </c>
    </row>
    <row r="462" spans="1:72" x14ac:dyDescent="0.15">
      <c r="A462" t="s">
        <v>72</v>
      </c>
      <c r="B462" t="s">
        <v>9009</v>
      </c>
      <c r="C462" t="s">
        <v>74</v>
      </c>
      <c r="D462" t="s">
        <v>74</v>
      </c>
      <c r="E462" t="s">
        <v>74</v>
      </c>
      <c r="F462" t="s">
        <v>9010</v>
      </c>
      <c r="G462" t="s">
        <v>74</v>
      </c>
      <c r="H462" t="s">
        <v>74</v>
      </c>
      <c r="I462" t="s">
        <v>9011</v>
      </c>
      <c r="J462" t="s">
        <v>1216</v>
      </c>
      <c r="K462" t="s">
        <v>74</v>
      </c>
      <c r="L462" t="s">
        <v>74</v>
      </c>
      <c r="M462" t="s">
        <v>78</v>
      </c>
      <c r="N462" t="s">
        <v>338</v>
      </c>
      <c r="O462" t="s">
        <v>74</v>
      </c>
      <c r="P462" t="s">
        <v>74</v>
      </c>
      <c r="Q462" t="s">
        <v>74</v>
      </c>
      <c r="R462" t="s">
        <v>74</v>
      </c>
      <c r="S462" t="s">
        <v>74</v>
      </c>
      <c r="T462" t="s">
        <v>9012</v>
      </c>
      <c r="U462" t="s">
        <v>9013</v>
      </c>
      <c r="V462" t="s">
        <v>9014</v>
      </c>
      <c r="W462" t="s">
        <v>9015</v>
      </c>
      <c r="X462" t="s">
        <v>9016</v>
      </c>
      <c r="Y462" t="s">
        <v>9017</v>
      </c>
      <c r="Z462" t="s">
        <v>9018</v>
      </c>
      <c r="AA462" t="s">
        <v>9019</v>
      </c>
      <c r="AB462" t="s">
        <v>9020</v>
      </c>
      <c r="AC462" t="s">
        <v>9021</v>
      </c>
      <c r="AD462" t="s">
        <v>9021</v>
      </c>
      <c r="AE462" t="s">
        <v>9022</v>
      </c>
      <c r="AF462" t="s">
        <v>74</v>
      </c>
      <c r="AG462">
        <v>36</v>
      </c>
      <c r="AH462">
        <v>0</v>
      </c>
      <c r="AI462">
        <v>0</v>
      </c>
      <c r="AJ462">
        <v>1</v>
      </c>
      <c r="AK462">
        <v>1</v>
      </c>
      <c r="AL462" t="s">
        <v>87</v>
      </c>
      <c r="AM462" t="s">
        <v>88</v>
      </c>
      <c r="AN462" t="s">
        <v>89</v>
      </c>
      <c r="AO462" t="s">
        <v>1224</v>
      </c>
      <c r="AP462" t="s">
        <v>1225</v>
      </c>
      <c r="AQ462" t="s">
        <v>74</v>
      </c>
      <c r="AR462" t="s">
        <v>1226</v>
      </c>
      <c r="AS462" t="s">
        <v>1227</v>
      </c>
      <c r="AT462" t="s">
        <v>8990</v>
      </c>
      <c r="AU462">
        <v>2023</v>
      </c>
      <c r="AV462" t="s">
        <v>74</v>
      </c>
      <c r="AW462" t="s">
        <v>74</v>
      </c>
      <c r="AX462" t="s">
        <v>74</v>
      </c>
      <c r="AY462" t="s">
        <v>74</v>
      </c>
      <c r="AZ462" t="s">
        <v>74</v>
      </c>
      <c r="BA462" t="s">
        <v>74</v>
      </c>
      <c r="BB462" t="s">
        <v>74</v>
      </c>
      <c r="BC462" t="s">
        <v>74</v>
      </c>
      <c r="BD462" t="s">
        <v>74</v>
      </c>
      <c r="BE462" t="s">
        <v>9023</v>
      </c>
      <c r="BF462" t="str">
        <f>HYPERLINK("http://dx.doi.org/10.1002/ijgo.15044","http://dx.doi.org/10.1002/ijgo.15044")</f>
        <v>http://dx.doi.org/10.1002/ijgo.15044</v>
      </c>
      <c r="BG462" t="s">
        <v>74</v>
      </c>
      <c r="BH462" t="s">
        <v>7524</v>
      </c>
      <c r="BI462">
        <v>12</v>
      </c>
      <c r="BJ462" t="s">
        <v>1229</v>
      </c>
      <c r="BK462" t="s">
        <v>119</v>
      </c>
      <c r="BL462" t="s">
        <v>1229</v>
      </c>
      <c r="BM462" t="s">
        <v>9024</v>
      </c>
      <c r="BN462">
        <v>37621171</v>
      </c>
      <c r="BO462" t="s">
        <v>122</v>
      </c>
      <c r="BP462" t="s">
        <v>74</v>
      </c>
      <c r="BQ462" t="s">
        <v>74</v>
      </c>
      <c r="BR462" t="s">
        <v>99</v>
      </c>
      <c r="BS462" t="s">
        <v>9025</v>
      </c>
      <c r="BT462" t="str">
        <f>HYPERLINK("https%3A%2F%2Fwww.webofscience.com%2Fwos%2Fwoscc%2Ffull-record%2FWOS:001063550900001","View Full Record in Web of Science")</f>
        <v>View Full Record in Web of Science</v>
      </c>
    </row>
    <row r="463" spans="1:72" x14ac:dyDescent="0.15">
      <c r="A463" t="s">
        <v>72</v>
      </c>
      <c r="B463" t="s">
        <v>9026</v>
      </c>
      <c r="C463" t="s">
        <v>74</v>
      </c>
      <c r="D463" t="s">
        <v>74</v>
      </c>
      <c r="E463" t="s">
        <v>74</v>
      </c>
      <c r="F463" t="s">
        <v>9027</v>
      </c>
      <c r="G463" t="s">
        <v>74</v>
      </c>
      <c r="H463" t="s">
        <v>74</v>
      </c>
      <c r="I463" t="s">
        <v>9028</v>
      </c>
      <c r="J463" t="s">
        <v>9029</v>
      </c>
      <c r="K463" t="s">
        <v>74</v>
      </c>
      <c r="L463" t="s">
        <v>74</v>
      </c>
      <c r="M463" t="s">
        <v>78</v>
      </c>
      <c r="N463" t="s">
        <v>1297</v>
      </c>
      <c r="O463" t="s">
        <v>74</v>
      </c>
      <c r="P463" t="s">
        <v>74</v>
      </c>
      <c r="Q463" t="s">
        <v>74</v>
      </c>
      <c r="R463" t="s">
        <v>74</v>
      </c>
      <c r="S463" t="s">
        <v>74</v>
      </c>
      <c r="T463" t="s">
        <v>9030</v>
      </c>
      <c r="U463" t="s">
        <v>9031</v>
      </c>
      <c r="V463" t="s">
        <v>9032</v>
      </c>
      <c r="W463" t="s">
        <v>9033</v>
      </c>
      <c r="X463" t="s">
        <v>9034</v>
      </c>
      <c r="Y463" t="s">
        <v>9035</v>
      </c>
      <c r="Z463" t="s">
        <v>9036</v>
      </c>
      <c r="AA463" t="s">
        <v>9037</v>
      </c>
      <c r="AB463" t="s">
        <v>9038</v>
      </c>
      <c r="AC463" t="s">
        <v>9039</v>
      </c>
      <c r="AD463" t="s">
        <v>9039</v>
      </c>
      <c r="AE463" t="s">
        <v>9039</v>
      </c>
      <c r="AF463" t="s">
        <v>74</v>
      </c>
      <c r="AG463">
        <v>4</v>
      </c>
      <c r="AH463">
        <v>0</v>
      </c>
      <c r="AI463">
        <v>0</v>
      </c>
      <c r="AJ463">
        <v>0</v>
      </c>
      <c r="AK463">
        <v>0</v>
      </c>
      <c r="AL463" t="s">
        <v>87</v>
      </c>
      <c r="AM463" t="s">
        <v>88</v>
      </c>
      <c r="AN463" t="s">
        <v>89</v>
      </c>
      <c r="AO463" t="s">
        <v>9040</v>
      </c>
      <c r="AP463" t="s">
        <v>9041</v>
      </c>
      <c r="AQ463" t="s">
        <v>74</v>
      </c>
      <c r="AR463" t="s">
        <v>9042</v>
      </c>
      <c r="AS463" t="s">
        <v>9043</v>
      </c>
      <c r="AT463" t="s">
        <v>8990</v>
      </c>
      <c r="AU463">
        <v>2023</v>
      </c>
      <c r="AV463" t="s">
        <v>74</v>
      </c>
      <c r="AW463" t="s">
        <v>74</v>
      </c>
      <c r="AX463" t="s">
        <v>74</v>
      </c>
      <c r="AY463" t="s">
        <v>74</v>
      </c>
      <c r="AZ463" t="s">
        <v>74</v>
      </c>
      <c r="BA463" t="s">
        <v>74</v>
      </c>
      <c r="BB463" t="s">
        <v>74</v>
      </c>
      <c r="BC463" t="s">
        <v>74</v>
      </c>
      <c r="BD463" t="s">
        <v>74</v>
      </c>
      <c r="BE463" t="s">
        <v>9044</v>
      </c>
      <c r="BF463" t="str">
        <f>HYPERLINK("http://dx.doi.org/10.1111/echo.15674","http://dx.doi.org/10.1111/echo.15674")</f>
        <v>http://dx.doi.org/10.1111/echo.15674</v>
      </c>
      <c r="BG463" t="s">
        <v>74</v>
      </c>
      <c r="BH463" t="s">
        <v>7524</v>
      </c>
      <c r="BI463">
        <v>5</v>
      </c>
      <c r="BJ463" t="s">
        <v>1849</v>
      </c>
      <c r="BK463" t="s">
        <v>119</v>
      </c>
      <c r="BL463" t="s">
        <v>1850</v>
      </c>
      <c r="BM463" t="s">
        <v>9045</v>
      </c>
      <c r="BN463">
        <v>37615629</v>
      </c>
      <c r="BO463" t="s">
        <v>74</v>
      </c>
      <c r="BP463" t="s">
        <v>74</v>
      </c>
      <c r="BQ463" t="s">
        <v>74</v>
      </c>
      <c r="BR463" t="s">
        <v>99</v>
      </c>
      <c r="BS463" t="s">
        <v>9046</v>
      </c>
      <c r="BT463" t="str">
        <f>HYPERLINK("https%3A%2F%2Fwww.webofscience.com%2Fwos%2Fwoscc%2Ffull-record%2FWOS:001059888400001","View Full Record in Web of Science")</f>
        <v>View Full Record in Web of Science</v>
      </c>
    </row>
    <row r="464" spans="1:72" x14ac:dyDescent="0.15">
      <c r="A464" t="s">
        <v>72</v>
      </c>
      <c r="B464" t="s">
        <v>9047</v>
      </c>
      <c r="C464" t="s">
        <v>74</v>
      </c>
      <c r="D464" t="s">
        <v>74</v>
      </c>
      <c r="E464" t="s">
        <v>74</v>
      </c>
      <c r="F464" t="s">
        <v>9048</v>
      </c>
      <c r="G464" t="s">
        <v>74</v>
      </c>
      <c r="H464" t="s">
        <v>74</v>
      </c>
      <c r="I464" t="s">
        <v>9049</v>
      </c>
      <c r="J464" t="s">
        <v>727</v>
      </c>
      <c r="K464" t="s">
        <v>74</v>
      </c>
      <c r="L464" t="s">
        <v>74</v>
      </c>
      <c r="M464" t="s">
        <v>78</v>
      </c>
      <c r="N464" t="s">
        <v>79</v>
      </c>
      <c r="O464" t="s">
        <v>74</v>
      </c>
      <c r="P464" t="s">
        <v>74</v>
      </c>
      <c r="Q464" t="s">
        <v>74</v>
      </c>
      <c r="R464" t="s">
        <v>74</v>
      </c>
      <c r="S464" t="s">
        <v>74</v>
      </c>
      <c r="T464" t="s">
        <v>9050</v>
      </c>
      <c r="U464" t="s">
        <v>9051</v>
      </c>
      <c r="V464" t="s">
        <v>9052</v>
      </c>
      <c r="W464" t="s">
        <v>9053</v>
      </c>
      <c r="X464" t="s">
        <v>2552</v>
      </c>
      <c r="Y464" t="s">
        <v>9054</v>
      </c>
      <c r="Z464" t="s">
        <v>9055</v>
      </c>
      <c r="AA464" t="s">
        <v>74</v>
      </c>
      <c r="AB464" t="s">
        <v>74</v>
      </c>
      <c r="AC464" t="s">
        <v>9056</v>
      </c>
      <c r="AD464" t="s">
        <v>9057</v>
      </c>
      <c r="AE464" t="s">
        <v>9058</v>
      </c>
      <c r="AF464" t="s">
        <v>74</v>
      </c>
      <c r="AG464">
        <v>79</v>
      </c>
      <c r="AH464">
        <v>0</v>
      </c>
      <c r="AI464">
        <v>0</v>
      </c>
      <c r="AJ464">
        <v>5</v>
      </c>
      <c r="AK464">
        <v>5</v>
      </c>
      <c r="AL464" t="s">
        <v>426</v>
      </c>
      <c r="AM464" t="s">
        <v>427</v>
      </c>
      <c r="AN464" t="s">
        <v>428</v>
      </c>
      <c r="AO464" t="s">
        <v>738</v>
      </c>
      <c r="AP464" t="s">
        <v>739</v>
      </c>
      <c r="AQ464" t="s">
        <v>74</v>
      </c>
      <c r="AR464" t="s">
        <v>740</v>
      </c>
      <c r="AS464" t="s">
        <v>741</v>
      </c>
      <c r="AT464" t="s">
        <v>8948</v>
      </c>
      <c r="AU464">
        <v>2023</v>
      </c>
      <c r="AV464" t="s">
        <v>74</v>
      </c>
      <c r="AW464" t="s">
        <v>74</v>
      </c>
      <c r="AX464" t="s">
        <v>74</v>
      </c>
      <c r="AY464" t="s">
        <v>74</v>
      </c>
      <c r="AZ464" t="s">
        <v>74</v>
      </c>
      <c r="BA464" t="s">
        <v>74</v>
      </c>
      <c r="BB464" t="s">
        <v>74</v>
      </c>
      <c r="BC464" t="s">
        <v>74</v>
      </c>
      <c r="BD464" t="s">
        <v>9059</v>
      </c>
      <c r="BE464" t="s">
        <v>9060</v>
      </c>
      <c r="BF464" t="str">
        <f>HYPERLINK("http://dx.doi.org/10.1002/ejoc.202300622","http://dx.doi.org/10.1002/ejoc.202300622")</f>
        <v>http://dx.doi.org/10.1002/ejoc.202300622</v>
      </c>
      <c r="BG464" t="s">
        <v>74</v>
      </c>
      <c r="BH464" t="s">
        <v>74</v>
      </c>
      <c r="BI464">
        <v>6</v>
      </c>
      <c r="BJ464" t="s">
        <v>743</v>
      </c>
      <c r="BK464" t="s">
        <v>7800</v>
      </c>
      <c r="BL464" t="s">
        <v>524</v>
      </c>
      <c r="BM464" t="s">
        <v>9061</v>
      </c>
      <c r="BN464" t="s">
        <v>74</v>
      </c>
      <c r="BO464" t="s">
        <v>74</v>
      </c>
      <c r="BP464" t="s">
        <v>74</v>
      </c>
      <c r="BQ464" t="s">
        <v>74</v>
      </c>
      <c r="BR464" t="s">
        <v>99</v>
      </c>
      <c r="BS464" t="s">
        <v>9062</v>
      </c>
      <c r="BT464" t="str">
        <f>HYPERLINK("https%3A%2F%2Fwww.webofscience.com%2Fwos%2Fwoscc%2Ffull-record%2FWOS:001053797200001","View Full Record in Web of Science")</f>
        <v>View Full Record in Web of Science</v>
      </c>
    </row>
    <row r="465" spans="1:72" x14ac:dyDescent="0.15">
      <c r="A465" t="s">
        <v>72</v>
      </c>
      <c r="B465" t="s">
        <v>9063</v>
      </c>
      <c r="C465" t="s">
        <v>74</v>
      </c>
      <c r="D465" t="s">
        <v>74</v>
      </c>
      <c r="E465" t="s">
        <v>74</v>
      </c>
      <c r="F465" t="s">
        <v>9064</v>
      </c>
      <c r="G465" t="s">
        <v>74</v>
      </c>
      <c r="H465" t="s">
        <v>74</v>
      </c>
      <c r="I465" t="s">
        <v>9065</v>
      </c>
      <c r="J465" t="s">
        <v>1001</v>
      </c>
      <c r="K465" t="s">
        <v>74</v>
      </c>
      <c r="L465" t="s">
        <v>74</v>
      </c>
      <c r="M465" t="s">
        <v>78</v>
      </c>
      <c r="N465" t="s">
        <v>79</v>
      </c>
      <c r="O465" t="s">
        <v>74</v>
      </c>
      <c r="P465" t="s">
        <v>74</v>
      </c>
      <c r="Q465" t="s">
        <v>74</v>
      </c>
      <c r="R465" t="s">
        <v>74</v>
      </c>
      <c r="S465" t="s">
        <v>74</v>
      </c>
      <c r="T465" t="s">
        <v>9066</v>
      </c>
      <c r="U465" t="s">
        <v>9067</v>
      </c>
      <c r="V465" t="s">
        <v>9068</v>
      </c>
      <c r="W465" t="s">
        <v>9069</v>
      </c>
      <c r="X465" t="s">
        <v>9070</v>
      </c>
      <c r="Y465" t="s">
        <v>9071</v>
      </c>
      <c r="Z465" t="s">
        <v>9072</v>
      </c>
      <c r="AA465" t="s">
        <v>9073</v>
      </c>
      <c r="AB465" t="s">
        <v>9074</v>
      </c>
      <c r="AC465" t="s">
        <v>9075</v>
      </c>
      <c r="AD465" t="s">
        <v>9076</v>
      </c>
      <c r="AE465" t="s">
        <v>9077</v>
      </c>
      <c r="AF465" t="s">
        <v>74</v>
      </c>
      <c r="AG465">
        <v>58</v>
      </c>
      <c r="AH465">
        <v>0</v>
      </c>
      <c r="AI465">
        <v>0</v>
      </c>
      <c r="AJ465">
        <v>6</v>
      </c>
      <c r="AK465">
        <v>6</v>
      </c>
      <c r="AL465" t="s">
        <v>426</v>
      </c>
      <c r="AM465" t="s">
        <v>427</v>
      </c>
      <c r="AN465" t="s">
        <v>428</v>
      </c>
      <c r="AO465" t="s">
        <v>1014</v>
      </c>
      <c r="AP465" t="s">
        <v>1015</v>
      </c>
      <c r="AQ465" t="s">
        <v>74</v>
      </c>
      <c r="AR465" t="s">
        <v>1016</v>
      </c>
      <c r="AS465" t="s">
        <v>1017</v>
      </c>
      <c r="AT465" t="s">
        <v>8948</v>
      </c>
      <c r="AU465">
        <v>2023</v>
      </c>
      <c r="AV465" t="s">
        <v>74</v>
      </c>
      <c r="AW465" t="s">
        <v>74</v>
      </c>
      <c r="AX465" t="s">
        <v>74</v>
      </c>
      <c r="AY465" t="s">
        <v>74</v>
      </c>
      <c r="AZ465" t="s">
        <v>74</v>
      </c>
      <c r="BA465" t="s">
        <v>74</v>
      </c>
      <c r="BB465" t="s">
        <v>74</v>
      </c>
      <c r="BC465" t="s">
        <v>74</v>
      </c>
      <c r="BD465" t="s">
        <v>9078</v>
      </c>
      <c r="BE465" t="s">
        <v>9079</v>
      </c>
      <c r="BF465" t="str">
        <f>HYPERLINK("http://dx.doi.org/10.1002/anie.202308411","http://dx.doi.org/10.1002/anie.202308411")</f>
        <v>http://dx.doi.org/10.1002/anie.202308411</v>
      </c>
      <c r="BG465" t="s">
        <v>74</v>
      </c>
      <c r="BH465" t="s">
        <v>74</v>
      </c>
      <c r="BI465">
        <v>10</v>
      </c>
      <c r="BJ465" t="s">
        <v>523</v>
      </c>
      <c r="BK465" t="s">
        <v>119</v>
      </c>
      <c r="BL465" t="s">
        <v>524</v>
      </c>
      <c r="BM465" t="s">
        <v>9080</v>
      </c>
      <c r="BN465">
        <v>37503936</v>
      </c>
      <c r="BO465" t="s">
        <v>122</v>
      </c>
      <c r="BP465" t="s">
        <v>74</v>
      </c>
      <c r="BQ465" t="s">
        <v>74</v>
      </c>
      <c r="BR465" t="s">
        <v>99</v>
      </c>
      <c r="BS465" t="s">
        <v>9081</v>
      </c>
      <c r="BT465" t="str">
        <f>HYPERLINK("https%3A%2F%2Fwww.webofscience.com%2Fwos%2Fwoscc%2Ffull-record%2FWOS:001053871600001","View Full Record in Web of Science")</f>
        <v>View Full Record in Web of Science</v>
      </c>
    </row>
    <row r="466" spans="1:72" x14ac:dyDescent="0.15">
      <c r="A466" t="s">
        <v>72</v>
      </c>
      <c r="B466" t="s">
        <v>9082</v>
      </c>
      <c r="C466" t="s">
        <v>74</v>
      </c>
      <c r="D466" t="s">
        <v>74</v>
      </c>
      <c r="E466" t="s">
        <v>74</v>
      </c>
      <c r="F466" t="s">
        <v>9083</v>
      </c>
      <c r="G466" t="s">
        <v>74</v>
      </c>
      <c r="H466" t="s">
        <v>74</v>
      </c>
      <c r="I466" t="s">
        <v>9084</v>
      </c>
      <c r="J466" t="s">
        <v>4383</v>
      </c>
      <c r="K466" t="s">
        <v>74</v>
      </c>
      <c r="L466" t="s">
        <v>74</v>
      </c>
      <c r="M466" t="s">
        <v>78</v>
      </c>
      <c r="N466" t="s">
        <v>338</v>
      </c>
      <c r="O466" t="s">
        <v>74</v>
      </c>
      <c r="P466" t="s">
        <v>74</v>
      </c>
      <c r="Q466" t="s">
        <v>74</v>
      </c>
      <c r="R466" t="s">
        <v>74</v>
      </c>
      <c r="S466" t="s">
        <v>74</v>
      </c>
      <c r="T466" t="s">
        <v>9085</v>
      </c>
      <c r="U466" t="s">
        <v>9086</v>
      </c>
      <c r="V466" t="s">
        <v>9087</v>
      </c>
      <c r="W466" t="s">
        <v>9088</v>
      </c>
      <c r="X466" t="s">
        <v>9089</v>
      </c>
      <c r="Y466" t="s">
        <v>9090</v>
      </c>
      <c r="Z466" t="s">
        <v>9091</v>
      </c>
      <c r="AA466" t="s">
        <v>9092</v>
      </c>
      <c r="AB466" t="s">
        <v>9093</v>
      </c>
      <c r="AC466" t="s">
        <v>9094</v>
      </c>
      <c r="AD466" t="s">
        <v>9095</v>
      </c>
      <c r="AE466" t="s">
        <v>9094</v>
      </c>
      <c r="AF466" t="s">
        <v>74</v>
      </c>
      <c r="AG466">
        <v>38</v>
      </c>
      <c r="AH466">
        <v>0</v>
      </c>
      <c r="AI466">
        <v>0</v>
      </c>
      <c r="AJ466">
        <v>1</v>
      </c>
      <c r="AK466">
        <v>1</v>
      </c>
      <c r="AL466" t="s">
        <v>87</v>
      </c>
      <c r="AM466" t="s">
        <v>88</v>
      </c>
      <c r="AN466" t="s">
        <v>89</v>
      </c>
      <c r="AO466" t="s">
        <v>4395</v>
      </c>
      <c r="AP466" t="s">
        <v>4396</v>
      </c>
      <c r="AQ466" t="s">
        <v>74</v>
      </c>
      <c r="AR466" t="s">
        <v>4397</v>
      </c>
      <c r="AS466" t="s">
        <v>4398</v>
      </c>
      <c r="AT466" t="s">
        <v>9096</v>
      </c>
      <c r="AU466">
        <v>2023</v>
      </c>
      <c r="AV466" t="s">
        <v>74</v>
      </c>
      <c r="AW466" t="s">
        <v>74</v>
      </c>
      <c r="AX466" t="s">
        <v>74</v>
      </c>
      <c r="AY466" t="s">
        <v>74</v>
      </c>
      <c r="AZ466" t="s">
        <v>74</v>
      </c>
      <c r="BA466" t="s">
        <v>74</v>
      </c>
      <c r="BB466" t="s">
        <v>74</v>
      </c>
      <c r="BC466" t="s">
        <v>74</v>
      </c>
      <c r="BD466" t="s">
        <v>74</v>
      </c>
      <c r="BE466" t="s">
        <v>9097</v>
      </c>
      <c r="BF466" t="str">
        <f>HYPERLINK("http://dx.doi.org/10.1111/jpn.13874","http://dx.doi.org/10.1111/jpn.13874")</f>
        <v>http://dx.doi.org/10.1111/jpn.13874</v>
      </c>
      <c r="BG466" t="s">
        <v>74</v>
      </c>
      <c r="BH466" t="s">
        <v>7524</v>
      </c>
      <c r="BI466">
        <v>9</v>
      </c>
      <c r="BJ466" t="s">
        <v>4400</v>
      </c>
      <c r="BK466" t="s">
        <v>119</v>
      </c>
      <c r="BL466" t="s">
        <v>4401</v>
      </c>
      <c r="BM466" t="s">
        <v>9098</v>
      </c>
      <c r="BN466">
        <v>37610039</v>
      </c>
      <c r="BO466" t="s">
        <v>122</v>
      </c>
      <c r="BP466" t="s">
        <v>74</v>
      </c>
      <c r="BQ466" t="s">
        <v>74</v>
      </c>
      <c r="BR466" t="s">
        <v>99</v>
      </c>
      <c r="BS466" t="s">
        <v>9099</v>
      </c>
      <c r="BT466" t="str">
        <f>HYPERLINK("https%3A%2F%2Fwww.webofscience.com%2Fwos%2Fwoscc%2Ffull-record%2FWOS:001051982100001","View Full Record in Web of Science")</f>
        <v>View Full Record in Web of Science</v>
      </c>
    </row>
    <row r="467" spans="1:72" x14ac:dyDescent="0.15">
      <c r="A467" t="s">
        <v>72</v>
      </c>
      <c r="B467" t="s">
        <v>9100</v>
      </c>
      <c r="C467" t="s">
        <v>74</v>
      </c>
      <c r="D467" t="s">
        <v>74</v>
      </c>
      <c r="E467" t="s">
        <v>74</v>
      </c>
      <c r="F467" t="s">
        <v>9101</v>
      </c>
      <c r="G467" t="s">
        <v>74</v>
      </c>
      <c r="H467" t="s">
        <v>74</v>
      </c>
      <c r="I467" t="s">
        <v>9102</v>
      </c>
      <c r="J467" t="s">
        <v>9103</v>
      </c>
      <c r="K467" t="s">
        <v>74</v>
      </c>
      <c r="L467" t="s">
        <v>74</v>
      </c>
      <c r="M467" t="s">
        <v>78</v>
      </c>
      <c r="N467" t="s">
        <v>338</v>
      </c>
      <c r="O467" t="s">
        <v>74</v>
      </c>
      <c r="P467" t="s">
        <v>74</v>
      </c>
      <c r="Q467" t="s">
        <v>74</v>
      </c>
      <c r="R467" t="s">
        <v>74</v>
      </c>
      <c r="S467" t="s">
        <v>74</v>
      </c>
      <c r="T467" t="s">
        <v>74</v>
      </c>
      <c r="U467" t="s">
        <v>74</v>
      </c>
      <c r="V467" t="s">
        <v>74</v>
      </c>
      <c r="W467" t="s">
        <v>9104</v>
      </c>
      <c r="X467" t="s">
        <v>9105</v>
      </c>
      <c r="Y467" t="s">
        <v>9106</v>
      </c>
      <c r="Z467" t="s">
        <v>9107</v>
      </c>
      <c r="AA467" t="s">
        <v>74</v>
      </c>
      <c r="AB467" t="s">
        <v>74</v>
      </c>
      <c r="AC467" t="s">
        <v>74</v>
      </c>
      <c r="AD467" t="s">
        <v>74</v>
      </c>
      <c r="AE467" t="s">
        <v>74</v>
      </c>
      <c r="AF467" t="s">
        <v>74</v>
      </c>
      <c r="AG467">
        <v>0</v>
      </c>
      <c r="AH467">
        <v>0</v>
      </c>
      <c r="AI467">
        <v>0</v>
      </c>
      <c r="AJ467">
        <v>0</v>
      </c>
      <c r="AK467">
        <v>0</v>
      </c>
      <c r="AL467" t="s">
        <v>87</v>
      </c>
      <c r="AM467" t="s">
        <v>88</v>
      </c>
      <c r="AN467" t="s">
        <v>89</v>
      </c>
      <c r="AO467" t="s">
        <v>9108</v>
      </c>
      <c r="AP467" t="s">
        <v>9109</v>
      </c>
      <c r="AQ467" t="s">
        <v>74</v>
      </c>
      <c r="AR467" t="s">
        <v>9110</v>
      </c>
      <c r="AS467" t="s">
        <v>9111</v>
      </c>
      <c r="AT467" t="s">
        <v>9096</v>
      </c>
      <c r="AU467">
        <v>2023</v>
      </c>
      <c r="AV467" t="s">
        <v>74</v>
      </c>
      <c r="AW467" t="s">
        <v>74</v>
      </c>
      <c r="AX467" t="s">
        <v>74</v>
      </c>
      <c r="AY467" t="s">
        <v>74</v>
      </c>
      <c r="AZ467" t="s">
        <v>74</v>
      </c>
      <c r="BA467" t="s">
        <v>74</v>
      </c>
      <c r="BB467" t="s">
        <v>74</v>
      </c>
      <c r="BC467" t="s">
        <v>74</v>
      </c>
      <c r="BD467" t="s">
        <v>74</v>
      </c>
      <c r="BE467" t="s">
        <v>9112</v>
      </c>
      <c r="BF467" t="str">
        <f>HYPERLINK("http://dx.doi.org/10.1111/criq.12738","http://dx.doi.org/10.1111/criq.12738")</f>
        <v>http://dx.doi.org/10.1111/criq.12738</v>
      </c>
      <c r="BG467" t="s">
        <v>74</v>
      </c>
      <c r="BH467" t="s">
        <v>7524</v>
      </c>
      <c r="BI467">
        <v>12</v>
      </c>
      <c r="BJ467" t="s">
        <v>9113</v>
      </c>
      <c r="BK467" t="s">
        <v>498</v>
      </c>
      <c r="BL467" t="s">
        <v>9114</v>
      </c>
      <c r="BM467" t="s">
        <v>9115</v>
      </c>
      <c r="BN467" t="s">
        <v>74</v>
      </c>
      <c r="BO467" t="s">
        <v>74</v>
      </c>
      <c r="BP467" t="s">
        <v>74</v>
      </c>
      <c r="BQ467" t="s">
        <v>74</v>
      </c>
      <c r="BR467" t="s">
        <v>99</v>
      </c>
      <c r="BS467" t="s">
        <v>9116</v>
      </c>
      <c r="BT467" t="str">
        <f>HYPERLINK("https%3A%2F%2Fwww.webofscience.com%2Fwos%2Fwoscc%2Ffull-record%2FWOS:001052600200001","View Full Record in Web of Science")</f>
        <v>View Full Record in Web of Science</v>
      </c>
    </row>
    <row r="468" spans="1:72" x14ac:dyDescent="0.15">
      <c r="A468" t="s">
        <v>72</v>
      </c>
      <c r="B468" t="s">
        <v>9117</v>
      </c>
      <c r="C468" t="s">
        <v>74</v>
      </c>
      <c r="D468" t="s">
        <v>74</v>
      </c>
      <c r="E468" t="s">
        <v>74</v>
      </c>
      <c r="F468" t="s">
        <v>9118</v>
      </c>
      <c r="G468" t="s">
        <v>74</v>
      </c>
      <c r="H468" t="s">
        <v>74</v>
      </c>
      <c r="I468" t="s">
        <v>9119</v>
      </c>
      <c r="J468" t="s">
        <v>593</v>
      </c>
      <c r="K468" t="s">
        <v>74</v>
      </c>
      <c r="L468" t="s">
        <v>74</v>
      </c>
      <c r="M468" t="s">
        <v>78</v>
      </c>
      <c r="N468" t="s">
        <v>79</v>
      </c>
      <c r="O468" t="s">
        <v>74</v>
      </c>
      <c r="P468" t="s">
        <v>74</v>
      </c>
      <c r="Q468" t="s">
        <v>74</v>
      </c>
      <c r="R468" t="s">
        <v>74</v>
      </c>
      <c r="S468" t="s">
        <v>74</v>
      </c>
      <c r="T468" t="s">
        <v>9120</v>
      </c>
      <c r="U468" t="s">
        <v>9121</v>
      </c>
      <c r="V468" t="s">
        <v>9122</v>
      </c>
      <c r="W468" t="s">
        <v>9123</v>
      </c>
      <c r="X468" t="s">
        <v>9124</v>
      </c>
      <c r="Y468" t="s">
        <v>9125</v>
      </c>
      <c r="Z468" t="s">
        <v>9126</v>
      </c>
      <c r="AA468" t="s">
        <v>74</v>
      </c>
      <c r="AB468" t="s">
        <v>9127</v>
      </c>
      <c r="AC468" t="s">
        <v>9128</v>
      </c>
      <c r="AD468" t="s">
        <v>9129</v>
      </c>
      <c r="AE468" t="s">
        <v>9130</v>
      </c>
      <c r="AF468" t="s">
        <v>74</v>
      </c>
      <c r="AG468">
        <v>42</v>
      </c>
      <c r="AH468">
        <v>0</v>
      </c>
      <c r="AI468">
        <v>0</v>
      </c>
      <c r="AJ468">
        <v>6</v>
      </c>
      <c r="AK468">
        <v>6</v>
      </c>
      <c r="AL468" t="s">
        <v>426</v>
      </c>
      <c r="AM468" t="s">
        <v>427</v>
      </c>
      <c r="AN468" t="s">
        <v>428</v>
      </c>
      <c r="AO468" t="s">
        <v>605</v>
      </c>
      <c r="AP468" t="s">
        <v>606</v>
      </c>
      <c r="AQ468" t="s">
        <v>74</v>
      </c>
      <c r="AR468" t="s">
        <v>593</v>
      </c>
      <c r="AS468" t="s">
        <v>607</v>
      </c>
      <c r="AT468" t="s">
        <v>9131</v>
      </c>
      <c r="AU468">
        <v>2023</v>
      </c>
      <c r="AV468" t="s">
        <v>74</v>
      </c>
      <c r="AW468" t="s">
        <v>74</v>
      </c>
      <c r="AX468" t="s">
        <v>74</v>
      </c>
      <c r="AY468" t="s">
        <v>74</v>
      </c>
      <c r="AZ468" t="s">
        <v>74</v>
      </c>
      <c r="BA468" t="s">
        <v>74</v>
      </c>
      <c r="BB468" t="s">
        <v>74</v>
      </c>
      <c r="BC468" t="s">
        <v>74</v>
      </c>
      <c r="BD468">
        <v>2303909</v>
      </c>
      <c r="BE468" t="s">
        <v>9132</v>
      </c>
      <c r="BF468" t="str">
        <f>HYPERLINK("http://dx.doi.org/10.1002/smll.202303909","http://dx.doi.org/10.1002/smll.202303909")</f>
        <v>http://dx.doi.org/10.1002/smll.202303909</v>
      </c>
      <c r="BG468" t="s">
        <v>74</v>
      </c>
      <c r="BH468" t="s">
        <v>74</v>
      </c>
      <c r="BI468">
        <v>6</v>
      </c>
      <c r="BJ468" t="s">
        <v>609</v>
      </c>
      <c r="BK468" t="s">
        <v>119</v>
      </c>
      <c r="BL468" t="s">
        <v>610</v>
      </c>
      <c r="BM468" t="s">
        <v>9133</v>
      </c>
      <c r="BN468">
        <v>37612806</v>
      </c>
      <c r="BO468" t="s">
        <v>74</v>
      </c>
      <c r="BP468" t="s">
        <v>74</v>
      </c>
      <c r="BQ468" t="s">
        <v>74</v>
      </c>
      <c r="BR468" t="s">
        <v>99</v>
      </c>
      <c r="BS468" t="s">
        <v>9134</v>
      </c>
      <c r="BT468" t="str">
        <f>HYPERLINK("https%3A%2F%2Fwww.webofscience.com%2Fwos%2Fwoscc%2Ffull-record%2FWOS:001053358400001","View Full Record in Web of Science")</f>
        <v>View Full Record in Web of Science</v>
      </c>
    </row>
    <row r="469" spans="1:72" x14ac:dyDescent="0.15">
      <c r="A469" t="s">
        <v>72</v>
      </c>
      <c r="B469" t="s">
        <v>9135</v>
      </c>
      <c r="C469" t="s">
        <v>74</v>
      </c>
      <c r="D469" t="s">
        <v>74</v>
      </c>
      <c r="E469" t="s">
        <v>74</v>
      </c>
      <c r="F469" t="s">
        <v>9136</v>
      </c>
      <c r="G469" t="s">
        <v>74</v>
      </c>
      <c r="H469" t="s">
        <v>74</v>
      </c>
      <c r="I469" t="s">
        <v>9137</v>
      </c>
      <c r="J469" t="s">
        <v>9138</v>
      </c>
      <c r="K469" t="s">
        <v>74</v>
      </c>
      <c r="L469" t="s">
        <v>74</v>
      </c>
      <c r="M469" t="s">
        <v>78</v>
      </c>
      <c r="N469" t="s">
        <v>338</v>
      </c>
      <c r="O469" t="s">
        <v>74</v>
      </c>
      <c r="P469" t="s">
        <v>74</v>
      </c>
      <c r="Q469" t="s">
        <v>74</v>
      </c>
      <c r="R469" t="s">
        <v>74</v>
      </c>
      <c r="S469" t="s">
        <v>74</v>
      </c>
      <c r="T469" t="s">
        <v>9139</v>
      </c>
      <c r="U469" t="s">
        <v>9140</v>
      </c>
      <c r="V469" t="s">
        <v>9141</v>
      </c>
      <c r="W469" t="s">
        <v>9142</v>
      </c>
      <c r="X469" t="s">
        <v>9143</v>
      </c>
      <c r="Y469" t="s">
        <v>9144</v>
      </c>
      <c r="Z469" t="s">
        <v>9145</v>
      </c>
      <c r="AA469" t="s">
        <v>9146</v>
      </c>
      <c r="AB469" t="s">
        <v>9147</v>
      </c>
      <c r="AC469" t="s">
        <v>9148</v>
      </c>
      <c r="AD469" t="s">
        <v>9149</v>
      </c>
      <c r="AE469" t="s">
        <v>9150</v>
      </c>
      <c r="AF469" t="s">
        <v>74</v>
      </c>
      <c r="AG469">
        <v>38</v>
      </c>
      <c r="AH469">
        <v>0</v>
      </c>
      <c r="AI469">
        <v>0</v>
      </c>
      <c r="AJ469">
        <v>1</v>
      </c>
      <c r="AK469">
        <v>1</v>
      </c>
      <c r="AL469" t="s">
        <v>87</v>
      </c>
      <c r="AM469" t="s">
        <v>88</v>
      </c>
      <c r="AN469" t="s">
        <v>89</v>
      </c>
      <c r="AO469" t="s">
        <v>9151</v>
      </c>
      <c r="AP469" t="s">
        <v>9152</v>
      </c>
      <c r="AQ469" t="s">
        <v>74</v>
      </c>
      <c r="AR469" t="s">
        <v>9153</v>
      </c>
      <c r="AS469" t="s">
        <v>9154</v>
      </c>
      <c r="AT469" t="s">
        <v>9096</v>
      </c>
      <c r="AU469">
        <v>2023</v>
      </c>
      <c r="AV469" t="s">
        <v>74</v>
      </c>
      <c r="AW469" t="s">
        <v>74</v>
      </c>
      <c r="AX469" t="s">
        <v>74</v>
      </c>
      <c r="AY469" t="s">
        <v>74</v>
      </c>
      <c r="AZ469" t="s">
        <v>74</v>
      </c>
      <c r="BA469" t="s">
        <v>74</v>
      </c>
      <c r="BB469" t="s">
        <v>74</v>
      </c>
      <c r="BC469" t="s">
        <v>74</v>
      </c>
      <c r="BD469" t="s">
        <v>74</v>
      </c>
      <c r="BE469" t="s">
        <v>9155</v>
      </c>
      <c r="BF469" t="str">
        <f>HYPERLINK("http://dx.doi.org/10.1002/cche.10705","http://dx.doi.org/10.1002/cche.10705")</f>
        <v>http://dx.doi.org/10.1002/cche.10705</v>
      </c>
      <c r="BG469" t="s">
        <v>74</v>
      </c>
      <c r="BH469" t="s">
        <v>7524</v>
      </c>
      <c r="BI469">
        <v>13</v>
      </c>
      <c r="BJ469" t="s">
        <v>9156</v>
      </c>
      <c r="BK469" t="s">
        <v>119</v>
      </c>
      <c r="BL469" t="s">
        <v>9157</v>
      </c>
      <c r="BM469" t="s">
        <v>9158</v>
      </c>
      <c r="BN469" t="s">
        <v>74</v>
      </c>
      <c r="BO469" t="s">
        <v>301</v>
      </c>
      <c r="BP469" t="s">
        <v>74</v>
      </c>
      <c r="BQ469" t="s">
        <v>74</v>
      </c>
      <c r="BR469" t="s">
        <v>99</v>
      </c>
      <c r="BS469" t="s">
        <v>9159</v>
      </c>
      <c r="BT469" t="str">
        <f>HYPERLINK("https%3A%2F%2Fwww.webofscience.com%2Fwos%2Fwoscc%2Ffull-record%2FWOS:001052660500001","View Full Record in Web of Science")</f>
        <v>View Full Record in Web of Science</v>
      </c>
    </row>
    <row r="470" spans="1:72" x14ac:dyDescent="0.15">
      <c r="A470" t="s">
        <v>72</v>
      </c>
      <c r="B470" t="s">
        <v>9160</v>
      </c>
      <c r="C470" t="s">
        <v>74</v>
      </c>
      <c r="D470" t="s">
        <v>74</v>
      </c>
      <c r="E470" t="s">
        <v>74</v>
      </c>
      <c r="F470" t="s">
        <v>9161</v>
      </c>
      <c r="G470" t="s">
        <v>74</v>
      </c>
      <c r="H470" t="s">
        <v>74</v>
      </c>
      <c r="I470" t="s">
        <v>9162</v>
      </c>
      <c r="J470" t="s">
        <v>875</v>
      </c>
      <c r="K470" t="s">
        <v>74</v>
      </c>
      <c r="L470" t="s">
        <v>74</v>
      </c>
      <c r="M470" t="s">
        <v>78</v>
      </c>
      <c r="N470" t="s">
        <v>79</v>
      </c>
      <c r="O470" t="s">
        <v>74</v>
      </c>
      <c r="P470" t="s">
        <v>74</v>
      </c>
      <c r="Q470" t="s">
        <v>74</v>
      </c>
      <c r="R470" t="s">
        <v>74</v>
      </c>
      <c r="S470" t="s">
        <v>74</v>
      </c>
      <c r="T470" t="s">
        <v>9163</v>
      </c>
      <c r="U470" t="s">
        <v>9164</v>
      </c>
      <c r="V470" t="s">
        <v>9165</v>
      </c>
      <c r="W470" t="s">
        <v>9166</v>
      </c>
      <c r="X470" t="s">
        <v>9167</v>
      </c>
      <c r="Y470" t="s">
        <v>9168</v>
      </c>
      <c r="Z470" t="s">
        <v>9169</v>
      </c>
      <c r="AA470" t="s">
        <v>74</v>
      </c>
      <c r="AB470" t="s">
        <v>74</v>
      </c>
      <c r="AC470" t="s">
        <v>9170</v>
      </c>
      <c r="AD470" t="s">
        <v>9170</v>
      </c>
      <c r="AE470" t="s">
        <v>9170</v>
      </c>
      <c r="AF470" t="s">
        <v>74</v>
      </c>
      <c r="AG470">
        <v>52</v>
      </c>
      <c r="AH470">
        <v>0</v>
      </c>
      <c r="AI470">
        <v>0</v>
      </c>
      <c r="AJ470">
        <v>6</v>
      </c>
      <c r="AK470">
        <v>6</v>
      </c>
      <c r="AL470" t="s">
        <v>426</v>
      </c>
      <c r="AM470" t="s">
        <v>427</v>
      </c>
      <c r="AN470" t="s">
        <v>428</v>
      </c>
      <c r="AO470" t="s">
        <v>886</v>
      </c>
      <c r="AP470" t="s">
        <v>887</v>
      </c>
      <c r="AQ470" t="s">
        <v>74</v>
      </c>
      <c r="AR470" t="s">
        <v>888</v>
      </c>
      <c r="AS470" t="s">
        <v>889</v>
      </c>
      <c r="AT470" t="s">
        <v>9131</v>
      </c>
      <c r="AU470">
        <v>2023</v>
      </c>
      <c r="AV470" t="s">
        <v>74</v>
      </c>
      <c r="AW470" t="s">
        <v>74</v>
      </c>
      <c r="AX470" t="s">
        <v>74</v>
      </c>
      <c r="AY470" t="s">
        <v>74</v>
      </c>
      <c r="AZ470" t="s">
        <v>74</v>
      </c>
      <c r="BA470" t="s">
        <v>74</v>
      </c>
      <c r="BB470" t="s">
        <v>74</v>
      </c>
      <c r="BC470" t="s">
        <v>74</v>
      </c>
      <c r="BD470">
        <v>2304754</v>
      </c>
      <c r="BE470" t="s">
        <v>9171</v>
      </c>
      <c r="BF470" t="str">
        <f>HYPERLINK("http://dx.doi.org/10.1002/adfm.202304754","http://dx.doi.org/10.1002/adfm.202304754")</f>
        <v>http://dx.doi.org/10.1002/adfm.202304754</v>
      </c>
      <c r="BG470" t="s">
        <v>74</v>
      </c>
      <c r="BH470" t="s">
        <v>74</v>
      </c>
      <c r="BI470">
        <v>13</v>
      </c>
      <c r="BJ470" t="s">
        <v>609</v>
      </c>
      <c r="BK470" t="s">
        <v>119</v>
      </c>
      <c r="BL470" t="s">
        <v>610</v>
      </c>
      <c r="BM470" t="s">
        <v>9172</v>
      </c>
      <c r="BN470" t="s">
        <v>74</v>
      </c>
      <c r="BO470" t="s">
        <v>74</v>
      </c>
      <c r="BP470" t="s">
        <v>74</v>
      </c>
      <c r="BQ470" t="s">
        <v>74</v>
      </c>
      <c r="BR470" t="s">
        <v>99</v>
      </c>
      <c r="BS470" t="s">
        <v>9173</v>
      </c>
      <c r="BT470" t="str">
        <f>HYPERLINK("https%3A%2F%2Fwww.webofscience.com%2Fwos%2Fwoscc%2Ffull-record%2FWOS:001053382200001","View Full Record in Web of Science")</f>
        <v>View Full Record in Web of Science</v>
      </c>
    </row>
    <row r="471" spans="1:72" x14ac:dyDescent="0.15">
      <c r="A471" t="s">
        <v>72</v>
      </c>
      <c r="B471" t="s">
        <v>9174</v>
      </c>
      <c r="C471" t="s">
        <v>74</v>
      </c>
      <c r="D471" t="s">
        <v>74</v>
      </c>
      <c r="E471" t="s">
        <v>74</v>
      </c>
      <c r="F471" t="s">
        <v>9175</v>
      </c>
      <c r="G471" t="s">
        <v>74</v>
      </c>
      <c r="H471" t="s">
        <v>74</v>
      </c>
      <c r="I471" t="s">
        <v>9176</v>
      </c>
      <c r="J471" t="s">
        <v>9177</v>
      </c>
      <c r="K471" t="s">
        <v>74</v>
      </c>
      <c r="L471" t="s">
        <v>74</v>
      </c>
      <c r="M471" t="s">
        <v>78</v>
      </c>
      <c r="N471" t="s">
        <v>338</v>
      </c>
      <c r="O471" t="s">
        <v>74</v>
      </c>
      <c r="P471" t="s">
        <v>74</v>
      </c>
      <c r="Q471" t="s">
        <v>74</v>
      </c>
      <c r="R471" t="s">
        <v>74</v>
      </c>
      <c r="S471" t="s">
        <v>74</v>
      </c>
      <c r="T471" t="s">
        <v>9178</v>
      </c>
      <c r="U471" t="s">
        <v>9179</v>
      </c>
      <c r="V471" t="s">
        <v>9180</v>
      </c>
      <c r="W471" t="s">
        <v>9181</v>
      </c>
      <c r="X471" t="s">
        <v>9182</v>
      </c>
      <c r="Y471" t="s">
        <v>9183</v>
      </c>
      <c r="Z471" t="s">
        <v>9184</v>
      </c>
      <c r="AA471" t="s">
        <v>74</v>
      </c>
      <c r="AB471" t="s">
        <v>9185</v>
      </c>
      <c r="AC471" t="s">
        <v>9186</v>
      </c>
      <c r="AD471" t="s">
        <v>3742</v>
      </c>
      <c r="AE471" t="s">
        <v>9187</v>
      </c>
      <c r="AF471" t="s">
        <v>74</v>
      </c>
      <c r="AG471">
        <v>36</v>
      </c>
      <c r="AH471">
        <v>0</v>
      </c>
      <c r="AI471">
        <v>0</v>
      </c>
      <c r="AJ471">
        <v>1</v>
      </c>
      <c r="AK471">
        <v>1</v>
      </c>
      <c r="AL471" t="s">
        <v>426</v>
      </c>
      <c r="AM471" t="s">
        <v>427</v>
      </c>
      <c r="AN471" t="s">
        <v>428</v>
      </c>
      <c r="AO471" t="s">
        <v>9188</v>
      </c>
      <c r="AP471" t="s">
        <v>9189</v>
      </c>
      <c r="AQ471" t="s">
        <v>74</v>
      </c>
      <c r="AR471" t="s">
        <v>9190</v>
      </c>
      <c r="AS471" t="s">
        <v>9191</v>
      </c>
      <c r="AT471" t="s">
        <v>9096</v>
      </c>
      <c r="AU471">
        <v>2023</v>
      </c>
      <c r="AV471" t="s">
        <v>74</v>
      </c>
      <c r="AW471" t="s">
        <v>74</v>
      </c>
      <c r="AX471" t="s">
        <v>74</v>
      </c>
      <c r="AY471" t="s">
        <v>74</v>
      </c>
      <c r="AZ471" t="s">
        <v>74</v>
      </c>
      <c r="BA471" t="s">
        <v>74</v>
      </c>
      <c r="BB471" t="s">
        <v>74</v>
      </c>
      <c r="BC471" t="s">
        <v>74</v>
      </c>
      <c r="BD471" t="s">
        <v>74</v>
      </c>
      <c r="BE471" t="s">
        <v>9192</v>
      </c>
      <c r="BF471" t="str">
        <f>HYPERLINK("http://dx.doi.org/10.1002/ajoc.202300343","http://dx.doi.org/10.1002/ajoc.202300343")</f>
        <v>http://dx.doi.org/10.1002/ajoc.202300343</v>
      </c>
      <c r="BG471" t="s">
        <v>74</v>
      </c>
      <c r="BH471" t="s">
        <v>7524</v>
      </c>
      <c r="BI471">
        <v>7</v>
      </c>
      <c r="BJ471" t="s">
        <v>743</v>
      </c>
      <c r="BK471" t="s">
        <v>119</v>
      </c>
      <c r="BL471" t="s">
        <v>524</v>
      </c>
      <c r="BM471" t="s">
        <v>9193</v>
      </c>
      <c r="BN471" t="s">
        <v>74</v>
      </c>
      <c r="BO471" t="s">
        <v>74</v>
      </c>
      <c r="BP471" t="s">
        <v>74</v>
      </c>
      <c r="BQ471" t="s">
        <v>74</v>
      </c>
      <c r="BR471" t="s">
        <v>99</v>
      </c>
      <c r="BS471" t="s">
        <v>9194</v>
      </c>
      <c r="BT471" t="str">
        <f>HYPERLINK("https%3A%2F%2Fwww.webofscience.com%2Fwos%2Fwoscc%2Ffull-record%2FWOS:001052008800001","View Full Record in Web of Science")</f>
        <v>View Full Record in Web of Science</v>
      </c>
    </row>
    <row r="472" spans="1:72" x14ac:dyDescent="0.15">
      <c r="A472" t="s">
        <v>72</v>
      </c>
      <c r="B472" t="s">
        <v>9195</v>
      </c>
      <c r="C472" t="s">
        <v>74</v>
      </c>
      <c r="D472" t="s">
        <v>74</v>
      </c>
      <c r="E472" t="s">
        <v>74</v>
      </c>
      <c r="F472" t="s">
        <v>9196</v>
      </c>
      <c r="G472" t="s">
        <v>74</v>
      </c>
      <c r="H472" t="s">
        <v>74</v>
      </c>
      <c r="I472" t="s">
        <v>9197</v>
      </c>
      <c r="J472" t="s">
        <v>9198</v>
      </c>
      <c r="K472" t="s">
        <v>74</v>
      </c>
      <c r="L472" t="s">
        <v>74</v>
      </c>
      <c r="M472" t="s">
        <v>78</v>
      </c>
      <c r="N472" t="s">
        <v>338</v>
      </c>
      <c r="O472" t="s">
        <v>74</v>
      </c>
      <c r="P472" t="s">
        <v>74</v>
      </c>
      <c r="Q472" t="s">
        <v>74</v>
      </c>
      <c r="R472" t="s">
        <v>74</v>
      </c>
      <c r="S472" t="s">
        <v>74</v>
      </c>
      <c r="T472" t="s">
        <v>74</v>
      </c>
      <c r="U472" t="s">
        <v>9199</v>
      </c>
      <c r="V472" t="s">
        <v>9200</v>
      </c>
      <c r="W472" t="s">
        <v>9201</v>
      </c>
      <c r="X472" t="s">
        <v>9202</v>
      </c>
      <c r="Y472" t="s">
        <v>9203</v>
      </c>
      <c r="Z472" t="s">
        <v>9204</v>
      </c>
      <c r="AA472" t="s">
        <v>9205</v>
      </c>
      <c r="AB472" t="s">
        <v>9206</v>
      </c>
      <c r="AC472" t="s">
        <v>9207</v>
      </c>
      <c r="AD472" t="s">
        <v>9208</v>
      </c>
      <c r="AE472" t="s">
        <v>9209</v>
      </c>
      <c r="AF472" t="s">
        <v>74</v>
      </c>
      <c r="AG472">
        <v>52</v>
      </c>
      <c r="AH472">
        <v>0</v>
      </c>
      <c r="AI472">
        <v>0</v>
      </c>
      <c r="AJ472">
        <v>2</v>
      </c>
      <c r="AK472">
        <v>2</v>
      </c>
      <c r="AL472" t="s">
        <v>87</v>
      </c>
      <c r="AM472" t="s">
        <v>88</v>
      </c>
      <c r="AN472" t="s">
        <v>89</v>
      </c>
      <c r="AO472" t="s">
        <v>9210</v>
      </c>
      <c r="AP472" t="s">
        <v>9211</v>
      </c>
      <c r="AQ472" t="s">
        <v>74</v>
      </c>
      <c r="AR472" t="s">
        <v>9212</v>
      </c>
      <c r="AS472" t="s">
        <v>9213</v>
      </c>
      <c r="AT472" t="s">
        <v>9096</v>
      </c>
      <c r="AU472">
        <v>2023</v>
      </c>
      <c r="AV472" t="s">
        <v>74</v>
      </c>
      <c r="AW472" t="s">
        <v>74</v>
      </c>
      <c r="AX472" t="s">
        <v>74</v>
      </c>
      <c r="AY472" t="s">
        <v>74</v>
      </c>
      <c r="AZ472" t="s">
        <v>74</v>
      </c>
      <c r="BA472" t="s">
        <v>74</v>
      </c>
      <c r="BB472" t="s">
        <v>74</v>
      </c>
      <c r="BC472" t="s">
        <v>74</v>
      </c>
      <c r="BD472" t="s">
        <v>74</v>
      </c>
      <c r="BE472" t="s">
        <v>9214</v>
      </c>
      <c r="BF472" t="str">
        <f>HYPERLINK("http://dx.doi.org/10.1002/saj2.20577","http://dx.doi.org/10.1002/saj2.20577")</f>
        <v>http://dx.doi.org/10.1002/saj2.20577</v>
      </c>
      <c r="BG472" t="s">
        <v>74</v>
      </c>
      <c r="BH472" t="s">
        <v>7524</v>
      </c>
      <c r="BI472">
        <v>14</v>
      </c>
      <c r="BJ472" t="s">
        <v>9215</v>
      </c>
      <c r="BK472" t="s">
        <v>119</v>
      </c>
      <c r="BL472" t="s">
        <v>1126</v>
      </c>
      <c r="BM472" t="s">
        <v>9216</v>
      </c>
      <c r="BN472" t="s">
        <v>74</v>
      </c>
      <c r="BO472" t="s">
        <v>74</v>
      </c>
      <c r="BP472" t="s">
        <v>74</v>
      </c>
      <c r="BQ472" t="s">
        <v>74</v>
      </c>
      <c r="BR472" t="s">
        <v>99</v>
      </c>
      <c r="BS472" t="s">
        <v>9217</v>
      </c>
      <c r="BT472" t="str">
        <f>HYPERLINK("https%3A%2F%2Fwww.webofscience.com%2Fwos%2Fwoscc%2Ffull-record%2FWOS:001051918600001","View Full Record in Web of Science")</f>
        <v>View Full Record in Web of Science</v>
      </c>
    </row>
    <row r="473" spans="1:72" x14ac:dyDescent="0.15">
      <c r="A473" t="s">
        <v>72</v>
      </c>
      <c r="B473" t="s">
        <v>9218</v>
      </c>
      <c r="C473" t="s">
        <v>74</v>
      </c>
      <c r="D473" t="s">
        <v>74</v>
      </c>
      <c r="E473" t="s">
        <v>74</v>
      </c>
      <c r="F473" t="s">
        <v>9219</v>
      </c>
      <c r="G473" t="s">
        <v>74</v>
      </c>
      <c r="H473" t="s">
        <v>74</v>
      </c>
      <c r="I473" t="s">
        <v>9220</v>
      </c>
      <c r="J473" t="s">
        <v>9221</v>
      </c>
      <c r="K473" t="s">
        <v>74</v>
      </c>
      <c r="L473" t="s">
        <v>74</v>
      </c>
      <c r="M473" t="s">
        <v>78</v>
      </c>
      <c r="N473" t="s">
        <v>338</v>
      </c>
      <c r="O473" t="s">
        <v>74</v>
      </c>
      <c r="P473" t="s">
        <v>74</v>
      </c>
      <c r="Q473" t="s">
        <v>74</v>
      </c>
      <c r="R473" t="s">
        <v>74</v>
      </c>
      <c r="S473" t="s">
        <v>74</v>
      </c>
      <c r="T473" t="s">
        <v>9222</v>
      </c>
      <c r="U473" t="s">
        <v>9223</v>
      </c>
      <c r="V473" t="s">
        <v>9224</v>
      </c>
      <c r="W473" t="s">
        <v>9225</v>
      </c>
      <c r="X473" t="s">
        <v>9226</v>
      </c>
      <c r="Y473" t="s">
        <v>9227</v>
      </c>
      <c r="Z473" t="s">
        <v>9228</v>
      </c>
      <c r="AA473" t="s">
        <v>9229</v>
      </c>
      <c r="AB473" t="s">
        <v>9230</v>
      </c>
      <c r="AC473" t="s">
        <v>9231</v>
      </c>
      <c r="AD473" t="s">
        <v>9232</v>
      </c>
      <c r="AE473" t="s">
        <v>9233</v>
      </c>
      <c r="AF473" t="s">
        <v>74</v>
      </c>
      <c r="AG473">
        <v>80</v>
      </c>
      <c r="AH473">
        <v>0</v>
      </c>
      <c r="AI473">
        <v>0</v>
      </c>
      <c r="AJ473">
        <v>0</v>
      </c>
      <c r="AK473">
        <v>0</v>
      </c>
      <c r="AL473" t="s">
        <v>87</v>
      </c>
      <c r="AM473" t="s">
        <v>88</v>
      </c>
      <c r="AN473" t="s">
        <v>89</v>
      </c>
      <c r="AO473" t="s">
        <v>9234</v>
      </c>
      <c r="AP473" t="s">
        <v>9235</v>
      </c>
      <c r="AQ473" t="s">
        <v>74</v>
      </c>
      <c r="AR473" t="s">
        <v>9236</v>
      </c>
      <c r="AS473" t="s">
        <v>9237</v>
      </c>
      <c r="AT473" t="s">
        <v>9096</v>
      </c>
      <c r="AU473">
        <v>2023</v>
      </c>
      <c r="AV473" t="s">
        <v>74</v>
      </c>
      <c r="AW473" t="s">
        <v>74</v>
      </c>
      <c r="AX473" t="s">
        <v>74</v>
      </c>
      <c r="AY473" t="s">
        <v>74</v>
      </c>
      <c r="AZ473" t="s">
        <v>74</v>
      </c>
      <c r="BA473" t="s">
        <v>74</v>
      </c>
      <c r="BB473" t="s">
        <v>74</v>
      </c>
      <c r="BC473" t="s">
        <v>74</v>
      </c>
      <c r="BD473" t="s">
        <v>74</v>
      </c>
      <c r="BE473" t="s">
        <v>9238</v>
      </c>
      <c r="BF473" t="str">
        <f>HYPERLINK("http://dx.doi.org/10.1111/tpj.16396","http://dx.doi.org/10.1111/tpj.16396")</f>
        <v>http://dx.doi.org/10.1111/tpj.16396</v>
      </c>
      <c r="BG473" t="s">
        <v>74</v>
      </c>
      <c r="BH473" t="s">
        <v>7524</v>
      </c>
      <c r="BI473">
        <v>21</v>
      </c>
      <c r="BJ473" t="s">
        <v>1751</v>
      </c>
      <c r="BK473" t="s">
        <v>119</v>
      </c>
      <c r="BL473" t="s">
        <v>1751</v>
      </c>
      <c r="BM473" t="s">
        <v>9239</v>
      </c>
      <c r="BN473">
        <v>37609706</v>
      </c>
      <c r="BO473" t="s">
        <v>74</v>
      </c>
      <c r="BP473" t="s">
        <v>74</v>
      </c>
      <c r="BQ473" t="s">
        <v>74</v>
      </c>
      <c r="BR473" t="s">
        <v>99</v>
      </c>
      <c r="BS473" t="s">
        <v>9240</v>
      </c>
      <c r="BT473" t="str">
        <f>HYPERLINK("https%3A%2F%2Fwww.webofscience.com%2Fwos%2Fwoscc%2Ffull-record%2FWOS:001052848200001","View Full Record in Web of Science")</f>
        <v>View Full Record in Web of Science</v>
      </c>
    </row>
    <row r="474" spans="1:72" x14ac:dyDescent="0.15">
      <c r="A474" t="s">
        <v>72</v>
      </c>
      <c r="B474" t="s">
        <v>9241</v>
      </c>
      <c r="C474" t="s">
        <v>74</v>
      </c>
      <c r="D474" t="s">
        <v>74</v>
      </c>
      <c r="E474" t="s">
        <v>74</v>
      </c>
      <c r="F474" t="s">
        <v>9242</v>
      </c>
      <c r="G474" t="s">
        <v>74</v>
      </c>
      <c r="H474" t="s">
        <v>74</v>
      </c>
      <c r="I474" t="s">
        <v>9243</v>
      </c>
      <c r="J474" t="s">
        <v>683</v>
      </c>
      <c r="K474" t="s">
        <v>74</v>
      </c>
      <c r="L474" t="s">
        <v>74</v>
      </c>
      <c r="M474" t="s">
        <v>78</v>
      </c>
      <c r="N474" t="s">
        <v>338</v>
      </c>
      <c r="O474" t="s">
        <v>74</v>
      </c>
      <c r="P474" t="s">
        <v>74</v>
      </c>
      <c r="Q474" t="s">
        <v>74</v>
      </c>
      <c r="R474" t="s">
        <v>74</v>
      </c>
      <c r="S474" t="s">
        <v>74</v>
      </c>
      <c r="T474" t="s">
        <v>9244</v>
      </c>
      <c r="U474" t="s">
        <v>9245</v>
      </c>
      <c r="V474" t="s">
        <v>9246</v>
      </c>
      <c r="W474" t="s">
        <v>9247</v>
      </c>
      <c r="X474" t="s">
        <v>9248</v>
      </c>
      <c r="Y474" t="s">
        <v>9249</v>
      </c>
      <c r="Z474" t="s">
        <v>9250</v>
      </c>
      <c r="AA474" t="s">
        <v>9251</v>
      </c>
      <c r="AB474" t="s">
        <v>9252</v>
      </c>
      <c r="AC474" t="s">
        <v>9253</v>
      </c>
      <c r="AD474" t="s">
        <v>9254</v>
      </c>
      <c r="AE474" t="s">
        <v>9255</v>
      </c>
      <c r="AF474" t="s">
        <v>74</v>
      </c>
      <c r="AG474">
        <v>77</v>
      </c>
      <c r="AH474">
        <v>0</v>
      </c>
      <c r="AI474">
        <v>0</v>
      </c>
      <c r="AJ474">
        <v>2</v>
      </c>
      <c r="AK474">
        <v>2</v>
      </c>
      <c r="AL474" t="s">
        <v>426</v>
      </c>
      <c r="AM474" t="s">
        <v>427</v>
      </c>
      <c r="AN474" t="s">
        <v>428</v>
      </c>
      <c r="AO474" t="s">
        <v>694</v>
      </c>
      <c r="AP474" t="s">
        <v>695</v>
      </c>
      <c r="AQ474" t="s">
        <v>74</v>
      </c>
      <c r="AR474" t="s">
        <v>696</v>
      </c>
      <c r="AS474" t="s">
        <v>697</v>
      </c>
      <c r="AT474" t="s">
        <v>9096</v>
      </c>
      <c r="AU474">
        <v>2023</v>
      </c>
      <c r="AV474" t="s">
        <v>74</v>
      </c>
      <c r="AW474" t="s">
        <v>74</v>
      </c>
      <c r="AX474" t="s">
        <v>74</v>
      </c>
      <c r="AY474" t="s">
        <v>74</v>
      </c>
      <c r="AZ474" t="s">
        <v>74</v>
      </c>
      <c r="BA474" t="s">
        <v>74</v>
      </c>
      <c r="BB474" t="s">
        <v>74</v>
      </c>
      <c r="BC474" t="s">
        <v>74</v>
      </c>
      <c r="BD474" t="s">
        <v>74</v>
      </c>
      <c r="BE474" t="s">
        <v>9256</v>
      </c>
      <c r="BF474" t="str">
        <f>HYPERLINK("http://dx.doi.org/10.1002/adsc.202300620","http://dx.doi.org/10.1002/adsc.202300620")</f>
        <v>http://dx.doi.org/10.1002/adsc.202300620</v>
      </c>
      <c r="BG474" t="s">
        <v>74</v>
      </c>
      <c r="BH474" t="s">
        <v>7524</v>
      </c>
      <c r="BI474">
        <v>8</v>
      </c>
      <c r="BJ474" t="s">
        <v>699</v>
      </c>
      <c r="BK474" t="s">
        <v>119</v>
      </c>
      <c r="BL474" t="s">
        <v>524</v>
      </c>
      <c r="BM474" t="s">
        <v>9257</v>
      </c>
      <c r="BN474" t="s">
        <v>74</v>
      </c>
      <c r="BO474" t="s">
        <v>74</v>
      </c>
      <c r="BP474" t="s">
        <v>74</v>
      </c>
      <c r="BQ474" t="s">
        <v>74</v>
      </c>
      <c r="BR474" t="s">
        <v>99</v>
      </c>
      <c r="BS474" t="s">
        <v>9258</v>
      </c>
      <c r="BT474" t="str">
        <f>HYPERLINK("https%3A%2F%2Fwww.webofscience.com%2Fwos%2Fwoscc%2Ffull-record%2FWOS:001052742000001","View Full Record in Web of Science")</f>
        <v>View Full Record in Web of Science</v>
      </c>
    </row>
    <row r="475" spans="1:72" x14ac:dyDescent="0.15">
      <c r="A475" t="s">
        <v>72</v>
      </c>
      <c r="B475" t="s">
        <v>9259</v>
      </c>
      <c r="C475" t="s">
        <v>74</v>
      </c>
      <c r="D475" t="s">
        <v>74</v>
      </c>
      <c r="E475" t="s">
        <v>74</v>
      </c>
      <c r="F475" t="s">
        <v>9260</v>
      </c>
      <c r="G475" t="s">
        <v>74</v>
      </c>
      <c r="H475" t="s">
        <v>74</v>
      </c>
      <c r="I475" t="s">
        <v>9261</v>
      </c>
      <c r="J475" t="s">
        <v>8192</v>
      </c>
      <c r="K475" t="s">
        <v>74</v>
      </c>
      <c r="L475" t="s">
        <v>74</v>
      </c>
      <c r="M475" t="s">
        <v>78</v>
      </c>
      <c r="N475" t="s">
        <v>338</v>
      </c>
      <c r="O475" t="s">
        <v>74</v>
      </c>
      <c r="P475" t="s">
        <v>74</v>
      </c>
      <c r="Q475" t="s">
        <v>74</v>
      </c>
      <c r="R475" t="s">
        <v>74</v>
      </c>
      <c r="S475" t="s">
        <v>74</v>
      </c>
      <c r="T475" t="s">
        <v>9262</v>
      </c>
      <c r="U475" t="s">
        <v>9263</v>
      </c>
      <c r="V475" t="s">
        <v>9264</v>
      </c>
      <c r="W475" t="s">
        <v>9265</v>
      </c>
      <c r="X475" t="s">
        <v>9266</v>
      </c>
      <c r="Y475" t="s">
        <v>9267</v>
      </c>
      <c r="Z475" t="s">
        <v>9268</v>
      </c>
      <c r="AA475" t="s">
        <v>74</v>
      </c>
      <c r="AB475" t="s">
        <v>9269</v>
      </c>
      <c r="AC475" t="s">
        <v>74</v>
      </c>
      <c r="AD475" t="s">
        <v>74</v>
      </c>
      <c r="AE475" t="s">
        <v>74</v>
      </c>
      <c r="AF475" t="s">
        <v>74</v>
      </c>
      <c r="AG475">
        <v>37</v>
      </c>
      <c r="AH475">
        <v>0</v>
      </c>
      <c r="AI475">
        <v>0</v>
      </c>
      <c r="AJ475">
        <v>0</v>
      </c>
      <c r="AK475">
        <v>0</v>
      </c>
      <c r="AL475" t="s">
        <v>87</v>
      </c>
      <c r="AM475" t="s">
        <v>88</v>
      </c>
      <c r="AN475" t="s">
        <v>89</v>
      </c>
      <c r="AO475" t="s">
        <v>8203</v>
      </c>
      <c r="AP475" t="s">
        <v>8204</v>
      </c>
      <c r="AQ475" t="s">
        <v>74</v>
      </c>
      <c r="AR475" t="s">
        <v>8205</v>
      </c>
      <c r="AS475" t="s">
        <v>8206</v>
      </c>
      <c r="AT475" t="s">
        <v>9270</v>
      </c>
      <c r="AU475">
        <v>2023</v>
      </c>
      <c r="AV475" t="s">
        <v>74</v>
      </c>
      <c r="AW475" t="s">
        <v>74</v>
      </c>
      <c r="AX475" t="s">
        <v>74</v>
      </c>
      <c r="AY475" t="s">
        <v>74</v>
      </c>
      <c r="AZ475" t="s">
        <v>74</v>
      </c>
      <c r="BA475" t="s">
        <v>74</v>
      </c>
      <c r="BB475" t="s">
        <v>74</v>
      </c>
      <c r="BC475" t="s">
        <v>74</v>
      </c>
      <c r="BD475" t="s">
        <v>74</v>
      </c>
      <c r="BE475" t="s">
        <v>9271</v>
      </c>
      <c r="BF475" t="str">
        <f>HYPERLINK("http://dx.doi.org/10.1111/jgh.16325","http://dx.doi.org/10.1111/jgh.16325")</f>
        <v>http://dx.doi.org/10.1111/jgh.16325</v>
      </c>
      <c r="BG475" t="s">
        <v>74</v>
      </c>
      <c r="BH475" t="s">
        <v>7524</v>
      </c>
      <c r="BI475">
        <v>8</v>
      </c>
      <c r="BJ475" t="s">
        <v>95</v>
      </c>
      <c r="BK475" t="s">
        <v>119</v>
      </c>
      <c r="BL475" t="s">
        <v>95</v>
      </c>
      <c r="BM475" t="s">
        <v>9272</v>
      </c>
      <c r="BN475">
        <v>37605548</v>
      </c>
      <c r="BO475" t="s">
        <v>74</v>
      </c>
      <c r="BP475" t="s">
        <v>74</v>
      </c>
      <c r="BQ475" t="s">
        <v>74</v>
      </c>
      <c r="BR475" t="s">
        <v>99</v>
      </c>
      <c r="BS475" t="s">
        <v>9273</v>
      </c>
      <c r="BT475" t="str">
        <f>HYPERLINK("https%3A%2F%2Fwww.webofscience.com%2Fwos%2Fwoscc%2Ffull-record%2FWOS:001051948800001","View Full Record in Web of Science")</f>
        <v>View Full Record in Web of Science</v>
      </c>
    </row>
    <row r="476" spans="1:72" x14ac:dyDescent="0.15">
      <c r="A476" t="s">
        <v>72</v>
      </c>
      <c r="B476" t="s">
        <v>9274</v>
      </c>
      <c r="C476" t="s">
        <v>74</v>
      </c>
      <c r="D476" t="s">
        <v>74</v>
      </c>
      <c r="E476" t="s">
        <v>74</v>
      </c>
      <c r="F476" t="s">
        <v>9275</v>
      </c>
      <c r="G476" t="s">
        <v>74</v>
      </c>
      <c r="H476" t="s">
        <v>74</v>
      </c>
      <c r="I476" t="s">
        <v>9276</v>
      </c>
      <c r="J476" t="s">
        <v>9277</v>
      </c>
      <c r="K476" t="s">
        <v>74</v>
      </c>
      <c r="L476" t="s">
        <v>74</v>
      </c>
      <c r="M476" t="s">
        <v>78</v>
      </c>
      <c r="N476" t="s">
        <v>338</v>
      </c>
      <c r="O476" t="s">
        <v>74</v>
      </c>
      <c r="P476" t="s">
        <v>74</v>
      </c>
      <c r="Q476" t="s">
        <v>74</v>
      </c>
      <c r="R476" t="s">
        <v>74</v>
      </c>
      <c r="S476" t="s">
        <v>74</v>
      </c>
      <c r="T476" t="s">
        <v>9278</v>
      </c>
      <c r="U476" t="s">
        <v>74</v>
      </c>
      <c r="V476" t="s">
        <v>9279</v>
      </c>
      <c r="W476" t="s">
        <v>9280</v>
      </c>
      <c r="X476" t="s">
        <v>9281</v>
      </c>
      <c r="Y476" t="s">
        <v>9282</v>
      </c>
      <c r="Z476" t="s">
        <v>9283</v>
      </c>
      <c r="AA476" t="s">
        <v>74</v>
      </c>
      <c r="AB476" t="s">
        <v>9284</v>
      </c>
      <c r="AC476" t="s">
        <v>74</v>
      </c>
      <c r="AD476" t="s">
        <v>74</v>
      </c>
      <c r="AE476" t="s">
        <v>74</v>
      </c>
      <c r="AF476" t="s">
        <v>74</v>
      </c>
      <c r="AG476">
        <v>25</v>
      </c>
      <c r="AH476">
        <v>0</v>
      </c>
      <c r="AI476">
        <v>0</v>
      </c>
      <c r="AJ476">
        <v>1</v>
      </c>
      <c r="AK476">
        <v>1</v>
      </c>
      <c r="AL476" t="s">
        <v>87</v>
      </c>
      <c r="AM476" t="s">
        <v>88</v>
      </c>
      <c r="AN476" t="s">
        <v>89</v>
      </c>
      <c r="AO476" t="s">
        <v>9285</v>
      </c>
      <c r="AP476" t="s">
        <v>9286</v>
      </c>
      <c r="AQ476" t="s">
        <v>74</v>
      </c>
      <c r="AR476" t="s">
        <v>9287</v>
      </c>
      <c r="AS476" t="s">
        <v>9288</v>
      </c>
      <c r="AT476" t="s">
        <v>9270</v>
      </c>
      <c r="AU476">
        <v>2023</v>
      </c>
      <c r="AV476" t="s">
        <v>74</v>
      </c>
      <c r="AW476" t="s">
        <v>74</v>
      </c>
      <c r="AX476" t="s">
        <v>74</v>
      </c>
      <c r="AY476" t="s">
        <v>74</v>
      </c>
      <c r="AZ476" t="s">
        <v>74</v>
      </c>
      <c r="BA476" t="s">
        <v>74</v>
      </c>
      <c r="BB476" t="s">
        <v>74</v>
      </c>
      <c r="BC476" t="s">
        <v>74</v>
      </c>
      <c r="BD476" t="s">
        <v>74</v>
      </c>
      <c r="BE476" t="s">
        <v>9289</v>
      </c>
      <c r="BF476" t="str">
        <f>HYPERLINK("http://dx.doi.org/10.1111/phn.13239","http://dx.doi.org/10.1111/phn.13239")</f>
        <v>http://dx.doi.org/10.1111/phn.13239</v>
      </c>
      <c r="BG476" t="s">
        <v>74</v>
      </c>
      <c r="BH476" t="s">
        <v>7524</v>
      </c>
      <c r="BI476">
        <v>11</v>
      </c>
      <c r="BJ476" t="s">
        <v>9290</v>
      </c>
      <c r="BK476" t="s">
        <v>409</v>
      </c>
      <c r="BL476" t="s">
        <v>9290</v>
      </c>
      <c r="BM476" t="s">
        <v>9291</v>
      </c>
      <c r="BN476">
        <v>37608531</v>
      </c>
      <c r="BO476" t="s">
        <v>122</v>
      </c>
      <c r="BP476" t="s">
        <v>74</v>
      </c>
      <c r="BQ476" t="s">
        <v>74</v>
      </c>
      <c r="BR476" t="s">
        <v>99</v>
      </c>
      <c r="BS476" t="s">
        <v>9292</v>
      </c>
      <c r="BT476" t="str">
        <f>HYPERLINK("https%3A%2F%2Fwww.webofscience.com%2Fwos%2Fwoscc%2Ffull-record%2FWOS:001051699000001","View Full Record in Web of Science")</f>
        <v>View Full Record in Web of Science</v>
      </c>
    </row>
    <row r="477" spans="1:72" x14ac:dyDescent="0.15">
      <c r="A477" t="s">
        <v>72</v>
      </c>
      <c r="B477" t="s">
        <v>9293</v>
      </c>
      <c r="C477" t="s">
        <v>74</v>
      </c>
      <c r="D477" t="s">
        <v>74</v>
      </c>
      <c r="E477" t="s">
        <v>74</v>
      </c>
      <c r="F477" t="s">
        <v>9294</v>
      </c>
      <c r="G477" t="s">
        <v>74</v>
      </c>
      <c r="H477" t="s">
        <v>74</v>
      </c>
      <c r="I477" t="s">
        <v>9295</v>
      </c>
      <c r="J477" t="s">
        <v>9296</v>
      </c>
      <c r="K477" t="s">
        <v>74</v>
      </c>
      <c r="L477" t="s">
        <v>74</v>
      </c>
      <c r="M477" t="s">
        <v>78</v>
      </c>
      <c r="N477" t="s">
        <v>79</v>
      </c>
      <c r="O477" t="s">
        <v>74</v>
      </c>
      <c r="P477" t="s">
        <v>74</v>
      </c>
      <c r="Q477" t="s">
        <v>74</v>
      </c>
      <c r="R477" t="s">
        <v>74</v>
      </c>
      <c r="S477" t="s">
        <v>74</v>
      </c>
      <c r="T477" t="s">
        <v>74</v>
      </c>
      <c r="U477" t="s">
        <v>9297</v>
      </c>
      <c r="V477" t="s">
        <v>9298</v>
      </c>
      <c r="W477" t="s">
        <v>9299</v>
      </c>
      <c r="X477" t="s">
        <v>9300</v>
      </c>
      <c r="Y477" t="s">
        <v>9301</v>
      </c>
      <c r="Z477" t="s">
        <v>9302</v>
      </c>
      <c r="AA477" t="s">
        <v>9303</v>
      </c>
      <c r="AB477" t="s">
        <v>9304</v>
      </c>
      <c r="AC477" t="s">
        <v>9305</v>
      </c>
      <c r="AD477" t="s">
        <v>9306</v>
      </c>
      <c r="AE477" t="s">
        <v>9307</v>
      </c>
      <c r="AF477" t="s">
        <v>74</v>
      </c>
      <c r="AG477">
        <v>62</v>
      </c>
      <c r="AH477">
        <v>0</v>
      </c>
      <c r="AI477">
        <v>0</v>
      </c>
      <c r="AJ477">
        <v>1</v>
      </c>
      <c r="AK477">
        <v>1</v>
      </c>
      <c r="AL477" t="s">
        <v>87</v>
      </c>
      <c r="AM477" t="s">
        <v>88</v>
      </c>
      <c r="AN477" t="s">
        <v>89</v>
      </c>
      <c r="AO477" t="s">
        <v>9308</v>
      </c>
      <c r="AP477" t="s">
        <v>9309</v>
      </c>
      <c r="AQ477" t="s">
        <v>74</v>
      </c>
      <c r="AR477" t="s">
        <v>9310</v>
      </c>
      <c r="AS477" t="s">
        <v>9311</v>
      </c>
      <c r="AT477" t="s">
        <v>9312</v>
      </c>
      <c r="AU477">
        <v>2023</v>
      </c>
      <c r="AV477">
        <v>2023</v>
      </c>
      <c r="AW477" t="s">
        <v>74</v>
      </c>
      <c r="AX477" t="s">
        <v>74</v>
      </c>
      <c r="AY477" t="s">
        <v>74</v>
      </c>
      <c r="AZ477" t="s">
        <v>74</v>
      </c>
      <c r="BA477" t="s">
        <v>74</v>
      </c>
      <c r="BB477" t="s">
        <v>74</v>
      </c>
      <c r="BC477" t="s">
        <v>74</v>
      </c>
      <c r="BD477">
        <v>8594273</v>
      </c>
      <c r="BE477" t="s">
        <v>9313</v>
      </c>
      <c r="BF477" t="str">
        <f>HYPERLINK("http://dx.doi.org/10.1155/2023/8594273","http://dx.doi.org/10.1155/2023/8594273")</f>
        <v>http://dx.doi.org/10.1155/2023/8594273</v>
      </c>
      <c r="BG477" t="s">
        <v>74</v>
      </c>
      <c r="BH477" t="s">
        <v>74</v>
      </c>
      <c r="BI477">
        <v>11</v>
      </c>
      <c r="BJ477" t="s">
        <v>9314</v>
      </c>
      <c r="BK477" t="s">
        <v>409</v>
      </c>
      <c r="BL477" t="s">
        <v>9315</v>
      </c>
      <c r="BM477" t="s">
        <v>9316</v>
      </c>
      <c r="BN477" t="s">
        <v>74</v>
      </c>
      <c r="BO477" t="s">
        <v>234</v>
      </c>
      <c r="BP477" t="s">
        <v>74</v>
      </c>
      <c r="BQ477" t="s">
        <v>74</v>
      </c>
      <c r="BR477" t="s">
        <v>99</v>
      </c>
      <c r="BS477" t="s">
        <v>9317</v>
      </c>
      <c r="BT477" t="str">
        <f>HYPERLINK("https%3A%2F%2Fwww.webofscience.com%2Fwos%2Fwoscc%2Ffull-record%2FWOS:001057855900001","View Full Record in Web of Science")</f>
        <v>View Full Record in Web of Science</v>
      </c>
    </row>
    <row r="478" spans="1:72" x14ac:dyDescent="0.15">
      <c r="A478" t="s">
        <v>72</v>
      </c>
      <c r="B478" t="s">
        <v>9318</v>
      </c>
      <c r="C478" t="s">
        <v>74</v>
      </c>
      <c r="D478" t="s">
        <v>74</v>
      </c>
      <c r="E478" t="s">
        <v>74</v>
      </c>
      <c r="F478" t="s">
        <v>9319</v>
      </c>
      <c r="G478" t="s">
        <v>74</v>
      </c>
      <c r="H478" t="s">
        <v>74</v>
      </c>
      <c r="I478" t="s">
        <v>9320</v>
      </c>
      <c r="J478" t="s">
        <v>9321</v>
      </c>
      <c r="K478" t="s">
        <v>74</v>
      </c>
      <c r="L478" t="s">
        <v>74</v>
      </c>
      <c r="M478" t="s">
        <v>78</v>
      </c>
      <c r="N478" t="s">
        <v>338</v>
      </c>
      <c r="O478" t="s">
        <v>74</v>
      </c>
      <c r="P478" t="s">
        <v>74</v>
      </c>
      <c r="Q478" t="s">
        <v>74</v>
      </c>
      <c r="R478" t="s">
        <v>74</v>
      </c>
      <c r="S478" t="s">
        <v>74</v>
      </c>
      <c r="T478" t="s">
        <v>9322</v>
      </c>
      <c r="U478" t="s">
        <v>9323</v>
      </c>
      <c r="V478" t="s">
        <v>9324</v>
      </c>
      <c r="W478" t="s">
        <v>9325</v>
      </c>
      <c r="X478" t="s">
        <v>9326</v>
      </c>
      <c r="Y478" t="s">
        <v>9327</v>
      </c>
      <c r="Z478" t="s">
        <v>9328</v>
      </c>
      <c r="AA478" t="s">
        <v>74</v>
      </c>
      <c r="AB478" t="s">
        <v>9329</v>
      </c>
      <c r="AC478" t="s">
        <v>9330</v>
      </c>
      <c r="AD478" t="s">
        <v>9331</v>
      </c>
      <c r="AE478" t="s">
        <v>9332</v>
      </c>
      <c r="AF478" t="s">
        <v>74</v>
      </c>
      <c r="AG478">
        <v>58</v>
      </c>
      <c r="AH478">
        <v>0</v>
      </c>
      <c r="AI478">
        <v>0</v>
      </c>
      <c r="AJ478">
        <v>0</v>
      </c>
      <c r="AK478">
        <v>0</v>
      </c>
      <c r="AL478" t="s">
        <v>87</v>
      </c>
      <c r="AM478" t="s">
        <v>88</v>
      </c>
      <c r="AN478" t="s">
        <v>89</v>
      </c>
      <c r="AO478" t="s">
        <v>9333</v>
      </c>
      <c r="AP478" t="s">
        <v>9334</v>
      </c>
      <c r="AQ478" t="s">
        <v>74</v>
      </c>
      <c r="AR478" t="s">
        <v>9335</v>
      </c>
      <c r="AS478" t="s">
        <v>9336</v>
      </c>
      <c r="AT478" t="s">
        <v>9270</v>
      </c>
      <c r="AU478">
        <v>2023</v>
      </c>
      <c r="AV478" t="s">
        <v>74</v>
      </c>
      <c r="AW478" t="s">
        <v>74</v>
      </c>
      <c r="AX478" t="s">
        <v>74</v>
      </c>
      <c r="AY478" t="s">
        <v>74</v>
      </c>
      <c r="AZ478" t="s">
        <v>74</v>
      </c>
      <c r="BA478" t="s">
        <v>74</v>
      </c>
      <c r="BB478" t="s">
        <v>74</v>
      </c>
      <c r="BC478" t="s">
        <v>74</v>
      </c>
      <c r="BD478" t="s">
        <v>74</v>
      </c>
      <c r="BE478" t="s">
        <v>9337</v>
      </c>
      <c r="BF478" t="str">
        <f>HYPERLINK("http://dx.doi.org/10.1002/etc.5727","http://dx.doi.org/10.1002/etc.5727")</f>
        <v>http://dx.doi.org/10.1002/etc.5727</v>
      </c>
      <c r="BG478" t="s">
        <v>74</v>
      </c>
      <c r="BH478" t="s">
        <v>7524</v>
      </c>
      <c r="BI478">
        <v>14</v>
      </c>
      <c r="BJ478" t="s">
        <v>9338</v>
      </c>
      <c r="BK478" t="s">
        <v>119</v>
      </c>
      <c r="BL478" t="s">
        <v>9339</v>
      </c>
      <c r="BM478" t="s">
        <v>9340</v>
      </c>
      <c r="BN478">
        <v>37530422</v>
      </c>
      <c r="BO478" t="s">
        <v>122</v>
      </c>
      <c r="BP478" t="s">
        <v>74</v>
      </c>
      <c r="BQ478" t="s">
        <v>74</v>
      </c>
      <c r="BR478" t="s">
        <v>99</v>
      </c>
      <c r="BS478" t="s">
        <v>9341</v>
      </c>
      <c r="BT478" t="str">
        <f>HYPERLINK("https%3A%2F%2Fwww.webofscience.com%2Fwos%2Fwoscc%2Ffull-record%2FWOS:001051502100001","View Full Record in Web of Science")</f>
        <v>View Full Record in Web of Science</v>
      </c>
    </row>
    <row r="479" spans="1:72" x14ac:dyDescent="0.15">
      <c r="A479" t="s">
        <v>72</v>
      </c>
      <c r="B479" t="s">
        <v>9342</v>
      </c>
      <c r="C479" t="s">
        <v>74</v>
      </c>
      <c r="D479" t="s">
        <v>74</v>
      </c>
      <c r="E479" t="s">
        <v>74</v>
      </c>
      <c r="F479" t="s">
        <v>9343</v>
      </c>
      <c r="G479" t="s">
        <v>74</v>
      </c>
      <c r="H479" t="s">
        <v>74</v>
      </c>
      <c r="I479" t="s">
        <v>9344</v>
      </c>
      <c r="J479" t="s">
        <v>9345</v>
      </c>
      <c r="K479" t="s">
        <v>74</v>
      </c>
      <c r="L479" t="s">
        <v>74</v>
      </c>
      <c r="M479" t="s">
        <v>78</v>
      </c>
      <c r="N479" t="s">
        <v>594</v>
      </c>
      <c r="O479" t="s">
        <v>74</v>
      </c>
      <c r="P479" t="s">
        <v>74</v>
      </c>
      <c r="Q479" t="s">
        <v>74</v>
      </c>
      <c r="R479" t="s">
        <v>74</v>
      </c>
      <c r="S479" t="s">
        <v>74</v>
      </c>
      <c r="T479" t="s">
        <v>9346</v>
      </c>
      <c r="U479" t="s">
        <v>9347</v>
      </c>
      <c r="V479" t="s">
        <v>9348</v>
      </c>
      <c r="W479" t="s">
        <v>9349</v>
      </c>
      <c r="X479" t="s">
        <v>9350</v>
      </c>
      <c r="Y479" t="s">
        <v>9351</v>
      </c>
      <c r="Z479" t="s">
        <v>9352</v>
      </c>
      <c r="AA479" t="s">
        <v>74</v>
      </c>
      <c r="AB479" t="s">
        <v>74</v>
      </c>
      <c r="AC479" t="s">
        <v>9353</v>
      </c>
      <c r="AD479" t="s">
        <v>9354</v>
      </c>
      <c r="AE479" t="s">
        <v>9355</v>
      </c>
      <c r="AF479" t="s">
        <v>74</v>
      </c>
      <c r="AG479">
        <v>166</v>
      </c>
      <c r="AH479">
        <v>0</v>
      </c>
      <c r="AI479">
        <v>0</v>
      </c>
      <c r="AJ479">
        <v>2</v>
      </c>
      <c r="AK479">
        <v>2</v>
      </c>
      <c r="AL479" t="s">
        <v>87</v>
      </c>
      <c r="AM479" t="s">
        <v>88</v>
      </c>
      <c r="AN479" t="s">
        <v>89</v>
      </c>
      <c r="AO479" t="s">
        <v>9356</v>
      </c>
      <c r="AP479" t="s">
        <v>9357</v>
      </c>
      <c r="AQ479" t="s">
        <v>74</v>
      </c>
      <c r="AR479" t="s">
        <v>9358</v>
      </c>
      <c r="AS479" t="s">
        <v>9359</v>
      </c>
      <c r="AT479" t="s">
        <v>9270</v>
      </c>
      <c r="AU479">
        <v>2023</v>
      </c>
      <c r="AV479" t="s">
        <v>74</v>
      </c>
      <c r="AW479" t="s">
        <v>74</v>
      </c>
      <c r="AX479" t="s">
        <v>74</v>
      </c>
      <c r="AY479" t="s">
        <v>74</v>
      </c>
      <c r="AZ479" t="s">
        <v>74</v>
      </c>
      <c r="BA479" t="s">
        <v>74</v>
      </c>
      <c r="BB479" t="s">
        <v>74</v>
      </c>
      <c r="BC479" t="s">
        <v>74</v>
      </c>
      <c r="BD479" t="s">
        <v>74</v>
      </c>
      <c r="BE479" t="s">
        <v>9360</v>
      </c>
      <c r="BF479" t="str">
        <f>HYPERLINK("http://dx.doi.org/10.1111/exd.14911","http://dx.doi.org/10.1111/exd.14911")</f>
        <v>http://dx.doi.org/10.1111/exd.14911</v>
      </c>
      <c r="BG479" t="s">
        <v>74</v>
      </c>
      <c r="BH479" t="s">
        <v>7524</v>
      </c>
      <c r="BI479">
        <v>14</v>
      </c>
      <c r="BJ479" t="s">
        <v>2541</v>
      </c>
      <c r="BK479" t="s">
        <v>119</v>
      </c>
      <c r="BL479" t="s">
        <v>2541</v>
      </c>
      <c r="BM479" t="s">
        <v>9361</v>
      </c>
      <c r="BN479">
        <v>37605856</v>
      </c>
      <c r="BO479" t="s">
        <v>122</v>
      </c>
      <c r="BP479" t="s">
        <v>74</v>
      </c>
      <c r="BQ479" t="s">
        <v>74</v>
      </c>
      <c r="BR479" t="s">
        <v>99</v>
      </c>
      <c r="BS479" t="s">
        <v>9362</v>
      </c>
      <c r="BT479" t="str">
        <f>HYPERLINK("https%3A%2F%2Fwww.webofscience.com%2Fwos%2Fwoscc%2Ffull-record%2FWOS:001051955000001","View Full Record in Web of Science")</f>
        <v>View Full Record in Web of Science</v>
      </c>
    </row>
    <row r="480" spans="1:72" x14ac:dyDescent="0.15">
      <c r="A480" t="s">
        <v>72</v>
      </c>
      <c r="B480" t="s">
        <v>9363</v>
      </c>
      <c r="C480" t="s">
        <v>74</v>
      </c>
      <c r="D480" t="s">
        <v>74</v>
      </c>
      <c r="E480" t="s">
        <v>74</v>
      </c>
      <c r="F480" t="s">
        <v>9364</v>
      </c>
      <c r="G480" t="s">
        <v>74</v>
      </c>
      <c r="H480" t="s">
        <v>74</v>
      </c>
      <c r="I480" t="s">
        <v>9365</v>
      </c>
      <c r="J480" t="s">
        <v>3811</v>
      </c>
      <c r="K480" t="s">
        <v>74</v>
      </c>
      <c r="L480" t="s">
        <v>74</v>
      </c>
      <c r="M480" t="s">
        <v>78</v>
      </c>
      <c r="N480" t="s">
        <v>338</v>
      </c>
      <c r="O480" t="s">
        <v>74</v>
      </c>
      <c r="P480" t="s">
        <v>74</v>
      </c>
      <c r="Q480" t="s">
        <v>74</v>
      </c>
      <c r="R480" t="s">
        <v>74</v>
      </c>
      <c r="S480" t="s">
        <v>74</v>
      </c>
      <c r="T480" t="s">
        <v>9366</v>
      </c>
      <c r="U480" t="s">
        <v>9367</v>
      </c>
      <c r="V480" t="s">
        <v>9368</v>
      </c>
      <c r="W480" t="s">
        <v>9369</v>
      </c>
      <c r="X480" t="s">
        <v>9370</v>
      </c>
      <c r="Y480" t="s">
        <v>9371</v>
      </c>
      <c r="Z480" t="s">
        <v>9372</v>
      </c>
      <c r="AA480" t="s">
        <v>74</v>
      </c>
      <c r="AB480" t="s">
        <v>74</v>
      </c>
      <c r="AC480" t="s">
        <v>9373</v>
      </c>
      <c r="AD480" t="s">
        <v>9374</v>
      </c>
      <c r="AE480" t="s">
        <v>9375</v>
      </c>
      <c r="AF480" t="s">
        <v>74</v>
      </c>
      <c r="AG480">
        <v>35</v>
      </c>
      <c r="AH480">
        <v>0</v>
      </c>
      <c r="AI480">
        <v>0</v>
      </c>
      <c r="AJ480">
        <v>7</v>
      </c>
      <c r="AK480">
        <v>7</v>
      </c>
      <c r="AL480" t="s">
        <v>87</v>
      </c>
      <c r="AM480" t="s">
        <v>88</v>
      </c>
      <c r="AN480" t="s">
        <v>89</v>
      </c>
      <c r="AO480" t="s">
        <v>3821</v>
      </c>
      <c r="AP480" t="s">
        <v>3822</v>
      </c>
      <c r="AQ480" t="s">
        <v>74</v>
      </c>
      <c r="AR480" t="s">
        <v>3823</v>
      </c>
      <c r="AS480" t="s">
        <v>3824</v>
      </c>
      <c r="AT480" t="s">
        <v>9270</v>
      </c>
      <c r="AU480">
        <v>2023</v>
      </c>
      <c r="AV480" t="s">
        <v>74</v>
      </c>
      <c r="AW480" t="s">
        <v>74</v>
      </c>
      <c r="AX480" t="s">
        <v>74</v>
      </c>
      <c r="AY480" t="s">
        <v>74</v>
      </c>
      <c r="AZ480" t="s">
        <v>74</v>
      </c>
      <c r="BA480" t="s">
        <v>74</v>
      </c>
      <c r="BB480" t="s">
        <v>74</v>
      </c>
      <c r="BC480" t="s">
        <v>74</v>
      </c>
      <c r="BD480" t="s">
        <v>74</v>
      </c>
      <c r="BE480" t="s">
        <v>9376</v>
      </c>
      <c r="BF480" t="str">
        <f>HYPERLINK("http://dx.doi.org/10.1111/jace.19395","http://dx.doi.org/10.1111/jace.19395")</f>
        <v>http://dx.doi.org/10.1111/jace.19395</v>
      </c>
      <c r="BG480" t="s">
        <v>74</v>
      </c>
      <c r="BH480" t="s">
        <v>7524</v>
      </c>
      <c r="BI480">
        <v>14</v>
      </c>
      <c r="BJ480" t="s">
        <v>3826</v>
      </c>
      <c r="BK480" t="s">
        <v>119</v>
      </c>
      <c r="BL480" t="s">
        <v>1999</v>
      </c>
      <c r="BM480" t="s">
        <v>9377</v>
      </c>
      <c r="BN480" t="s">
        <v>74</v>
      </c>
      <c r="BO480" t="s">
        <v>301</v>
      </c>
      <c r="BP480" t="s">
        <v>74</v>
      </c>
      <c r="BQ480" t="s">
        <v>74</v>
      </c>
      <c r="BR480" t="s">
        <v>99</v>
      </c>
      <c r="BS480" t="s">
        <v>9378</v>
      </c>
      <c r="BT480" t="str">
        <f>HYPERLINK("https%3A%2F%2Fwww.webofscience.com%2Fwos%2Fwoscc%2Ffull-record%2FWOS:001051950000001","View Full Record in Web of Science")</f>
        <v>View Full Record in Web of Science</v>
      </c>
    </row>
    <row r="481" spans="1:72" x14ac:dyDescent="0.15">
      <c r="A481" t="s">
        <v>72</v>
      </c>
      <c r="B481" t="s">
        <v>9379</v>
      </c>
      <c r="C481" t="s">
        <v>74</v>
      </c>
      <c r="D481" t="s">
        <v>74</v>
      </c>
      <c r="E481" t="s">
        <v>74</v>
      </c>
      <c r="F481" t="s">
        <v>9380</v>
      </c>
      <c r="G481" t="s">
        <v>74</v>
      </c>
      <c r="H481" t="s">
        <v>74</v>
      </c>
      <c r="I481" t="s">
        <v>9381</v>
      </c>
      <c r="J481" t="s">
        <v>3411</v>
      </c>
      <c r="K481" t="s">
        <v>74</v>
      </c>
      <c r="L481" t="s">
        <v>74</v>
      </c>
      <c r="M481" t="s">
        <v>78</v>
      </c>
      <c r="N481" t="s">
        <v>338</v>
      </c>
      <c r="O481" t="s">
        <v>74</v>
      </c>
      <c r="P481" t="s">
        <v>74</v>
      </c>
      <c r="Q481" t="s">
        <v>74</v>
      </c>
      <c r="R481" t="s">
        <v>74</v>
      </c>
      <c r="S481" t="s">
        <v>74</v>
      </c>
      <c r="T481" t="s">
        <v>9382</v>
      </c>
      <c r="U481" t="s">
        <v>9383</v>
      </c>
      <c r="V481" t="s">
        <v>9384</v>
      </c>
      <c r="W481" t="s">
        <v>9385</v>
      </c>
      <c r="X481" t="s">
        <v>9386</v>
      </c>
      <c r="Y481" t="s">
        <v>9387</v>
      </c>
      <c r="Z481" t="s">
        <v>9388</v>
      </c>
      <c r="AA481" t="s">
        <v>74</v>
      </c>
      <c r="AB481" t="s">
        <v>74</v>
      </c>
      <c r="AC481" t="s">
        <v>74</v>
      </c>
      <c r="AD481" t="s">
        <v>74</v>
      </c>
      <c r="AE481" t="s">
        <v>74</v>
      </c>
      <c r="AF481" t="s">
        <v>74</v>
      </c>
      <c r="AG481">
        <v>31</v>
      </c>
      <c r="AH481">
        <v>0</v>
      </c>
      <c r="AI481">
        <v>0</v>
      </c>
      <c r="AJ481">
        <v>0</v>
      </c>
      <c r="AK481">
        <v>0</v>
      </c>
      <c r="AL481" t="s">
        <v>87</v>
      </c>
      <c r="AM481" t="s">
        <v>88</v>
      </c>
      <c r="AN481" t="s">
        <v>89</v>
      </c>
      <c r="AO481" t="s">
        <v>3422</v>
      </c>
      <c r="AP481" t="s">
        <v>3423</v>
      </c>
      <c r="AQ481" t="s">
        <v>74</v>
      </c>
      <c r="AR481" t="s">
        <v>3424</v>
      </c>
      <c r="AS481" t="s">
        <v>3425</v>
      </c>
      <c r="AT481" t="s">
        <v>9270</v>
      </c>
      <c r="AU481">
        <v>2023</v>
      </c>
      <c r="AV481" t="s">
        <v>74</v>
      </c>
      <c r="AW481" t="s">
        <v>74</v>
      </c>
      <c r="AX481" t="s">
        <v>74</v>
      </c>
      <c r="AY481" t="s">
        <v>74</v>
      </c>
      <c r="AZ481" t="s">
        <v>74</v>
      </c>
      <c r="BA481" t="s">
        <v>74</v>
      </c>
      <c r="BB481" t="s">
        <v>74</v>
      </c>
      <c r="BC481" t="s">
        <v>74</v>
      </c>
      <c r="BD481" t="s">
        <v>74</v>
      </c>
      <c r="BE481" t="s">
        <v>9389</v>
      </c>
      <c r="BF481" t="str">
        <f>HYPERLINK("http://dx.doi.org/10.1002/ppul.26643","http://dx.doi.org/10.1002/ppul.26643")</f>
        <v>http://dx.doi.org/10.1002/ppul.26643</v>
      </c>
      <c r="BG481" t="s">
        <v>74</v>
      </c>
      <c r="BH481" t="s">
        <v>7524</v>
      </c>
      <c r="BI481">
        <v>7</v>
      </c>
      <c r="BJ481" t="s">
        <v>3427</v>
      </c>
      <c r="BK481" t="s">
        <v>119</v>
      </c>
      <c r="BL481" t="s">
        <v>3427</v>
      </c>
      <c r="BM481" t="s">
        <v>9390</v>
      </c>
      <c r="BN481">
        <v>37606223</v>
      </c>
      <c r="BO481" t="s">
        <v>301</v>
      </c>
      <c r="BP481" t="s">
        <v>74</v>
      </c>
      <c r="BQ481" t="s">
        <v>74</v>
      </c>
      <c r="BR481" t="s">
        <v>99</v>
      </c>
      <c r="BS481" t="s">
        <v>9391</v>
      </c>
      <c r="BT481" t="str">
        <f>HYPERLINK("https%3A%2F%2Fwww.webofscience.com%2Fwos%2Fwoscc%2Ffull-record%2FWOS:001051450900001","View Full Record in Web of Science")</f>
        <v>View Full Record in Web of Science</v>
      </c>
    </row>
    <row r="482" spans="1:72" x14ac:dyDescent="0.15">
      <c r="A482" t="s">
        <v>72</v>
      </c>
      <c r="B482" t="s">
        <v>9392</v>
      </c>
      <c r="C482" t="s">
        <v>74</v>
      </c>
      <c r="D482" t="s">
        <v>74</v>
      </c>
      <c r="E482" t="s">
        <v>74</v>
      </c>
      <c r="F482" t="s">
        <v>9393</v>
      </c>
      <c r="G482" t="s">
        <v>74</v>
      </c>
      <c r="H482" t="s">
        <v>74</v>
      </c>
      <c r="I482" t="s">
        <v>9394</v>
      </c>
      <c r="J482" t="s">
        <v>875</v>
      </c>
      <c r="K482" t="s">
        <v>74</v>
      </c>
      <c r="L482" t="s">
        <v>74</v>
      </c>
      <c r="M482" t="s">
        <v>78</v>
      </c>
      <c r="N482" t="s">
        <v>338</v>
      </c>
      <c r="O482" t="s">
        <v>74</v>
      </c>
      <c r="P482" t="s">
        <v>74</v>
      </c>
      <c r="Q482" t="s">
        <v>74</v>
      </c>
      <c r="R482" t="s">
        <v>74</v>
      </c>
      <c r="S482" t="s">
        <v>74</v>
      </c>
      <c r="T482" t="s">
        <v>9395</v>
      </c>
      <c r="U482" t="s">
        <v>9396</v>
      </c>
      <c r="V482" t="s">
        <v>9397</v>
      </c>
      <c r="W482" t="s">
        <v>9398</v>
      </c>
      <c r="X482" t="s">
        <v>9399</v>
      </c>
      <c r="Y482" t="s">
        <v>9400</v>
      </c>
      <c r="Z482" t="s">
        <v>9401</v>
      </c>
      <c r="AA482" t="s">
        <v>9402</v>
      </c>
      <c r="AB482" t="s">
        <v>9403</v>
      </c>
      <c r="AC482" t="s">
        <v>9404</v>
      </c>
      <c r="AD482" t="s">
        <v>9405</v>
      </c>
      <c r="AE482" t="s">
        <v>9406</v>
      </c>
      <c r="AF482" t="s">
        <v>74</v>
      </c>
      <c r="AG482">
        <v>56</v>
      </c>
      <c r="AH482">
        <v>0</v>
      </c>
      <c r="AI482">
        <v>0</v>
      </c>
      <c r="AJ482">
        <v>7</v>
      </c>
      <c r="AK482">
        <v>7</v>
      </c>
      <c r="AL482" t="s">
        <v>426</v>
      </c>
      <c r="AM482" t="s">
        <v>427</v>
      </c>
      <c r="AN482" t="s">
        <v>428</v>
      </c>
      <c r="AO482" t="s">
        <v>886</v>
      </c>
      <c r="AP482" t="s">
        <v>887</v>
      </c>
      <c r="AQ482" t="s">
        <v>74</v>
      </c>
      <c r="AR482" t="s">
        <v>888</v>
      </c>
      <c r="AS482" t="s">
        <v>889</v>
      </c>
      <c r="AT482" t="s">
        <v>9270</v>
      </c>
      <c r="AU482">
        <v>2023</v>
      </c>
      <c r="AV482" t="s">
        <v>74</v>
      </c>
      <c r="AW482" t="s">
        <v>74</v>
      </c>
      <c r="AX482" t="s">
        <v>74</v>
      </c>
      <c r="AY482" t="s">
        <v>74</v>
      </c>
      <c r="AZ482" t="s">
        <v>74</v>
      </c>
      <c r="BA482" t="s">
        <v>74</v>
      </c>
      <c r="BB482" t="s">
        <v>74</v>
      </c>
      <c r="BC482" t="s">
        <v>74</v>
      </c>
      <c r="BD482" t="s">
        <v>74</v>
      </c>
      <c r="BE482" t="s">
        <v>9407</v>
      </c>
      <c r="BF482" t="str">
        <f>HYPERLINK("http://dx.doi.org/10.1002/adfm.202304668","http://dx.doi.org/10.1002/adfm.202304668")</f>
        <v>http://dx.doi.org/10.1002/adfm.202304668</v>
      </c>
      <c r="BG482" t="s">
        <v>74</v>
      </c>
      <c r="BH482" t="s">
        <v>7524</v>
      </c>
      <c r="BI482">
        <v>11</v>
      </c>
      <c r="BJ482" t="s">
        <v>609</v>
      </c>
      <c r="BK482" t="s">
        <v>119</v>
      </c>
      <c r="BL482" t="s">
        <v>610</v>
      </c>
      <c r="BM482" t="s">
        <v>9408</v>
      </c>
      <c r="BN482" t="s">
        <v>74</v>
      </c>
      <c r="BO482" t="s">
        <v>122</v>
      </c>
      <c r="BP482" t="s">
        <v>74</v>
      </c>
      <c r="BQ482" t="s">
        <v>74</v>
      </c>
      <c r="BR482" t="s">
        <v>99</v>
      </c>
      <c r="BS482" t="s">
        <v>9409</v>
      </c>
      <c r="BT482" t="str">
        <f>HYPERLINK("https%3A%2F%2Fwww.webofscience.com%2Fwos%2Fwoscc%2Ffull-record%2FWOS:001052286100001","View Full Record in Web of Science")</f>
        <v>View Full Record in Web of Science</v>
      </c>
    </row>
    <row r="483" spans="1:72" x14ac:dyDescent="0.15">
      <c r="A483" t="s">
        <v>72</v>
      </c>
      <c r="B483" t="s">
        <v>9410</v>
      </c>
      <c r="C483" t="s">
        <v>74</v>
      </c>
      <c r="D483" t="s">
        <v>74</v>
      </c>
      <c r="E483" t="s">
        <v>74</v>
      </c>
      <c r="F483" t="s">
        <v>9411</v>
      </c>
      <c r="G483" t="s">
        <v>74</v>
      </c>
      <c r="H483" t="s">
        <v>74</v>
      </c>
      <c r="I483" t="s">
        <v>9412</v>
      </c>
      <c r="J483" t="s">
        <v>9413</v>
      </c>
      <c r="K483" t="s">
        <v>74</v>
      </c>
      <c r="L483" t="s">
        <v>74</v>
      </c>
      <c r="M483" t="s">
        <v>78</v>
      </c>
      <c r="N483" t="s">
        <v>2743</v>
      </c>
      <c r="O483" t="s">
        <v>74</v>
      </c>
      <c r="P483" t="s">
        <v>74</v>
      </c>
      <c r="Q483" t="s">
        <v>74</v>
      </c>
      <c r="R483" t="s">
        <v>74</v>
      </c>
      <c r="S483" t="s">
        <v>74</v>
      </c>
      <c r="T483" t="s">
        <v>74</v>
      </c>
      <c r="U483" t="s">
        <v>74</v>
      </c>
      <c r="V483" t="s">
        <v>74</v>
      </c>
      <c r="W483" t="s">
        <v>9414</v>
      </c>
      <c r="X483" t="s">
        <v>9415</v>
      </c>
      <c r="Y483" t="s">
        <v>9416</v>
      </c>
      <c r="Z483" t="s">
        <v>9417</v>
      </c>
      <c r="AA483" t="s">
        <v>74</v>
      </c>
      <c r="AB483" t="s">
        <v>9418</v>
      </c>
      <c r="AC483" t="s">
        <v>74</v>
      </c>
      <c r="AD483" t="s">
        <v>74</v>
      </c>
      <c r="AE483" t="s">
        <v>74</v>
      </c>
      <c r="AF483" t="s">
        <v>74</v>
      </c>
      <c r="AG483">
        <v>5</v>
      </c>
      <c r="AH483">
        <v>0</v>
      </c>
      <c r="AI483">
        <v>0</v>
      </c>
      <c r="AJ483">
        <v>0</v>
      </c>
      <c r="AK483">
        <v>0</v>
      </c>
      <c r="AL483" t="s">
        <v>87</v>
      </c>
      <c r="AM483" t="s">
        <v>88</v>
      </c>
      <c r="AN483" t="s">
        <v>89</v>
      </c>
      <c r="AO483" t="s">
        <v>9419</v>
      </c>
      <c r="AP483" t="s">
        <v>74</v>
      </c>
      <c r="AQ483" t="s">
        <v>74</v>
      </c>
      <c r="AR483" t="s">
        <v>9420</v>
      </c>
      <c r="AS483" t="s">
        <v>9421</v>
      </c>
      <c r="AT483" t="s">
        <v>9270</v>
      </c>
      <c r="AU483">
        <v>2023</v>
      </c>
      <c r="AV483" t="s">
        <v>74</v>
      </c>
      <c r="AW483" t="s">
        <v>74</v>
      </c>
      <c r="AX483" t="s">
        <v>74</v>
      </c>
      <c r="AY483" t="s">
        <v>74</v>
      </c>
      <c r="AZ483" t="s">
        <v>74</v>
      </c>
      <c r="BA483" t="s">
        <v>74</v>
      </c>
      <c r="BB483" t="s">
        <v>74</v>
      </c>
      <c r="BC483" t="s">
        <v>74</v>
      </c>
      <c r="BD483" t="s">
        <v>74</v>
      </c>
      <c r="BE483" t="s">
        <v>9422</v>
      </c>
      <c r="BF483" t="str">
        <f>HYPERLINK("http://dx.doi.org/10.1002/jgf2.645","http://dx.doi.org/10.1002/jgf2.645")</f>
        <v>http://dx.doi.org/10.1002/jgf2.645</v>
      </c>
      <c r="BG483" t="s">
        <v>74</v>
      </c>
      <c r="BH483" t="s">
        <v>7524</v>
      </c>
      <c r="BI483">
        <v>2</v>
      </c>
      <c r="BJ483" t="s">
        <v>4689</v>
      </c>
      <c r="BK483" t="s">
        <v>96</v>
      </c>
      <c r="BL483" t="s">
        <v>4690</v>
      </c>
      <c r="BM483" t="s">
        <v>9423</v>
      </c>
      <c r="BN483">
        <v>37727626</v>
      </c>
      <c r="BO483" t="s">
        <v>234</v>
      </c>
      <c r="BP483" t="s">
        <v>74</v>
      </c>
      <c r="BQ483" t="s">
        <v>74</v>
      </c>
      <c r="BR483" t="s">
        <v>99</v>
      </c>
      <c r="BS483" t="s">
        <v>9424</v>
      </c>
      <c r="BT483" t="str">
        <f>HYPERLINK("https%3A%2F%2Fwww.webofscience.com%2Fwos%2Fwoscc%2Ffull-record%2FWOS:001052424600001","View Full Record in Web of Science")</f>
        <v>View Full Record in Web of Science</v>
      </c>
    </row>
    <row r="484" spans="1:72" x14ac:dyDescent="0.15">
      <c r="A484" t="s">
        <v>72</v>
      </c>
      <c r="B484" t="s">
        <v>9425</v>
      </c>
      <c r="C484" t="s">
        <v>74</v>
      </c>
      <c r="D484" t="s">
        <v>74</v>
      </c>
      <c r="E484" t="s">
        <v>74</v>
      </c>
      <c r="F484" t="s">
        <v>9426</v>
      </c>
      <c r="G484" t="s">
        <v>74</v>
      </c>
      <c r="H484" t="s">
        <v>74</v>
      </c>
      <c r="I484" t="s">
        <v>9427</v>
      </c>
      <c r="J484" t="s">
        <v>2005</v>
      </c>
      <c r="K484" t="s">
        <v>74</v>
      </c>
      <c r="L484" t="s">
        <v>74</v>
      </c>
      <c r="M484" t="s">
        <v>78</v>
      </c>
      <c r="N484" t="s">
        <v>338</v>
      </c>
      <c r="O484" t="s">
        <v>74</v>
      </c>
      <c r="P484" t="s">
        <v>74</v>
      </c>
      <c r="Q484" t="s">
        <v>74</v>
      </c>
      <c r="R484" t="s">
        <v>74</v>
      </c>
      <c r="S484" t="s">
        <v>74</v>
      </c>
      <c r="T484" t="s">
        <v>9428</v>
      </c>
      <c r="U484" t="s">
        <v>74</v>
      </c>
      <c r="V484" t="s">
        <v>9429</v>
      </c>
      <c r="W484" t="s">
        <v>9430</v>
      </c>
      <c r="X484" t="s">
        <v>9431</v>
      </c>
      <c r="Y484" t="s">
        <v>9432</v>
      </c>
      <c r="Z484" t="s">
        <v>9433</v>
      </c>
      <c r="AA484" t="s">
        <v>9434</v>
      </c>
      <c r="AB484" t="s">
        <v>9435</v>
      </c>
      <c r="AC484" t="s">
        <v>9436</v>
      </c>
      <c r="AD484" t="s">
        <v>9437</v>
      </c>
      <c r="AE484" t="s">
        <v>9438</v>
      </c>
      <c r="AF484" t="s">
        <v>74</v>
      </c>
      <c r="AG484">
        <v>36</v>
      </c>
      <c r="AH484">
        <v>0</v>
      </c>
      <c r="AI484">
        <v>0</v>
      </c>
      <c r="AJ484">
        <v>0</v>
      </c>
      <c r="AK484">
        <v>0</v>
      </c>
      <c r="AL484" t="s">
        <v>426</v>
      </c>
      <c r="AM484" t="s">
        <v>427</v>
      </c>
      <c r="AN484" t="s">
        <v>428</v>
      </c>
      <c r="AO484" t="s">
        <v>2016</v>
      </c>
      <c r="AP484" t="s">
        <v>2017</v>
      </c>
      <c r="AQ484" t="s">
        <v>74</v>
      </c>
      <c r="AR484" t="s">
        <v>2018</v>
      </c>
      <c r="AS484" t="s">
        <v>2019</v>
      </c>
      <c r="AT484" t="s">
        <v>9270</v>
      </c>
      <c r="AU484">
        <v>2023</v>
      </c>
      <c r="AV484" t="s">
        <v>74</v>
      </c>
      <c r="AW484" t="s">
        <v>74</v>
      </c>
      <c r="AX484" t="s">
        <v>74</v>
      </c>
      <c r="AY484" t="s">
        <v>74</v>
      </c>
      <c r="AZ484" t="s">
        <v>74</v>
      </c>
      <c r="BA484" t="s">
        <v>74</v>
      </c>
      <c r="BB484" t="s">
        <v>74</v>
      </c>
      <c r="BC484" t="s">
        <v>74</v>
      </c>
      <c r="BD484" t="s">
        <v>74</v>
      </c>
      <c r="BE484" t="s">
        <v>9439</v>
      </c>
      <c r="BF484" t="str">
        <f>HYPERLINK("http://dx.doi.org/10.1002/ente.202300379","http://dx.doi.org/10.1002/ente.202300379")</f>
        <v>http://dx.doi.org/10.1002/ente.202300379</v>
      </c>
      <c r="BG484" t="s">
        <v>74</v>
      </c>
      <c r="BH484" t="s">
        <v>7524</v>
      </c>
      <c r="BI484">
        <v>12</v>
      </c>
      <c r="BJ484" t="s">
        <v>2022</v>
      </c>
      <c r="BK484" t="s">
        <v>119</v>
      </c>
      <c r="BL484" t="s">
        <v>2022</v>
      </c>
      <c r="BM484" t="s">
        <v>9440</v>
      </c>
      <c r="BN484" t="s">
        <v>74</v>
      </c>
      <c r="BO484" t="s">
        <v>122</v>
      </c>
      <c r="BP484" t="s">
        <v>74</v>
      </c>
      <c r="BQ484" t="s">
        <v>74</v>
      </c>
      <c r="BR484" t="s">
        <v>99</v>
      </c>
      <c r="BS484" t="s">
        <v>9441</v>
      </c>
      <c r="BT484" t="str">
        <f>HYPERLINK("https%3A%2F%2Fwww.webofscience.com%2Fwos%2Fwoscc%2Ffull-record%2FWOS:001052285700001","View Full Record in Web of Science")</f>
        <v>View Full Record in Web of Science</v>
      </c>
    </row>
    <row r="485" spans="1:72" x14ac:dyDescent="0.15">
      <c r="A485" t="s">
        <v>72</v>
      </c>
      <c r="B485" t="s">
        <v>9442</v>
      </c>
      <c r="C485" t="s">
        <v>74</v>
      </c>
      <c r="D485" t="s">
        <v>74</v>
      </c>
      <c r="E485" t="s">
        <v>74</v>
      </c>
      <c r="F485" t="s">
        <v>9443</v>
      </c>
      <c r="G485" t="s">
        <v>74</v>
      </c>
      <c r="H485" t="s">
        <v>74</v>
      </c>
      <c r="I485" t="s">
        <v>9444</v>
      </c>
      <c r="J485" t="s">
        <v>9445</v>
      </c>
      <c r="K485" t="s">
        <v>74</v>
      </c>
      <c r="L485" t="s">
        <v>74</v>
      </c>
      <c r="M485" t="s">
        <v>78</v>
      </c>
      <c r="N485" t="s">
        <v>79</v>
      </c>
      <c r="O485" t="s">
        <v>74</v>
      </c>
      <c r="P485" t="s">
        <v>74</v>
      </c>
      <c r="Q485" t="s">
        <v>74</v>
      </c>
      <c r="R485" t="s">
        <v>74</v>
      </c>
      <c r="S485" t="s">
        <v>74</v>
      </c>
      <c r="T485" t="s">
        <v>9446</v>
      </c>
      <c r="U485" t="s">
        <v>9447</v>
      </c>
      <c r="V485" t="s">
        <v>9448</v>
      </c>
      <c r="W485" t="s">
        <v>9449</v>
      </c>
      <c r="X485" t="s">
        <v>9450</v>
      </c>
      <c r="Y485" t="s">
        <v>9451</v>
      </c>
      <c r="Z485" t="s">
        <v>9452</v>
      </c>
      <c r="AA485" t="s">
        <v>74</v>
      </c>
      <c r="AB485" t="s">
        <v>74</v>
      </c>
      <c r="AC485" t="s">
        <v>9453</v>
      </c>
      <c r="AD485" t="s">
        <v>9454</v>
      </c>
      <c r="AE485" t="s">
        <v>9455</v>
      </c>
      <c r="AF485" t="s">
        <v>74</v>
      </c>
      <c r="AG485">
        <v>37</v>
      </c>
      <c r="AH485">
        <v>0</v>
      </c>
      <c r="AI485">
        <v>0</v>
      </c>
      <c r="AJ485">
        <v>3</v>
      </c>
      <c r="AK485">
        <v>3</v>
      </c>
      <c r="AL485" t="s">
        <v>87</v>
      </c>
      <c r="AM485" t="s">
        <v>88</v>
      </c>
      <c r="AN485" t="s">
        <v>89</v>
      </c>
      <c r="AO485" t="s">
        <v>9456</v>
      </c>
      <c r="AP485" t="s">
        <v>9457</v>
      </c>
      <c r="AQ485" t="s">
        <v>74</v>
      </c>
      <c r="AR485" t="s">
        <v>9458</v>
      </c>
      <c r="AS485" t="s">
        <v>9459</v>
      </c>
      <c r="AT485" t="s">
        <v>9312</v>
      </c>
      <c r="AU485">
        <v>2023</v>
      </c>
      <c r="AV485" t="s">
        <v>74</v>
      </c>
      <c r="AW485" t="s">
        <v>74</v>
      </c>
      <c r="AX485" t="s">
        <v>74</v>
      </c>
      <c r="AY485" t="s">
        <v>74</v>
      </c>
      <c r="AZ485" t="s">
        <v>74</v>
      </c>
      <c r="BA485" t="s">
        <v>74</v>
      </c>
      <c r="BB485" t="s">
        <v>74</v>
      </c>
      <c r="BC485" t="s">
        <v>74</v>
      </c>
      <c r="BD485" t="s">
        <v>9460</v>
      </c>
      <c r="BE485" t="s">
        <v>9461</v>
      </c>
      <c r="BF485" t="str">
        <f>HYPERLINK("http://dx.doi.org/10.1111/jfpe.14438","http://dx.doi.org/10.1111/jfpe.14438")</f>
        <v>http://dx.doi.org/10.1111/jfpe.14438</v>
      </c>
      <c r="BG485" t="s">
        <v>74</v>
      </c>
      <c r="BH485" t="s">
        <v>74</v>
      </c>
      <c r="BI485">
        <v>15</v>
      </c>
      <c r="BJ485" t="s">
        <v>9462</v>
      </c>
      <c r="BK485" t="s">
        <v>119</v>
      </c>
      <c r="BL485" t="s">
        <v>8186</v>
      </c>
      <c r="BM485" t="s">
        <v>9463</v>
      </c>
      <c r="BN485" t="s">
        <v>74</v>
      </c>
      <c r="BO485" t="s">
        <v>74</v>
      </c>
      <c r="BP485" t="s">
        <v>74</v>
      </c>
      <c r="BQ485" t="s">
        <v>74</v>
      </c>
      <c r="BR485" t="s">
        <v>99</v>
      </c>
      <c r="BS485" t="s">
        <v>9464</v>
      </c>
      <c r="BT485" t="str">
        <f>HYPERLINK("https%3A%2F%2Fwww.webofscience.com%2Fwos%2Fwoscc%2Ffull-record%2FWOS:001056904400001","View Full Record in Web of Science")</f>
        <v>View Full Record in Web of Science</v>
      </c>
    </row>
    <row r="486" spans="1:72" x14ac:dyDescent="0.15">
      <c r="A486" t="s">
        <v>72</v>
      </c>
      <c r="B486" t="s">
        <v>9465</v>
      </c>
      <c r="C486" t="s">
        <v>74</v>
      </c>
      <c r="D486" t="s">
        <v>74</v>
      </c>
      <c r="E486" t="s">
        <v>74</v>
      </c>
      <c r="F486" t="s">
        <v>9466</v>
      </c>
      <c r="G486" t="s">
        <v>74</v>
      </c>
      <c r="H486" t="s">
        <v>74</v>
      </c>
      <c r="I486" t="s">
        <v>9467</v>
      </c>
      <c r="J486" t="s">
        <v>9468</v>
      </c>
      <c r="K486" t="s">
        <v>74</v>
      </c>
      <c r="L486" t="s">
        <v>74</v>
      </c>
      <c r="M486" t="s">
        <v>78</v>
      </c>
      <c r="N486" t="s">
        <v>338</v>
      </c>
      <c r="O486" t="s">
        <v>74</v>
      </c>
      <c r="P486" t="s">
        <v>74</v>
      </c>
      <c r="Q486" t="s">
        <v>74</v>
      </c>
      <c r="R486" t="s">
        <v>74</v>
      </c>
      <c r="S486" t="s">
        <v>74</v>
      </c>
      <c r="T486" t="s">
        <v>9469</v>
      </c>
      <c r="U486" t="s">
        <v>9470</v>
      </c>
      <c r="V486" t="s">
        <v>9471</v>
      </c>
      <c r="W486" t="s">
        <v>9472</v>
      </c>
      <c r="X486" t="s">
        <v>9473</v>
      </c>
      <c r="Y486" t="s">
        <v>9474</v>
      </c>
      <c r="Z486" t="s">
        <v>9475</v>
      </c>
      <c r="AA486" t="s">
        <v>74</v>
      </c>
      <c r="AB486" t="s">
        <v>9476</v>
      </c>
      <c r="AC486" t="s">
        <v>9477</v>
      </c>
      <c r="AD486" t="s">
        <v>9478</v>
      </c>
      <c r="AE486" t="s">
        <v>9479</v>
      </c>
      <c r="AF486" t="s">
        <v>74</v>
      </c>
      <c r="AG486">
        <v>43</v>
      </c>
      <c r="AH486">
        <v>0</v>
      </c>
      <c r="AI486">
        <v>0</v>
      </c>
      <c r="AJ486">
        <v>13</v>
      </c>
      <c r="AK486">
        <v>13</v>
      </c>
      <c r="AL486" t="s">
        <v>426</v>
      </c>
      <c r="AM486" t="s">
        <v>427</v>
      </c>
      <c r="AN486" t="s">
        <v>428</v>
      </c>
      <c r="AO486" t="s">
        <v>9480</v>
      </c>
      <c r="AP486" t="s">
        <v>74</v>
      </c>
      <c r="AQ486" t="s">
        <v>74</v>
      </c>
      <c r="AR486" t="s">
        <v>9481</v>
      </c>
      <c r="AS486" t="s">
        <v>9482</v>
      </c>
      <c r="AT486" t="s">
        <v>9270</v>
      </c>
      <c r="AU486">
        <v>2023</v>
      </c>
      <c r="AV486" t="s">
        <v>74</v>
      </c>
      <c r="AW486" t="s">
        <v>74</v>
      </c>
      <c r="AX486" t="s">
        <v>74</v>
      </c>
      <c r="AY486" t="s">
        <v>74</v>
      </c>
      <c r="AZ486" t="s">
        <v>74</v>
      </c>
      <c r="BA486" t="s">
        <v>74</v>
      </c>
      <c r="BB486" t="s">
        <v>74</v>
      </c>
      <c r="BC486" t="s">
        <v>74</v>
      </c>
      <c r="BD486" t="s">
        <v>74</v>
      </c>
      <c r="BE486" t="s">
        <v>9483</v>
      </c>
      <c r="BF486" t="str">
        <f>HYPERLINK("http://dx.doi.org/10.1002/solr.202300484","http://dx.doi.org/10.1002/solr.202300484")</f>
        <v>http://dx.doi.org/10.1002/solr.202300484</v>
      </c>
      <c r="BG486" t="s">
        <v>74</v>
      </c>
      <c r="BH486" t="s">
        <v>7524</v>
      </c>
      <c r="BI486">
        <v>8</v>
      </c>
      <c r="BJ486" t="s">
        <v>9484</v>
      </c>
      <c r="BK486" t="s">
        <v>119</v>
      </c>
      <c r="BL486" t="s">
        <v>9485</v>
      </c>
      <c r="BM486" t="s">
        <v>9486</v>
      </c>
      <c r="BN486" t="s">
        <v>74</v>
      </c>
      <c r="BO486" t="s">
        <v>301</v>
      </c>
      <c r="BP486" t="s">
        <v>74</v>
      </c>
      <c r="BQ486" t="s">
        <v>74</v>
      </c>
      <c r="BR486" t="s">
        <v>99</v>
      </c>
      <c r="BS486" t="s">
        <v>9487</v>
      </c>
      <c r="BT486" t="str">
        <f>HYPERLINK("https%3A%2F%2Fwww.webofscience.com%2Fwos%2Fwoscc%2Ffull-record%2FWOS:001052287500001","View Full Record in Web of Science")</f>
        <v>View Full Record in Web of Science</v>
      </c>
    </row>
    <row r="487" spans="1:72" x14ac:dyDescent="0.15">
      <c r="A487" t="s">
        <v>72</v>
      </c>
      <c r="B487" t="s">
        <v>9488</v>
      </c>
      <c r="C487" t="s">
        <v>74</v>
      </c>
      <c r="D487" t="s">
        <v>74</v>
      </c>
      <c r="E487" t="s">
        <v>74</v>
      </c>
      <c r="F487" t="s">
        <v>9489</v>
      </c>
      <c r="G487" t="s">
        <v>74</v>
      </c>
      <c r="H487" t="s">
        <v>74</v>
      </c>
      <c r="I487" t="s">
        <v>9490</v>
      </c>
      <c r="J487" t="s">
        <v>3411</v>
      </c>
      <c r="K487" t="s">
        <v>74</v>
      </c>
      <c r="L487" t="s">
        <v>74</v>
      </c>
      <c r="M487" t="s">
        <v>78</v>
      </c>
      <c r="N487" t="s">
        <v>338</v>
      </c>
      <c r="O487" t="s">
        <v>74</v>
      </c>
      <c r="P487" t="s">
        <v>74</v>
      </c>
      <c r="Q487" t="s">
        <v>74</v>
      </c>
      <c r="R487" t="s">
        <v>74</v>
      </c>
      <c r="S487" t="s">
        <v>74</v>
      </c>
      <c r="T487" t="s">
        <v>9491</v>
      </c>
      <c r="U487" t="s">
        <v>9492</v>
      </c>
      <c r="V487" t="s">
        <v>9493</v>
      </c>
      <c r="W487" t="s">
        <v>9494</v>
      </c>
      <c r="X487" t="s">
        <v>9495</v>
      </c>
      <c r="Y487" t="s">
        <v>9496</v>
      </c>
      <c r="Z487" t="s">
        <v>9497</v>
      </c>
      <c r="AA487" t="s">
        <v>9498</v>
      </c>
      <c r="AB487" t="s">
        <v>9499</v>
      </c>
      <c r="AC487" t="s">
        <v>9500</v>
      </c>
      <c r="AD487" t="s">
        <v>9501</v>
      </c>
      <c r="AE487" t="s">
        <v>9502</v>
      </c>
      <c r="AF487" t="s">
        <v>74</v>
      </c>
      <c r="AG487">
        <v>43</v>
      </c>
      <c r="AH487">
        <v>0</v>
      </c>
      <c r="AI487">
        <v>0</v>
      </c>
      <c r="AJ487">
        <v>0</v>
      </c>
      <c r="AK487">
        <v>0</v>
      </c>
      <c r="AL487" t="s">
        <v>87</v>
      </c>
      <c r="AM487" t="s">
        <v>88</v>
      </c>
      <c r="AN487" t="s">
        <v>89</v>
      </c>
      <c r="AO487" t="s">
        <v>3422</v>
      </c>
      <c r="AP487" t="s">
        <v>3423</v>
      </c>
      <c r="AQ487" t="s">
        <v>74</v>
      </c>
      <c r="AR487" t="s">
        <v>3424</v>
      </c>
      <c r="AS487" t="s">
        <v>3425</v>
      </c>
      <c r="AT487" t="s">
        <v>9270</v>
      </c>
      <c r="AU487">
        <v>2023</v>
      </c>
      <c r="AV487" t="s">
        <v>74</v>
      </c>
      <c r="AW487" t="s">
        <v>74</v>
      </c>
      <c r="AX487" t="s">
        <v>74</v>
      </c>
      <c r="AY487" t="s">
        <v>74</v>
      </c>
      <c r="AZ487" t="s">
        <v>74</v>
      </c>
      <c r="BA487" t="s">
        <v>74</v>
      </c>
      <c r="BB487" t="s">
        <v>74</v>
      </c>
      <c r="BC487" t="s">
        <v>74</v>
      </c>
      <c r="BD487" t="s">
        <v>74</v>
      </c>
      <c r="BE487" t="s">
        <v>9503</v>
      </c>
      <c r="BF487" t="str">
        <f>HYPERLINK("http://dx.doi.org/10.1002/ppul.26626","http://dx.doi.org/10.1002/ppul.26626")</f>
        <v>http://dx.doi.org/10.1002/ppul.26626</v>
      </c>
      <c r="BG487" t="s">
        <v>74</v>
      </c>
      <c r="BH487" t="s">
        <v>7524</v>
      </c>
      <c r="BI487">
        <v>12</v>
      </c>
      <c r="BJ487" t="s">
        <v>3427</v>
      </c>
      <c r="BK487" t="s">
        <v>119</v>
      </c>
      <c r="BL487" t="s">
        <v>3427</v>
      </c>
      <c r="BM487" t="s">
        <v>9504</v>
      </c>
      <c r="BN487">
        <v>37606206</v>
      </c>
      <c r="BO487" t="s">
        <v>122</v>
      </c>
      <c r="BP487" t="s">
        <v>74</v>
      </c>
      <c r="BQ487" t="s">
        <v>74</v>
      </c>
      <c r="BR487" t="s">
        <v>99</v>
      </c>
      <c r="BS487" t="s">
        <v>9505</v>
      </c>
      <c r="BT487" t="str">
        <f>HYPERLINK("https%3A%2F%2Fwww.webofscience.com%2Fwos%2Fwoscc%2Ffull-record%2FWOS:001052095900001","View Full Record in Web of Science")</f>
        <v>View Full Record in Web of Science</v>
      </c>
    </row>
    <row r="488" spans="1:72" x14ac:dyDescent="0.15">
      <c r="A488" t="s">
        <v>72</v>
      </c>
      <c r="B488" t="s">
        <v>9506</v>
      </c>
      <c r="C488" t="s">
        <v>74</v>
      </c>
      <c r="D488" t="s">
        <v>74</v>
      </c>
      <c r="E488" t="s">
        <v>74</v>
      </c>
      <c r="F488" t="s">
        <v>9507</v>
      </c>
      <c r="G488" t="s">
        <v>74</v>
      </c>
      <c r="H488" t="s">
        <v>74</v>
      </c>
      <c r="I488" t="s">
        <v>9508</v>
      </c>
      <c r="J488" t="s">
        <v>7682</v>
      </c>
      <c r="K488" t="s">
        <v>74</v>
      </c>
      <c r="L488" t="s">
        <v>74</v>
      </c>
      <c r="M488" t="s">
        <v>78</v>
      </c>
      <c r="N488" t="s">
        <v>338</v>
      </c>
      <c r="O488" t="s">
        <v>74</v>
      </c>
      <c r="P488" t="s">
        <v>74</v>
      </c>
      <c r="Q488" t="s">
        <v>74</v>
      </c>
      <c r="R488" t="s">
        <v>74</v>
      </c>
      <c r="S488" t="s">
        <v>74</v>
      </c>
      <c r="T488" t="s">
        <v>9509</v>
      </c>
      <c r="U488" t="s">
        <v>9510</v>
      </c>
      <c r="V488" t="s">
        <v>9511</v>
      </c>
      <c r="W488" t="s">
        <v>9512</v>
      </c>
      <c r="X488" t="s">
        <v>9513</v>
      </c>
      <c r="Y488" t="s">
        <v>9514</v>
      </c>
      <c r="Z488" t="s">
        <v>9515</v>
      </c>
      <c r="AA488" t="s">
        <v>9516</v>
      </c>
      <c r="AB488" t="s">
        <v>9517</v>
      </c>
      <c r="AC488" t="s">
        <v>9518</v>
      </c>
      <c r="AD488" t="s">
        <v>9519</v>
      </c>
      <c r="AE488" t="s">
        <v>9520</v>
      </c>
      <c r="AF488" t="s">
        <v>74</v>
      </c>
      <c r="AG488">
        <v>60</v>
      </c>
      <c r="AH488">
        <v>0</v>
      </c>
      <c r="AI488">
        <v>0</v>
      </c>
      <c r="AJ488">
        <v>5</v>
      </c>
      <c r="AK488">
        <v>5</v>
      </c>
      <c r="AL488" t="s">
        <v>87</v>
      </c>
      <c r="AM488" t="s">
        <v>88</v>
      </c>
      <c r="AN488" t="s">
        <v>89</v>
      </c>
      <c r="AO488" t="s">
        <v>74</v>
      </c>
      <c r="AP488" t="s">
        <v>7693</v>
      </c>
      <c r="AQ488" t="s">
        <v>74</v>
      </c>
      <c r="AR488" t="s">
        <v>7694</v>
      </c>
      <c r="AS488" t="s">
        <v>7695</v>
      </c>
      <c r="AT488" t="s">
        <v>9270</v>
      </c>
      <c r="AU488">
        <v>2023</v>
      </c>
      <c r="AV488" t="s">
        <v>74</v>
      </c>
      <c r="AW488" t="s">
        <v>74</v>
      </c>
      <c r="AX488" t="s">
        <v>74</v>
      </c>
      <c r="AY488" t="s">
        <v>74</v>
      </c>
      <c r="AZ488" t="s">
        <v>74</v>
      </c>
      <c r="BA488" t="s">
        <v>74</v>
      </c>
      <c r="BB488" t="s">
        <v>74</v>
      </c>
      <c r="BC488" t="s">
        <v>74</v>
      </c>
      <c r="BD488" t="s">
        <v>74</v>
      </c>
      <c r="BE488" t="s">
        <v>9521</v>
      </c>
      <c r="BF488" t="str">
        <f>HYPERLINK("http://dx.doi.org/10.1002/aisy.202300228","http://dx.doi.org/10.1002/aisy.202300228")</f>
        <v>http://dx.doi.org/10.1002/aisy.202300228</v>
      </c>
      <c r="BG488" t="s">
        <v>74</v>
      </c>
      <c r="BH488" t="s">
        <v>7524</v>
      </c>
      <c r="BI488">
        <v>15</v>
      </c>
      <c r="BJ488" t="s">
        <v>7697</v>
      </c>
      <c r="BK488" t="s">
        <v>119</v>
      </c>
      <c r="BL488" t="s">
        <v>7698</v>
      </c>
      <c r="BM488" t="s">
        <v>9522</v>
      </c>
      <c r="BN488" t="s">
        <v>74</v>
      </c>
      <c r="BO488" t="s">
        <v>6923</v>
      </c>
      <c r="BP488" t="s">
        <v>74</v>
      </c>
      <c r="BQ488" t="s">
        <v>74</v>
      </c>
      <c r="BR488" t="s">
        <v>99</v>
      </c>
      <c r="BS488" t="s">
        <v>9523</v>
      </c>
      <c r="BT488" t="str">
        <f>HYPERLINK("https%3A%2F%2Fwww.webofscience.com%2Fwos%2Fwoscc%2Ffull-record%2FWOS:001052287400001","View Full Record in Web of Science")</f>
        <v>View Full Record in Web of Science</v>
      </c>
    </row>
    <row r="489" spans="1:72" x14ac:dyDescent="0.15">
      <c r="A489" t="s">
        <v>72</v>
      </c>
      <c r="B489" t="s">
        <v>9524</v>
      </c>
      <c r="C489" t="s">
        <v>74</v>
      </c>
      <c r="D489" t="s">
        <v>74</v>
      </c>
      <c r="E489" t="s">
        <v>74</v>
      </c>
      <c r="F489" t="s">
        <v>9525</v>
      </c>
      <c r="G489" t="s">
        <v>74</v>
      </c>
      <c r="H489" t="s">
        <v>74</v>
      </c>
      <c r="I489" t="s">
        <v>9526</v>
      </c>
      <c r="J489" t="s">
        <v>9527</v>
      </c>
      <c r="K489" t="s">
        <v>74</v>
      </c>
      <c r="L489" t="s">
        <v>74</v>
      </c>
      <c r="M489" t="s">
        <v>78</v>
      </c>
      <c r="N489" t="s">
        <v>2743</v>
      </c>
      <c r="O489" t="s">
        <v>74</v>
      </c>
      <c r="P489" t="s">
        <v>74</v>
      </c>
      <c r="Q489" t="s">
        <v>74</v>
      </c>
      <c r="R489" t="s">
        <v>74</v>
      </c>
      <c r="S489" t="s">
        <v>74</v>
      </c>
      <c r="T489" t="s">
        <v>74</v>
      </c>
      <c r="U489" t="s">
        <v>74</v>
      </c>
      <c r="V489" t="s">
        <v>74</v>
      </c>
      <c r="W489" t="s">
        <v>9528</v>
      </c>
      <c r="X489" t="s">
        <v>9529</v>
      </c>
      <c r="Y489" t="s">
        <v>9530</v>
      </c>
      <c r="Z489" t="s">
        <v>74</v>
      </c>
      <c r="AA489" t="s">
        <v>74</v>
      </c>
      <c r="AB489" t="s">
        <v>74</v>
      </c>
      <c r="AC489" t="s">
        <v>9531</v>
      </c>
      <c r="AD489" t="s">
        <v>9532</v>
      </c>
      <c r="AE489" t="s">
        <v>9533</v>
      </c>
      <c r="AF489" t="s">
        <v>74</v>
      </c>
      <c r="AG489">
        <v>5</v>
      </c>
      <c r="AH489">
        <v>0</v>
      </c>
      <c r="AI489">
        <v>0</v>
      </c>
      <c r="AJ489">
        <v>1</v>
      </c>
      <c r="AK489">
        <v>1</v>
      </c>
      <c r="AL489" t="s">
        <v>87</v>
      </c>
      <c r="AM489" t="s">
        <v>88</v>
      </c>
      <c r="AN489" t="s">
        <v>89</v>
      </c>
      <c r="AO489" t="s">
        <v>9534</v>
      </c>
      <c r="AP489" t="s">
        <v>9535</v>
      </c>
      <c r="AQ489" t="s">
        <v>74</v>
      </c>
      <c r="AR489" t="s">
        <v>9536</v>
      </c>
      <c r="AS489" t="s">
        <v>9537</v>
      </c>
      <c r="AT489" t="s">
        <v>9270</v>
      </c>
      <c r="AU489">
        <v>2023</v>
      </c>
      <c r="AV489" t="s">
        <v>74</v>
      </c>
      <c r="AW489" t="s">
        <v>74</v>
      </c>
      <c r="AX489" t="s">
        <v>74</v>
      </c>
      <c r="AY489" t="s">
        <v>74</v>
      </c>
      <c r="AZ489" t="s">
        <v>74</v>
      </c>
      <c r="BA489" t="s">
        <v>74</v>
      </c>
      <c r="BB489" t="s">
        <v>74</v>
      </c>
      <c r="BC489" t="s">
        <v>74</v>
      </c>
      <c r="BD489" t="s">
        <v>74</v>
      </c>
      <c r="BE489" t="s">
        <v>9538</v>
      </c>
      <c r="BF489" t="str">
        <f>HYPERLINK("http://dx.doi.org/10.1111/pin.13374","http://dx.doi.org/10.1111/pin.13374")</f>
        <v>http://dx.doi.org/10.1111/pin.13374</v>
      </c>
      <c r="BG489" t="s">
        <v>74</v>
      </c>
      <c r="BH489" t="s">
        <v>7524</v>
      </c>
      <c r="BI489">
        <v>4</v>
      </c>
      <c r="BJ489" t="s">
        <v>9539</v>
      </c>
      <c r="BK489" t="s">
        <v>119</v>
      </c>
      <c r="BL489" t="s">
        <v>9539</v>
      </c>
      <c r="BM489" t="s">
        <v>9540</v>
      </c>
      <c r="BN489">
        <v>37559445</v>
      </c>
      <c r="BO489" t="s">
        <v>74</v>
      </c>
      <c r="BP489" t="s">
        <v>74</v>
      </c>
      <c r="BQ489" t="s">
        <v>74</v>
      </c>
      <c r="BR489" t="s">
        <v>99</v>
      </c>
      <c r="BS489" t="s">
        <v>9541</v>
      </c>
      <c r="BT489" t="str">
        <f>HYPERLINK("https%3A%2F%2Fwww.webofscience.com%2Fwos%2Fwoscc%2Ffull-record%2FWOS:001051873400001","View Full Record in Web of Science")</f>
        <v>View Full Record in Web of Science</v>
      </c>
    </row>
    <row r="490" spans="1:72" x14ac:dyDescent="0.15">
      <c r="A490" t="s">
        <v>72</v>
      </c>
      <c r="B490" t="s">
        <v>9542</v>
      </c>
      <c r="C490" t="s">
        <v>74</v>
      </c>
      <c r="D490" t="s">
        <v>74</v>
      </c>
      <c r="E490" t="s">
        <v>74</v>
      </c>
      <c r="F490" t="s">
        <v>9543</v>
      </c>
      <c r="G490" t="s">
        <v>74</v>
      </c>
      <c r="H490" t="s">
        <v>74</v>
      </c>
      <c r="I490" t="s">
        <v>9544</v>
      </c>
      <c r="J490" t="s">
        <v>9545</v>
      </c>
      <c r="K490" t="s">
        <v>74</v>
      </c>
      <c r="L490" t="s">
        <v>74</v>
      </c>
      <c r="M490" t="s">
        <v>78</v>
      </c>
      <c r="N490" t="s">
        <v>338</v>
      </c>
      <c r="O490" t="s">
        <v>74</v>
      </c>
      <c r="P490" t="s">
        <v>74</v>
      </c>
      <c r="Q490" t="s">
        <v>74</v>
      </c>
      <c r="R490" t="s">
        <v>74</v>
      </c>
      <c r="S490" t="s">
        <v>74</v>
      </c>
      <c r="T490" t="s">
        <v>9546</v>
      </c>
      <c r="U490" t="s">
        <v>9547</v>
      </c>
      <c r="V490" t="s">
        <v>9548</v>
      </c>
      <c r="W490" t="s">
        <v>9549</v>
      </c>
      <c r="X490" t="s">
        <v>9550</v>
      </c>
      <c r="Y490" t="s">
        <v>9551</v>
      </c>
      <c r="Z490" t="s">
        <v>9552</v>
      </c>
      <c r="AA490" t="s">
        <v>9553</v>
      </c>
      <c r="AB490" t="s">
        <v>9554</v>
      </c>
      <c r="AC490" t="s">
        <v>9555</v>
      </c>
      <c r="AD490" t="s">
        <v>9556</v>
      </c>
      <c r="AE490" t="s">
        <v>9557</v>
      </c>
      <c r="AF490" t="s">
        <v>74</v>
      </c>
      <c r="AG490">
        <v>58</v>
      </c>
      <c r="AH490">
        <v>0</v>
      </c>
      <c r="AI490">
        <v>0</v>
      </c>
      <c r="AJ490">
        <v>4</v>
      </c>
      <c r="AK490">
        <v>4</v>
      </c>
      <c r="AL490" t="s">
        <v>426</v>
      </c>
      <c r="AM490" t="s">
        <v>427</v>
      </c>
      <c r="AN490" t="s">
        <v>428</v>
      </c>
      <c r="AO490" t="s">
        <v>9558</v>
      </c>
      <c r="AP490" t="s">
        <v>9559</v>
      </c>
      <c r="AQ490" t="s">
        <v>74</v>
      </c>
      <c r="AR490" t="s">
        <v>9560</v>
      </c>
      <c r="AS490" t="s">
        <v>9561</v>
      </c>
      <c r="AT490" t="s">
        <v>9270</v>
      </c>
      <c r="AU490">
        <v>2023</v>
      </c>
      <c r="AV490" t="s">
        <v>74</v>
      </c>
      <c r="AW490" t="s">
        <v>74</v>
      </c>
      <c r="AX490" t="s">
        <v>74</v>
      </c>
      <c r="AY490" t="s">
        <v>74</v>
      </c>
      <c r="AZ490" t="s">
        <v>74</v>
      </c>
      <c r="BA490" t="s">
        <v>74</v>
      </c>
      <c r="BB490" t="s">
        <v>74</v>
      </c>
      <c r="BC490" t="s">
        <v>74</v>
      </c>
      <c r="BD490" t="s">
        <v>74</v>
      </c>
      <c r="BE490" t="s">
        <v>9562</v>
      </c>
      <c r="BF490" t="str">
        <f>HYPERLINK("http://dx.doi.org/10.1002/cjoc.202300392","http://dx.doi.org/10.1002/cjoc.202300392")</f>
        <v>http://dx.doi.org/10.1002/cjoc.202300392</v>
      </c>
      <c r="BG490" t="s">
        <v>74</v>
      </c>
      <c r="BH490" t="s">
        <v>7524</v>
      </c>
      <c r="BI490">
        <v>8</v>
      </c>
      <c r="BJ490" t="s">
        <v>523</v>
      </c>
      <c r="BK490" t="s">
        <v>119</v>
      </c>
      <c r="BL490" t="s">
        <v>524</v>
      </c>
      <c r="BM490" t="s">
        <v>9563</v>
      </c>
      <c r="BN490" t="s">
        <v>74</v>
      </c>
      <c r="BO490" t="s">
        <v>5713</v>
      </c>
      <c r="BP490" t="s">
        <v>74</v>
      </c>
      <c r="BQ490" t="s">
        <v>74</v>
      </c>
      <c r="BR490" t="s">
        <v>99</v>
      </c>
      <c r="BS490" t="s">
        <v>9564</v>
      </c>
      <c r="BT490" t="str">
        <f>HYPERLINK("https%3A%2F%2Fwww.webofscience.com%2Fwos%2Fwoscc%2Ffull-record%2FWOS:001051811000001","View Full Record in Web of Science")</f>
        <v>View Full Record in Web of Science</v>
      </c>
    </row>
    <row r="491" spans="1:72" x14ac:dyDescent="0.15">
      <c r="A491" t="s">
        <v>72</v>
      </c>
      <c r="B491" t="s">
        <v>9565</v>
      </c>
      <c r="C491" t="s">
        <v>74</v>
      </c>
      <c r="D491" t="s">
        <v>74</v>
      </c>
      <c r="E491" t="s">
        <v>74</v>
      </c>
      <c r="F491" t="s">
        <v>9566</v>
      </c>
      <c r="G491" t="s">
        <v>74</v>
      </c>
      <c r="H491" t="s">
        <v>74</v>
      </c>
      <c r="I491" t="s">
        <v>9567</v>
      </c>
      <c r="J491" t="s">
        <v>2047</v>
      </c>
      <c r="K491" t="s">
        <v>74</v>
      </c>
      <c r="L491" t="s">
        <v>74</v>
      </c>
      <c r="M491" t="s">
        <v>78</v>
      </c>
      <c r="N491" t="s">
        <v>338</v>
      </c>
      <c r="O491" t="s">
        <v>74</v>
      </c>
      <c r="P491" t="s">
        <v>74</v>
      </c>
      <c r="Q491" t="s">
        <v>74</v>
      </c>
      <c r="R491" t="s">
        <v>74</v>
      </c>
      <c r="S491" t="s">
        <v>74</v>
      </c>
      <c r="T491" t="s">
        <v>9568</v>
      </c>
      <c r="U491" t="s">
        <v>9569</v>
      </c>
      <c r="V491" t="s">
        <v>9570</v>
      </c>
      <c r="W491" t="s">
        <v>9571</v>
      </c>
      <c r="X491" t="s">
        <v>9572</v>
      </c>
      <c r="Y491" t="s">
        <v>9573</v>
      </c>
      <c r="Z491" t="s">
        <v>9574</v>
      </c>
      <c r="AA491" t="s">
        <v>74</v>
      </c>
      <c r="AB491" t="s">
        <v>9575</v>
      </c>
      <c r="AC491" t="s">
        <v>9576</v>
      </c>
      <c r="AD491" t="s">
        <v>9577</v>
      </c>
      <c r="AE491" t="s">
        <v>9578</v>
      </c>
      <c r="AF491" t="s">
        <v>74</v>
      </c>
      <c r="AG491">
        <v>70</v>
      </c>
      <c r="AH491">
        <v>0</v>
      </c>
      <c r="AI491">
        <v>0</v>
      </c>
      <c r="AJ491">
        <v>3</v>
      </c>
      <c r="AK491">
        <v>3</v>
      </c>
      <c r="AL491" t="s">
        <v>87</v>
      </c>
      <c r="AM491" t="s">
        <v>88</v>
      </c>
      <c r="AN491" t="s">
        <v>89</v>
      </c>
      <c r="AO491" t="s">
        <v>2058</v>
      </c>
      <c r="AP491" t="s">
        <v>2059</v>
      </c>
      <c r="AQ491" t="s">
        <v>74</v>
      </c>
      <c r="AR491" t="s">
        <v>2060</v>
      </c>
      <c r="AS491" t="s">
        <v>2061</v>
      </c>
      <c r="AT491" t="s">
        <v>9270</v>
      </c>
      <c r="AU491">
        <v>2023</v>
      </c>
      <c r="AV491" t="s">
        <v>74</v>
      </c>
      <c r="AW491" t="s">
        <v>74</v>
      </c>
      <c r="AX491" t="s">
        <v>74</v>
      </c>
      <c r="AY491" t="s">
        <v>74</v>
      </c>
      <c r="AZ491" t="s">
        <v>74</v>
      </c>
      <c r="BA491" t="s">
        <v>74</v>
      </c>
      <c r="BB491" t="s">
        <v>74</v>
      </c>
      <c r="BC491" t="s">
        <v>74</v>
      </c>
      <c r="BD491" t="s">
        <v>74</v>
      </c>
      <c r="BE491" t="s">
        <v>9579</v>
      </c>
      <c r="BF491" t="str">
        <f>HYPERLINK("http://dx.doi.org/10.1111/gcb.16890","http://dx.doi.org/10.1111/gcb.16890")</f>
        <v>http://dx.doi.org/10.1111/gcb.16890</v>
      </c>
      <c r="BG491" t="s">
        <v>74</v>
      </c>
      <c r="BH491" t="s">
        <v>7524</v>
      </c>
      <c r="BI491">
        <v>16</v>
      </c>
      <c r="BJ491" t="s">
        <v>2063</v>
      </c>
      <c r="BK491" t="s">
        <v>119</v>
      </c>
      <c r="BL491" t="s">
        <v>766</v>
      </c>
      <c r="BM491" t="s">
        <v>9580</v>
      </c>
      <c r="BN491">
        <v>37605853</v>
      </c>
      <c r="BO491" t="s">
        <v>122</v>
      </c>
      <c r="BP491" t="s">
        <v>74</v>
      </c>
      <c r="BQ491" t="s">
        <v>74</v>
      </c>
      <c r="BR491" t="s">
        <v>99</v>
      </c>
      <c r="BS491" t="s">
        <v>9581</v>
      </c>
      <c r="BT491" t="str">
        <f>HYPERLINK("https%3A%2F%2Fwww.webofscience.com%2Fwos%2Fwoscc%2Ffull-record%2FWOS:001051948300001","View Full Record in Web of Science")</f>
        <v>View Full Record in Web of Science</v>
      </c>
    </row>
    <row r="492" spans="1:72" x14ac:dyDescent="0.15">
      <c r="A492" t="s">
        <v>72</v>
      </c>
      <c r="B492" t="s">
        <v>9582</v>
      </c>
      <c r="C492" t="s">
        <v>74</v>
      </c>
      <c r="D492" t="s">
        <v>74</v>
      </c>
      <c r="E492" t="s">
        <v>74</v>
      </c>
      <c r="F492" t="s">
        <v>9583</v>
      </c>
      <c r="G492" t="s">
        <v>74</v>
      </c>
      <c r="H492" t="s">
        <v>74</v>
      </c>
      <c r="I492" t="s">
        <v>9584</v>
      </c>
      <c r="J492" t="s">
        <v>9585</v>
      </c>
      <c r="K492" t="s">
        <v>74</v>
      </c>
      <c r="L492" t="s">
        <v>74</v>
      </c>
      <c r="M492" t="s">
        <v>78</v>
      </c>
      <c r="N492" t="s">
        <v>2419</v>
      </c>
      <c r="O492" t="s">
        <v>74</v>
      </c>
      <c r="P492" t="s">
        <v>74</v>
      </c>
      <c r="Q492" t="s">
        <v>74</v>
      </c>
      <c r="R492" t="s">
        <v>74</v>
      </c>
      <c r="S492" t="s">
        <v>74</v>
      </c>
      <c r="T492" t="s">
        <v>74</v>
      </c>
      <c r="U492" t="s">
        <v>74</v>
      </c>
      <c r="V492" t="s">
        <v>74</v>
      </c>
      <c r="W492" t="s">
        <v>9586</v>
      </c>
      <c r="X492" t="s">
        <v>9587</v>
      </c>
      <c r="Y492" t="s">
        <v>9588</v>
      </c>
      <c r="Z492" t="s">
        <v>9589</v>
      </c>
      <c r="AA492" t="s">
        <v>74</v>
      </c>
      <c r="AB492" t="s">
        <v>74</v>
      </c>
      <c r="AC492" t="s">
        <v>74</v>
      </c>
      <c r="AD492" t="s">
        <v>74</v>
      </c>
      <c r="AE492" t="s">
        <v>74</v>
      </c>
      <c r="AF492" t="s">
        <v>74</v>
      </c>
      <c r="AG492">
        <v>1</v>
      </c>
      <c r="AH492">
        <v>0</v>
      </c>
      <c r="AI492">
        <v>0</v>
      </c>
      <c r="AJ492">
        <v>0</v>
      </c>
      <c r="AK492">
        <v>0</v>
      </c>
      <c r="AL492" t="s">
        <v>87</v>
      </c>
      <c r="AM492" t="s">
        <v>88</v>
      </c>
      <c r="AN492" t="s">
        <v>89</v>
      </c>
      <c r="AO492" t="s">
        <v>9590</v>
      </c>
      <c r="AP492" t="s">
        <v>9591</v>
      </c>
      <c r="AQ492" t="s">
        <v>74</v>
      </c>
      <c r="AR492" t="s">
        <v>9592</v>
      </c>
      <c r="AS492" t="s">
        <v>9593</v>
      </c>
      <c r="AT492" t="s">
        <v>9270</v>
      </c>
      <c r="AU492">
        <v>2023</v>
      </c>
      <c r="AV492" t="s">
        <v>74</v>
      </c>
      <c r="AW492" t="s">
        <v>74</v>
      </c>
      <c r="AX492" t="s">
        <v>74</v>
      </c>
      <c r="AY492" t="s">
        <v>74</v>
      </c>
      <c r="AZ492" t="s">
        <v>74</v>
      </c>
      <c r="BA492" t="s">
        <v>74</v>
      </c>
      <c r="BB492" t="s">
        <v>74</v>
      </c>
      <c r="BC492" t="s">
        <v>74</v>
      </c>
      <c r="BD492" t="s">
        <v>74</v>
      </c>
      <c r="BE492" t="s">
        <v>9594</v>
      </c>
      <c r="BF492" t="str">
        <f>HYPERLINK("http://dx.doi.org/10.1111/traa.12265","http://dx.doi.org/10.1111/traa.12265")</f>
        <v>http://dx.doi.org/10.1111/traa.12265</v>
      </c>
      <c r="BG492" t="s">
        <v>74</v>
      </c>
      <c r="BH492" t="s">
        <v>7524</v>
      </c>
      <c r="BI492">
        <v>2</v>
      </c>
      <c r="BJ492" t="s">
        <v>3107</v>
      </c>
      <c r="BK492" t="s">
        <v>96</v>
      </c>
      <c r="BL492" t="s">
        <v>3107</v>
      </c>
      <c r="BM492" t="s">
        <v>9595</v>
      </c>
      <c r="BN492" t="s">
        <v>74</v>
      </c>
      <c r="BO492" t="s">
        <v>74</v>
      </c>
      <c r="BP492" t="s">
        <v>74</v>
      </c>
      <c r="BQ492" t="s">
        <v>74</v>
      </c>
      <c r="BR492" t="s">
        <v>99</v>
      </c>
      <c r="BS492" t="s">
        <v>9596</v>
      </c>
      <c r="BT492" t="str">
        <f>HYPERLINK("https%3A%2F%2Fwww.webofscience.com%2Fwos%2Fwoscc%2Ffull-record%2FWOS:001052437800001","View Full Record in Web of Science")</f>
        <v>View Full Record in Web of Science</v>
      </c>
    </row>
    <row r="493" spans="1:72" x14ac:dyDescent="0.15">
      <c r="A493" t="s">
        <v>72</v>
      </c>
      <c r="B493" t="s">
        <v>9597</v>
      </c>
      <c r="C493" t="s">
        <v>74</v>
      </c>
      <c r="D493" t="s">
        <v>74</v>
      </c>
      <c r="E493" t="s">
        <v>74</v>
      </c>
      <c r="F493" t="s">
        <v>9598</v>
      </c>
      <c r="G493" t="s">
        <v>74</v>
      </c>
      <c r="H493" t="s">
        <v>74</v>
      </c>
      <c r="I493" t="s">
        <v>9599</v>
      </c>
      <c r="J493" t="s">
        <v>1734</v>
      </c>
      <c r="K493" t="s">
        <v>74</v>
      </c>
      <c r="L493" t="s">
        <v>74</v>
      </c>
      <c r="M493" t="s">
        <v>78</v>
      </c>
      <c r="N493" t="s">
        <v>1297</v>
      </c>
      <c r="O493" t="s">
        <v>74</v>
      </c>
      <c r="P493" t="s">
        <v>74</v>
      </c>
      <c r="Q493" t="s">
        <v>74</v>
      </c>
      <c r="R493" t="s">
        <v>74</v>
      </c>
      <c r="S493" t="s">
        <v>74</v>
      </c>
      <c r="T493" t="s">
        <v>9600</v>
      </c>
      <c r="U493" t="s">
        <v>9601</v>
      </c>
      <c r="V493" t="s">
        <v>74</v>
      </c>
      <c r="W493" t="s">
        <v>9602</v>
      </c>
      <c r="X493" t="s">
        <v>9603</v>
      </c>
      <c r="Y493" t="s">
        <v>9604</v>
      </c>
      <c r="Z493" t="s">
        <v>9605</v>
      </c>
      <c r="AA493" t="s">
        <v>74</v>
      </c>
      <c r="AB493" t="s">
        <v>9606</v>
      </c>
      <c r="AC493" t="s">
        <v>9607</v>
      </c>
      <c r="AD493" t="s">
        <v>9608</v>
      </c>
      <c r="AE493" t="s">
        <v>9609</v>
      </c>
      <c r="AF493" t="s">
        <v>74</v>
      </c>
      <c r="AG493">
        <v>25</v>
      </c>
      <c r="AH493">
        <v>0</v>
      </c>
      <c r="AI493">
        <v>0</v>
      </c>
      <c r="AJ493">
        <v>4</v>
      </c>
      <c r="AK493">
        <v>4</v>
      </c>
      <c r="AL493" t="s">
        <v>87</v>
      </c>
      <c r="AM493" t="s">
        <v>88</v>
      </c>
      <c r="AN493" t="s">
        <v>89</v>
      </c>
      <c r="AO493" t="s">
        <v>1746</v>
      </c>
      <c r="AP493" t="s">
        <v>1747</v>
      </c>
      <c r="AQ493" t="s">
        <v>74</v>
      </c>
      <c r="AR493" t="s">
        <v>1748</v>
      </c>
      <c r="AS493" t="s">
        <v>1749</v>
      </c>
      <c r="AT493" t="s">
        <v>9270</v>
      </c>
      <c r="AU493">
        <v>2023</v>
      </c>
      <c r="AV493" t="s">
        <v>74</v>
      </c>
      <c r="AW493" t="s">
        <v>74</v>
      </c>
      <c r="AX493" t="s">
        <v>74</v>
      </c>
      <c r="AY493" t="s">
        <v>74</v>
      </c>
      <c r="AZ493" t="s">
        <v>74</v>
      </c>
      <c r="BA493" t="s">
        <v>74</v>
      </c>
      <c r="BB493" t="s">
        <v>74</v>
      </c>
      <c r="BC493" t="s">
        <v>74</v>
      </c>
      <c r="BD493" t="s">
        <v>74</v>
      </c>
      <c r="BE493" t="s">
        <v>9610</v>
      </c>
      <c r="BF493" t="str">
        <f>HYPERLINK("http://dx.doi.org/10.1111/nph.19223","http://dx.doi.org/10.1111/nph.19223")</f>
        <v>http://dx.doi.org/10.1111/nph.19223</v>
      </c>
      <c r="BG493" t="s">
        <v>74</v>
      </c>
      <c r="BH493" t="s">
        <v>7524</v>
      </c>
      <c r="BI493">
        <v>3</v>
      </c>
      <c r="BJ493" t="s">
        <v>1751</v>
      </c>
      <c r="BK493" t="s">
        <v>119</v>
      </c>
      <c r="BL493" t="s">
        <v>1751</v>
      </c>
      <c r="BM493" t="s">
        <v>9611</v>
      </c>
      <c r="BN493">
        <v>37606219</v>
      </c>
      <c r="BO493" t="s">
        <v>301</v>
      </c>
      <c r="BP493" t="s">
        <v>74</v>
      </c>
      <c r="BQ493" t="s">
        <v>74</v>
      </c>
      <c r="BR493" t="s">
        <v>99</v>
      </c>
      <c r="BS493" t="s">
        <v>9612</v>
      </c>
      <c r="BT493" t="str">
        <f>HYPERLINK("https%3A%2F%2Fwww.webofscience.com%2Fwos%2Fwoscc%2Ffull-record%2FWOS:001051829400001","View Full Record in Web of Science")</f>
        <v>View Full Record in Web of Science</v>
      </c>
    </row>
    <row r="494" spans="1:72" x14ac:dyDescent="0.15">
      <c r="A494" t="s">
        <v>72</v>
      </c>
      <c r="B494" t="s">
        <v>9613</v>
      </c>
      <c r="C494" t="s">
        <v>74</v>
      </c>
      <c r="D494" t="s">
        <v>74</v>
      </c>
      <c r="E494" t="s">
        <v>74</v>
      </c>
      <c r="F494" t="s">
        <v>9614</v>
      </c>
      <c r="G494" t="s">
        <v>74</v>
      </c>
      <c r="H494" t="s">
        <v>74</v>
      </c>
      <c r="I494" t="s">
        <v>9615</v>
      </c>
      <c r="J494" t="s">
        <v>9616</v>
      </c>
      <c r="K494" t="s">
        <v>74</v>
      </c>
      <c r="L494" t="s">
        <v>74</v>
      </c>
      <c r="M494" t="s">
        <v>78</v>
      </c>
      <c r="N494" t="s">
        <v>338</v>
      </c>
      <c r="O494" t="s">
        <v>74</v>
      </c>
      <c r="P494" t="s">
        <v>74</v>
      </c>
      <c r="Q494" t="s">
        <v>74</v>
      </c>
      <c r="R494" t="s">
        <v>74</v>
      </c>
      <c r="S494" t="s">
        <v>74</v>
      </c>
      <c r="T494" t="s">
        <v>9617</v>
      </c>
      <c r="U494" t="s">
        <v>9618</v>
      </c>
      <c r="V494" t="s">
        <v>9619</v>
      </c>
      <c r="W494" t="s">
        <v>9620</v>
      </c>
      <c r="X494" t="s">
        <v>9621</v>
      </c>
      <c r="Y494" t="s">
        <v>9622</v>
      </c>
      <c r="Z494" t="s">
        <v>9623</v>
      </c>
      <c r="AA494" t="s">
        <v>74</v>
      </c>
      <c r="AB494" t="s">
        <v>74</v>
      </c>
      <c r="AC494" t="s">
        <v>9624</v>
      </c>
      <c r="AD494" t="s">
        <v>9625</v>
      </c>
      <c r="AE494" t="s">
        <v>9626</v>
      </c>
      <c r="AF494" t="s">
        <v>74</v>
      </c>
      <c r="AG494">
        <v>29</v>
      </c>
      <c r="AH494">
        <v>0</v>
      </c>
      <c r="AI494">
        <v>0</v>
      </c>
      <c r="AJ494">
        <v>2</v>
      </c>
      <c r="AK494">
        <v>2</v>
      </c>
      <c r="AL494" t="s">
        <v>87</v>
      </c>
      <c r="AM494" t="s">
        <v>88</v>
      </c>
      <c r="AN494" t="s">
        <v>89</v>
      </c>
      <c r="AO494" t="s">
        <v>9627</v>
      </c>
      <c r="AP494" t="s">
        <v>9628</v>
      </c>
      <c r="AQ494" t="s">
        <v>74</v>
      </c>
      <c r="AR494" t="s">
        <v>9629</v>
      </c>
      <c r="AS494" t="s">
        <v>9630</v>
      </c>
      <c r="AT494" t="s">
        <v>9270</v>
      </c>
      <c r="AU494">
        <v>2023</v>
      </c>
      <c r="AV494" t="s">
        <v>74</v>
      </c>
      <c r="AW494" t="s">
        <v>74</v>
      </c>
      <c r="AX494" t="s">
        <v>74</v>
      </c>
      <c r="AY494" t="s">
        <v>74</v>
      </c>
      <c r="AZ494" t="s">
        <v>74</v>
      </c>
      <c r="BA494" t="s">
        <v>74</v>
      </c>
      <c r="BB494" t="s">
        <v>74</v>
      </c>
      <c r="BC494" t="s">
        <v>74</v>
      </c>
      <c r="BD494" t="s">
        <v>74</v>
      </c>
      <c r="BE494" t="s">
        <v>9631</v>
      </c>
      <c r="BF494" t="str">
        <f>HYPERLINK("http://dx.doi.org/10.1111/jiec.13428","http://dx.doi.org/10.1111/jiec.13428")</f>
        <v>http://dx.doi.org/10.1111/jiec.13428</v>
      </c>
      <c r="BG494" t="s">
        <v>74</v>
      </c>
      <c r="BH494" t="s">
        <v>7524</v>
      </c>
      <c r="BI494">
        <v>12</v>
      </c>
      <c r="BJ494" t="s">
        <v>9632</v>
      </c>
      <c r="BK494" t="s">
        <v>119</v>
      </c>
      <c r="BL494" t="s">
        <v>9633</v>
      </c>
      <c r="BM494" t="s">
        <v>9634</v>
      </c>
      <c r="BN494" t="s">
        <v>74</v>
      </c>
      <c r="BO494" t="s">
        <v>74</v>
      </c>
      <c r="BP494" t="s">
        <v>74</v>
      </c>
      <c r="BQ494" t="s">
        <v>74</v>
      </c>
      <c r="BR494" t="s">
        <v>99</v>
      </c>
      <c r="BS494" t="s">
        <v>9635</v>
      </c>
      <c r="BT494" t="str">
        <f>HYPERLINK("https%3A%2F%2Fwww.webofscience.com%2Fwos%2Fwoscc%2Ffull-record%2FWOS:001052424300001","View Full Record in Web of Science")</f>
        <v>View Full Record in Web of Science</v>
      </c>
    </row>
    <row r="495" spans="1:72" x14ac:dyDescent="0.15">
      <c r="A495" t="s">
        <v>72</v>
      </c>
      <c r="B495" t="s">
        <v>9636</v>
      </c>
      <c r="C495" t="s">
        <v>74</v>
      </c>
      <c r="D495" t="s">
        <v>74</v>
      </c>
      <c r="E495" t="s">
        <v>74</v>
      </c>
      <c r="F495" t="s">
        <v>9637</v>
      </c>
      <c r="G495" t="s">
        <v>74</v>
      </c>
      <c r="H495" t="s">
        <v>74</v>
      </c>
      <c r="I495" t="s">
        <v>9638</v>
      </c>
      <c r="J495" t="s">
        <v>2913</v>
      </c>
      <c r="K495" t="s">
        <v>74</v>
      </c>
      <c r="L495" t="s">
        <v>74</v>
      </c>
      <c r="M495" t="s">
        <v>78</v>
      </c>
      <c r="N495" t="s">
        <v>338</v>
      </c>
      <c r="O495" t="s">
        <v>74</v>
      </c>
      <c r="P495" t="s">
        <v>74</v>
      </c>
      <c r="Q495" t="s">
        <v>74</v>
      </c>
      <c r="R495" t="s">
        <v>74</v>
      </c>
      <c r="S495" t="s">
        <v>74</v>
      </c>
      <c r="T495" t="s">
        <v>9639</v>
      </c>
      <c r="U495" t="s">
        <v>9640</v>
      </c>
      <c r="V495" t="s">
        <v>9641</v>
      </c>
      <c r="W495" t="s">
        <v>9642</v>
      </c>
      <c r="X495" t="s">
        <v>9643</v>
      </c>
      <c r="Y495" t="s">
        <v>9644</v>
      </c>
      <c r="Z495" t="s">
        <v>9645</v>
      </c>
      <c r="AA495" t="s">
        <v>9646</v>
      </c>
      <c r="AB495" t="s">
        <v>9647</v>
      </c>
      <c r="AC495" t="s">
        <v>9648</v>
      </c>
      <c r="AD495" t="s">
        <v>9648</v>
      </c>
      <c r="AE495" t="s">
        <v>9649</v>
      </c>
      <c r="AF495" t="s">
        <v>74</v>
      </c>
      <c r="AG495">
        <v>50</v>
      </c>
      <c r="AH495">
        <v>0</v>
      </c>
      <c r="AI495">
        <v>0</v>
      </c>
      <c r="AJ495">
        <v>2</v>
      </c>
      <c r="AK495">
        <v>2</v>
      </c>
      <c r="AL495" t="s">
        <v>426</v>
      </c>
      <c r="AM495" t="s">
        <v>427</v>
      </c>
      <c r="AN495" t="s">
        <v>428</v>
      </c>
      <c r="AO495" t="s">
        <v>2925</v>
      </c>
      <c r="AP495" t="s">
        <v>2926</v>
      </c>
      <c r="AQ495" t="s">
        <v>74</v>
      </c>
      <c r="AR495" t="s">
        <v>2927</v>
      </c>
      <c r="AS495" t="s">
        <v>2928</v>
      </c>
      <c r="AT495" t="s">
        <v>9270</v>
      </c>
      <c r="AU495">
        <v>2023</v>
      </c>
      <c r="AV495" t="s">
        <v>74</v>
      </c>
      <c r="AW495" t="s">
        <v>74</v>
      </c>
      <c r="AX495" t="s">
        <v>74</v>
      </c>
      <c r="AY495" t="s">
        <v>74</v>
      </c>
      <c r="AZ495" t="s">
        <v>74</v>
      </c>
      <c r="BA495" t="s">
        <v>74</v>
      </c>
      <c r="BB495" t="s">
        <v>74</v>
      </c>
      <c r="BC495" t="s">
        <v>74</v>
      </c>
      <c r="BD495" t="s">
        <v>74</v>
      </c>
      <c r="BE495" t="s">
        <v>9650</v>
      </c>
      <c r="BF495" t="str">
        <f>HYPERLINK("http://dx.doi.org/10.1002/chem.202301210","http://dx.doi.org/10.1002/chem.202301210")</f>
        <v>http://dx.doi.org/10.1002/chem.202301210</v>
      </c>
      <c r="BG495" t="s">
        <v>74</v>
      </c>
      <c r="BH495" t="s">
        <v>7524</v>
      </c>
      <c r="BI495">
        <v>9</v>
      </c>
      <c r="BJ495" t="s">
        <v>523</v>
      </c>
      <c r="BK495" t="s">
        <v>119</v>
      </c>
      <c r="BL495" t="s">
        <v>524</v>
      </c>
      <c r="BM495" t="s">
        <v>9651</v>
      </c>
      <c r="BN495">
        <v>37313991</v>
      </c>
      <c r="BO495" t="s">
        <v>4580</v>
      </c>
      <c r="BP495" t="s">
        <v>74</v>
      </c>
      <c r="BQ495" t="s">
        <v>74</v>
      </c>
      <c r="BR495" t="s">
        <v>99</v>
      </c>
      <c r="BS495" t="s">
        <v>9652</v>
      </c>
      <c r="BT495" t="str">
        <f>HYPERLINK("https%3A%2F%2Fwww.webofscience.com%2Fwos%2Fwoscc%2Ffull-record%2FWOS:001052177300001","View Full Record in Web of Science")</f>
        <v>View Full Record in Web of Science</v>
      </c>
    </row>
    <row r="496" spans="1:72" x14ac:dyDescent="0.15">
      <c r="A496" t="s">
        <v>72</v>
      </c>
      <c r="B496" t="s">
        <v>9653</v>
      </c>
      <c r="C496" t="s">
        <v>74</v>
      </c>
      <c r="D496" t="s">
        <v>74</v>
      </c>
      <c r="E496" t="s">
        <v>74</v>
      </c>
      <c r="F496" t="s">
        <v>9654</v>
      </c>
      <c r="G496" t="s">
        <v>74</v>
      </c>
      <c r="H496" t="s">
        <v>74</v>
      </c>
      <c r="I496" t="s">
        <v>9655</v>
      </c>
      <c r="J496" t="s">
        <v>9656</v>
      </c>
      <c r="K496" t="s">
        <v>74</v>
      </c>
      <c r="L496" t="s">
        <v>74</v>
      </c>
      <c r="M496" t="s">
        <v>78</v>
      </c>
      <c r="N496" t="s">
        <v>79</v>
      </c>
      <c r="O496" t="s">
        <v>74</v>
      </c>
      <c r="P496" t="s">
        <v>74</v>
      </c>
      <c r="Q496" t="s">
        <v>74</v>
      </c>
      <c r="R496" t="s">
        <v>74</v>
      </c>
      <c r="S496" t="s">
        <v>74</v>
      </c>
      <c r="T496" t="s">
        <v>74</v>
      </c>
      <c r="U496" t="s">
        <v>74</v>
      </c>
      <c r="V496" t="s">
        <v>9657</v>
      </c>
      <c r="W496" t="s">
        <v>9658</v>
      </c>
      <c r="X496" t="s">
        <v>9659</v>
      </c>
      <c r="Y496" t="s">
        <v>9660</v>
      </c>
      <c r="Z496" t="s">
        <v>9661</v>
      </c>
      <c r="AA496" t="s">
        <v>74</v>
      </c>
      <c r="AB496" t="s">
        <v>9662</v>
      </c>
      <c r="AC496" t="s">
        <v>74</v>
      </c>
      <c r="AD496" t="s">
        <v>74</v>
      </c>
      <c r="AE496" t="s">
        <v>74</v>
      </c>
      <c r="AF496" t="s">
        <v>74</v>
      </c>
      <c r="AG496">
        <v>11</v>
      </c>
      <c r="AH496">
        <v>0</v>
      </c>
      <c r="AI496">
        <v>0</v>
      </c>
      <c r="AJ496">
        <v>0</v>
      </c>
      <c r="AK496">
        <v>0</v>
      </c>
      <c r="AL496" t="s">
        <v>87</v>
      </c>
      <c r="AM496" t="s">
        <v>88</v>
      </c>
      <c r="AN496" t="s">
        <v>89</v>
      </c>
      <c r="AO496" t="s">
        <v>9663</v>
      </c>
      <c r="AP496" t="s">
        <v>74</v>
      </c>
      <c r="AQ496" t="s">
        <v>74</v>
      </c>
      <c r="AR496" t="s">
        <v>9656</v>
      </c>
      <c r="AS496" t="s">
        <v>9664</v>
      </c>
      <c r="AT496" t="s">
        <v>6725</v>
      </c>
      <c r="AU496">
        <v>2023</v>
      </c>
      <c r="AV496">
        <v>13</v>
      </c>
      <c r="AW496">
        <v>9</v>
      </c>
      <c r="AX496" t="s">
        <v>74</v>
      </c>
      <c r="AY496" t="s">
        <v>74</v>
      </c>
      <c r="AZ496" t="s">
        <v>9665</v>
      </c>
      <c r="BA496" t="s">
        <v>74</v>
      </c>
      <c r="BB496">
        <v>1544</v>
      </c>
      <c r="BC496">
        <v>1547</v>
      </c>
      <c r="BD496" t="s">
        <v>74</v>
      </c>
      <c r="BE496" t="s">
        <v>9666</v>
      </c>
      <c r="BF496" t="str">
        <f>HYPERLINK("http://dx.doi.org/10.1002/2211-5463.13689","http://dx.doi.org/10.1002/2211-5463.13689")</f>
        <v>http://dx.doi.org/10.1002/2211-5463.13689</v>
      </c>
      <c r="BG496" t="s">
        <v>74</v>
      </c>
      <c r="BH496" t="s">
        <v>7524</v>
      </c>
      <c r="BI496">
        <v>4</v>
      </c>
      <c r="BJ496" t="s">
        <v>212</v>
      </c>
      <c r="BK496" t="s">
        <v>119</v>
      </c>
      <c r="BL496" t="s">
        <v>212</v>
      </c>
      <c r="BM496" t="s">
        <v>9667</v>
      </c>
      <c r="BN496">
        <v>37589211</v>
      </c>
      <c r="BO496" t="s">
        <v>6877</v>
      </c>
      <c r="BP496" t="s">
        <v>74</v>
      </c>
      <c r="BQ496" t="s">
        <v>74</v>
      </c>
      <c r="BR496" t="s">
        <v>99</v>
      </c>
      <c r="BS496" t="s">
        <v>9668</v>
      </c>
      <c r="BT496" t="str">
        <f>HYPERLINK("https%3A%2F%2Fwww.webofscience.com%2Fwos%2Fwoscc%2Ffull-record%2FWOS:001052667600001","View Full Record in Web of Science")</f>
        <v>View Full Record in Web of Science</v>
      </c>
    </row>
    <row r="497" spans="1:72" x14ac:dyDescent="0.15">
      <c r="A497" t="s">
        <v>72</v>
      </c>
      <c r="B497" t="s">
        <v>9669</v>
      </c>
      <c r="C497" t="s">
        <v>74</v>
      </c>
      <c r="D497" t="s">
        <v>74</v>
      </c>
      <c r="E497" t="s">
        <v>74</v>
      </c>
      <c r="F497" t="s">
        <v>9670</v>
      </c>
      <c r="G497" t="s">
        <v>74</v>
      </c>
      <c r="H497" t="s">
        <v>74</v>
      </c>
      <c r="I497" t="s">
        <v>9671</v>
      </c>
      <c r="J497" t="s">
        <v>9672</v>
      </c>
      <c r="K497" t="s">
        <v>74</v>
      </c>
      <c r="L497" t="s">
        <v>74</v>
      </c>
      <c r="M497" t="s">
        <v>78</v>
      </c>
      <c r="N497" t="s">
        <v>338</v>
      </c>
      <c r="O497" t="s">
        <v>74</v>
      </c>
      <c r="P497" t="s">
        <v>74</v>
      </c>
      <c r="Q497" t="s">
        <v>74</v>
      </c>
      <c r="R497" t="s">
        <v>74</v>
      </c>
      <c r="S497" t="s">
        <v>74</v>
      </c>
      <c r="T497" t="s">
        <v>9673</v>
      </c>
      <c r="U497" t="s">
        <v>9674</v>
      </c>
      <c r="V497" t="s">
        <v>9675</v>
      </c>
      <c r="W497" t="s">
        <v>9676</v>
      </c>
      <c r="X497" t="s">
        <v>9677</v>
      </c>
      <c r="Y497" t="s">
        <v>9678</v>
      </c>
      <c r="Z497" t="s">
        <v>9679</v>
      </c>
      <c r="AA497" t="s">
        <v>74</v>
      </c>
      <c r="AB497" t="s">
        <v>9680</v>
      </c>
      <c r="AC497" t="s">
        <v>9681</v>
      </c>
      <c r="AD497" t="s">
        <v>9682</v>
      </c>
      <c r="AE497" t="s">
        <v>9683</v>
      </c>
      <c r="AF497" t="s">
        <v>74</v>
      </c>
      <c r="AG497">
        <v>60</v>
      </c>
      <c r="AH497">
        <v>0</v>
      </c>
      <c r="AI497">
        <v>0</v>
      </c>
      <c r="AJ497">
        <v>0</v>
      </c>
      <c r="AK497">
        <v>0</v>
      </c>
      <c r="AL497" t="s">
        <v>87</v>
      </c>
      <c r="AM497" t="s">
        <v>88</v>
      </c>
      <c r="AN497" t="s">
        <v>89</v>
      </c>
      <c r="AO497" t="s">
        <v>9684</v>
      </c>
      <c r="AP497" t="s">
        <v>9685</v>
      </c>
      <c r="AQ497" t="s">
        <v>74</v>
      </c>
      <c r="AR497" t="s">
        <v>9686</v>
      </c>
      <c r="AS497" t="s">
        <v>9687</v>
      </c>
      <c r="AT497" t="s">
        <v>9270</v>
      </c>
      <c r="AU497">
        <v>2023</v>
      </c>
      <c r="AV497" t="s">
        <v>74</v>
      </c>
      <c r="AW497" t="s">
        <v>74</v>
      </c>
      <c r="AX497" t="s">
        <v>74</v>
      </c>
      <c r="AY497" t="s">
        <v>74</v>
      </c>
      <c r="AZ497" t="s">
        <v>74</v>
      </c>
      <c r="BA497" t="s">
        <v>74</v>
      </c>
      <c r="BB497" t="s">
        <v>74</v>
      </c>
      <c r="BC497" t="s">
        <v>74</v>
      </c>
      <c r="BD497" t="s">
        <v>9688</v>
      </c>
      <c r="BE497" t="s">
        <v>9689</v>
      </c>
      <c r="BF497" t="str">
        <f>HYPERLINK("http://dx.doi.org/10.1002/icd.2456","http://dx.doi.org/10.1002/icd.2456")</f>
        <v>http://dx.doi.org/10.1002/icd.2456</v>
      </c>
      <c r="BG497" t="s">
        <v>74</v>
      </c>
      <c r="BH497" t="s">
        <v>7524</v>
      </c>
      <c r="BI497">
        <v>14</v>
      </c>
      <c r="BJ497" t="s">
        <v>6428</v>
      </c>
      <c r="BK497" t="s">
        <v>546</v>
      </c>
      <c r="BL497" t="s">
        <v>1210</v>
      </c>
      <c r="BM497" t="s">
        <v>9690</v>
      </c>
      <c r="BN497" t="s">
        <v>74</v>
      </c>
      <c r="BO497" t="s">
        <v>74</v>
      </c>
      <c r="BP497" t="s">
        <v>74</v>
      </c>
      <c r="BQ497" t="s">
        <v>74</v>
      </c>
      <c r="BR497" t="s">
        <v>99</v>
      </c>
      <c r="BS497" t="s">
        <v>9691</v>
      </c>
      <c r="BT497" t="str">
        <f>HYPERLINK("https%3A%2F%2Fwww.webofscience.com%2Fwos%2Fwoscc%2Ffull-record%2FWOS:001052754600001","View Full Record in Web of Science")</f>
        <v>View Full Record in Web of Science</v>
      </c>
    </row>
    <row r="498" spans="1:72" x14ac:dyDescent="0.15">
      <c r="A498" t="s">
        <v>72</v>
      </c>
      <c r="B498" t="s">
        <v>9692</v>
      </c>
      <c r="C498" t="s">
        <v>74</v>
      </c>
      <c r="D498" t="s">
        <v>74</v>
      </c>
      <c r="E498" t="s">
        <v>74</v>
      </c>
      <c r="F498" t="s">
        <v>9693</v>
      </c>
      <c r="G498" t="s">
        <v>74</v>
      </c>
      <c r="H498" t="s">
        <v>74</v>
      </c>
      <c r="I498" t="s">
        <v>9694</v>
      </c>
      <c r="J498" t="s">
        <v>3733</v>
      </c>
      <c r="K498" t="s">
        <v>74</v>
      </c>
      <c r="L498" t="s">
        <v>74</v>
      </c>
      <c r="M498" t="s">
        <v>78</v>
      </c>
      <c r="N498" t="s">
        <v>338</v>
      </c>
      <c r="O498" t="s">
        <v>74</v>
      </c>
      <c r="P498" t="s">
        <v>74</v>
      </c>
      <c r="Q498" t="s">
        <v>74</v>
      </c>
      <c r="R498" t="s">
        <v>74</v>
      </c>
      <c r="S498" t="s">
        <v>74</v>
      </c>
      <c r="T498" t="s">
        <v>9695</v>
      </c>
      <c r="U498" t="s">
        <v>74</v>
      </c>
      <c r="V498" t="s">
        <v>9696</v>
      </c>
      <c r="W498" t="s">
        <v>9697</v>
      </c>
      <c r="X498" t="s">
        <v>9698</v>
      </c>
      <c r="Y498" t="s">
        <v>9699</v>
      </c>
      <c r="Z498" t="s">
        <v>9700</v>
      </c>
      <c r="AA498" t="s">
        <v>9701</v>
      </c>
      <c r="AB498" t="s">
        <v>9702</v>
      </c>
      <c r="AC498" t="s">
        <v>9703</v>
      </c>
      <c r="AD498" t="s">
        <v>9704</v>
      </c>
      <c r="AE498" t="s">
        <v>9705</v>
      </c>
      <c r="AF498" t="s">
        <v>74</v>
      </c>
      <c r="AG498">
        <v>56</v>
      </c>
      <c r="AH498">
        <v>0</v>
      </c>
      <c r="AI498">
        <v>0</v>
      </c>
      <c r="AJ498">
        <v>5</v>
      </c>
      <c r="AK498">
        <v>5</v>
      </c>
      <c r="AL498" t="s">
        <v>87</v>
      </c>
      <c r="AM498" t="s">
        <v>88</v>
      </c>
      <c r="AN498" t="s">
        <v>89</v>
      </c>
      <c r="AO498" t="s">
        <v>3743</v>
      </c>
      <c r="AP498" t="s">
        <v>3744</v>
      </c>
      <c r="AQ498" t="s">
        <v>74</v>
      </c>
      <c r="AR498" t="s">
        <v>3745</v>
      </c>
      <c r="AS498" t="s">
        <v>3746</v>
      </c>
      <c r="AT498" t="s">
        <v>9270</v>
      </c>
      <c r="AU498">
        <v>2023</v>
      </c>
      <c r="AV498" t="s">
        <v>74</v>
      </c>
      <c r="AW498" t="s">
        <v>74</v>
      </c>
      <c r="AX498" t="s">
        <v>74</v>
      </c>
      <c r="AY498" t="s">
        <v>74</v>
      </c>
      <c r="AZ498" t="s">
        <v>74</v>
      </c>
      <c r="BA498" t="s">
        <v>74</v>
      </c>
      <c r="BB498" t="s">
        <v>74</v>
      </c>
      <c r="BC498" t="s">
        <v>74</v>
      </c>
      <c r="BD498" t="s">
        <v>74</v>
      </c>
      <c r="BE498" t="s">
        <v>9706</v>
      </c>
      <c r="BF498" t="str">
        <f>HYPERLINK("http://dx.doi.org/10.1002/ldr.4874","http://dx.doi.org/10.1002/ldr.4874")</f>
        <v>http://dx.doi.org/10.1002/ldr.4874</v>
      </c>
      <c r="BG498" t="s">
        <v>74</v>
      </c>
      <c r="BH498" t="s">
        <v>7524</v>
      </c>
      <c r="BI498">
        <v>12</v>
      </c>
      <c r="BJ498" t="s">
        <v>3748</v>
      </c>
      <c r="BK498" t="s">
        <v>119</v>
      </c>
      <c r="BL498" t="s">
        <v>3749</v>
      </c>
      <c r="BM498" t="s">
        <v>9707</v>
      </c>
      <c r="BN498" t="s">
        <v>74</v>
      </c>
      <c r="BO498" t="s">
        <v>122</v>
      </c>
      <c r="BP498" t="s">
        <v>74</v>
      </c>
      <c r="BQ498" t="s">
        <v>74</v>
      </c>
      <c r="BR498" t="s">
        <v>99</v>
      </c>
      <c r="BS498" t="s">
        <v>9708</v>
      </c>
      <c r="BT498" t="str">
        <f>HYPERLINK("https%3A%2F%2Fwww.webofscience.com%2Fwos%2Fwoscc%2Ffull-record%2FWOS:001051971300001","View Full Record in Web of Science")</f>
        <v>View Full Record in Web of Science</v>
      </c>
    </row>
    <row r="499" spans="1:72" x14ac:dyDescent="0.15">
      <c r="A499" t="s">
        <v>72</v>
      </c>
      <c r="B499" t="s">
        <v>9709</v>
      </c>
      <c r="C499" t="s">
        <v>74</v>
      </c>
      <c r="D499" t="s">
        <v>74</v>
      </c>
      <c r="E499" t="s">
        <v>74</v>
      </c>
      <c r="F499" t="s">
        <v>9710</v>
      </c>
      <c r="G499" t="s">
        <v>74</v>
      </c>
      <c r="H499" t="s">
        <v>74</v>
      </c>
      <c r="I499" t="s">
        <v>9711</v>
      </c>
      <c r="J499" t="s">
        <v>9712</v>
      </c>
      <c r="K499" t="s">
        <v>74</v>
      </c>
      <c r="L499" t="s">
        <v>74</v>
      </c>
      <c r="M499" t="s">
        <v>78</v>
      </c>
      <c r="N499" t="s">
        <v>338</v>
      </c>
      <c r="O499" t="s">
        <v>74</v>
      </c>
      <c r="P499" t="s">
        <v>74</v>
      </c>
      <c r="Q499" t="s">
        <v>74</v>
      </c>
      <c r="R499" t="s">
        <v>74</v>
      </c>
      <c r="S499" t="s">
        <v>74</v>
      </c>
      <c r="T499" t="s">
        <v>9713</v>
      </c>
      <c r="U499" t="s">
        <v>74</v>
      </c>
      <c r="V499" t="s">
        <v>9714</v>
      </c>
      <c r="W499" t="s">
        <v>9715</v>
      </c>
      <c r="X499" t="s">
        <v>9716</v>
      </c>
      <c r="Y499" t="s">
        <v>9717</v>
      </c>
      <c r="Z499" t="s">
        <v>9718</v>
      </c>
      <c r="AA499" t="s">
        <v>9719</v>
      </c>
      <c r="AB499" t="s">
        <v>9720</v>
      </c>
      <c r="AC499" t="s">
        <v>74</v>
      </c>
      <c r="AD499" t="s">
        <v>74</v>
      </c>
      <c r="AE499" t="s">
        <v>74</v>
      </c>
      <c r="AF499" t="s">
        <v>74</v>
      </c>
      <c r="AG499">
        <v>25</v>
      </c>
      <c r="AH499">
        <v>0</v>
      </c>
      <c r="AI499">
        <v>0</v>
      </c>
      <c r="AJ499">
        <v>1</v>
      </c>
      <c r="AK499">
        <v>1</v>
      </c>
      <c r="AL499" t="s">
        <v>87</v>
      </c>
      <c r="AM499" t="s">
        <v>88</v>
      </c>
      <c r="AN499" t="s">
        <v>89</v>
      </c>
      <c r="AO499" t="s">
        <v>9721</v>
      </c>
      <c r="AP499" t="s">
        <v>74</v>
      </c>
      <c r="AQ499" t="s">
        <v>74</v>
      </c>
      <c r="AR499" t="s">
        <v>9722</v>
      </c>
      <c r="AS499" t="s">
        <v>9723</v>
      </c>
      <c r="AT499" t="s">
        <v>9724</v>
      </c>
      <c r="AU499">
        <v>2023</v>
      </c>
      <c r="AV499" t="s">
        <v>74</v>
      </c>
      <c r="AW499" t="s">
        <v>74</v>
      </c>
      <c r="AX499" t="s">
        <v>74</v>
      </c>
      <c r="AY499" t="s">
        <v>74</v>
      </c>
      <c r="AZ499" t="s">
        <v>74</v>
      </c>
      <c r="BA499" t="s">
        <v>74</v>
      </c>
      <c r="BB499" t="s">
        <v>74</v>
      </c>
      <c r="BC499" t="s">
        <v>74</v>
      </c>
      <c r="BD499" t="s">
        <v>74</v>
      </c>
      <c r="BE499" t="s">
        <v>9725</v>
      </c>
      <c r="BF499" t="str">
        <f>HYPERLINK("http://dx.doi.org/10.1111/lic3.12738","http://dx.doi.org/10.1111/lic3.12738")</f>
        <v>http://dx.doi.org/10.1111/lic3.12738</v>
      </c>
      <c r="BG499" t="s">
        <v>74</v>
      </c>
      <c r="BH499" t="s">
        <v>7524</v>
      </c>
      <c r="BI499">
        <v>11</v>
      </c>
      <c r="BJ499" t="s">
        <v>9114</v>
      </c>
      <c r="BK499" t="s">
        <v>498</v>
      </c>
      <c r="BL499" t="s">
        <v>9114</v>
      </c>
      <c r="BM499" t="s">
        <v>9726</v>
      </c>
      <c r="BN499" t="s">
        <v>74</v>
      </c>
      <c r="BO499" t="s">
        <v>74</v>
      </c>
      <c r="BP499" t="s">
        <v>74</v>
      </c>
      <c r="BQ499" t="s">
        <v>74</v>
      </c>
      <c r="BR499" t="s">
        <v>99</v>
      </c>
      <c r="BS499" t="s">
        <v>9727</v>
      </c>
      <c r="BT499" t="str">
        <f>HYPERLINK("https%3A%2F%2Fwww.webofscience.com%2Fwos%2Fwoscc%2Ffull-record%2FWOS:001051474200001","View Full Record in Web of Science")</f>
        <v>View Full Record in Web of Science</v>
      </c>
    </row>
    <row r="500" spans="1:72" x14ac:dyDescent="0.15">
      <c r="A500" t="s">
        <v>72</v>
      </c>
      <c r="B500" t="s">
        <v>9728</v>
      </c>
      <c r="C500" t="s">
        <v>74</v>
      </c>
      <c r="D500" t="s">
        <v>74</v>
      </c>
      <c r="E500" t="s">
        <v>74</v>
      </c>
      <c r="F500" t="s">
        <v>9729</v>
      </c>
      <c r="G500" t="s">
        <v>74</v>
      </c>
      <c r="H500" t="s">
        <v>74</v>
      </c>
      <c r="I500" t="s">
        <v>9730</v>
      </c>
      <c r="J500" t="s">
        <v>9731</v>
      </c>
      <c r="K500" t="s">
        <v>74</v>
      </c>
      <c r="L500" t="s">
        <v>74</v>
      </c>
      <c r="M500" t="s">
        <v>78</v>
      </c>
      <c r="N500" t="s">
        <v>338</v>
      </c>
      <c r="O500" t="s">
        <v>74</v>
      </c>
      <c r="P500" t="s">
        <v>74</v>
      </c>
      <c r="Q500" t="s">
        <v>74</v>
      </c>
      <c r="R500" t="s">
        <v>74</v>
      </c>
      <c r="S500" t="s">
        <v>74</v>
      </c>
      <c r="T500" t="s">
        <v>9732</v>
      </c>
      <c r="U500" t="s">
        <v>9733</v>
      </c>
      <c r="V500" t="s">
        <v>9734</v>
      </c>
      <c r="W500" t="s">
        <v>9735</v>
      </c>
      <c r="X500" t="s">
        <v>9736</v>
      </c>
      <c r="Y500" t="s">
        <v>9737</v>
      </c>
      <c r="Z500" t="s">
        <v>9738</v>
      </c>
      <c r="AA500" t="s">
        <v>9739</v>
      </c>
      <c r="AB500" t="s">
        <v>9740</v>
      </c>
      <c r="AC500" t="s">
        <v>74</v>
      </c>
      <c r="AD500" t="s">
        <v>74</v>
      </c>
      <c r="AE500" t="s">
        <v>74</v>
      </c>
      <c r="AF500" t="s">
        <v>74</v>
      </c>
      <c r="AG500">
        <v>23</v>
      </c>
      <c r="AH500">
        <v>0</v>
      </c>
      <c r="AI500">
        <v>0</v>
      </c>
      <c r="AJ500">
        <v>1</v>
      </c>
      <c r="AK500">
        <v>1</v>
      </c>
      <c r="AL500" t="s">
        <v>87</v>
      </c>
      <c r="AM500" t="s">
        <v>88</v>
      </c>
      <c r="AN500" t="s">
        <v>89</v>
      </c>
      <c r="AO500" t="s">
        <v>9741</v>
      </c>
      <c r="AP500" t="s">
        <v>9742</v>
      </c>
      <c r="AQ500" t="s">
        <v>74</v>
      </c>
      <c r="AR500" t="s">
        <v>9743</v>
      </c>
      <c r="AS500" t="s">
        <v>9744</v>
      </c>
      <c r="AT500" t="s">
        <v>9724</v>
      </c>
      <c r="AU500">
        <v>2023</v>
      </c>
      <c r="AV500" t="s">
        <v>74</v>
      </c>
      <c r="AW500" t="s">
        <v>74</v>
      </c>
      <c r="AX500" t="s">
        <v>74</v>
      </c>
      <c r="AY500" t="s">
        <v>74</v>
      </c>
      <c r="AZ500" t="s">
        <v>74</v>
      </c>
      <c r="BA500" t="s">
        <v>74</v>
      </c>
      <c r="BB500" t="s">
        <v>74</v>
      </c>
      <c r="BC500" t="s">
        <v>74</v>
      </c>
      <c r="BD500" t="s">
        <v>74</v>
      </c>
      <c r="BE500" t="s">
        <v>9745</v>
      </c>
      <c r="BF500" t="str">
        <f>HYPERLINK("http://dx.doi.org/10.1111/cid.13266","http://dx.doi.org/10.1111/cid.13266")</f>
        <v>http://dx.doi.org/10.1111/cid.13266</v>
      </c>
      <c r="BG500" t="s">
        <v>74</v>
      </c>
      <c r="BH500" t="s">
        <v>7524</v>
      </c>
      <c r="BI500">
        <v>10</v>
      </c>
      <c r="BJ500" t="s">
        <v>314</v>
      </c>
      <c r="BK500" t="s">
        <v>119</v>
      </c>
      <c r="BL500" t="s">
        <v>314</v>
      </c>
      <c r="BM500" t="s">
        <v>9746</v>
      </c>
      <c r="BN500">
        <v>37605324</v>
      </c>
      <c r="BO500" t="s">
        <v>122</v>
      </c>
      <c r="BP500" t="s">
        <v>74</v>
      </c>
      <c r="BQ500" t="s">
        <v>74</v>
      </c>
      <c r="BR500" t="s">
        <v>99</v>
      </c>
      <c r="BS500" t="s">
        <v>9747</v>
      </c>
      <c r="BT500" t="str">
        <f>HYPERLINK("https%3A%2F%2Fwww.webofscience.com%2Fwos%2Fwoscc%2Ffull-record%2FWOS:001051075300001","View Full Record in Web of Science")</f>
        <v>View Full Record in Web of Science</v>
      </c>
    </row>
    <row r="501" spans="1:72" x14ac:dyDescent="0.15">
      <c r="A501" t="s">
        <v>72</v>
      </c>
      <c r="B501" t="s">
        <v>9748</v>
      </c>
      <c r="C501" t="s">
        <v>74</v>
      </c>
      <c r="D501" t="s">
        <v>74</v>
      </c>
      <c r="E501" t="s">
        <v>74</v>
      </c>
      <c r="F501" t="s">
        <v>9749</v>
      </c>
      <c r="G501" t="s">
        <v>74</v>
      </c>
      <c r="H501" t="s">
        <v>74</v>
      </c>
      <c r="I501" t="s">
        <v>9750</v>
      </c>
      <c r="J501" t="s">
        <v>9751</v>
      </c>
      <c r="K501" t="s">
        <v>74</v>
      </c>
      <c r="L501" t="s">
        <v>74</v>
      </c>
      <c r="M501" t="s">
        <v>78</v>
      </c>
      <c r="N501" t="s">
        <v>338</v>
      </c>
      <c r="O501" t="s">
        <v>74</v>
      </c>
      <c r="P501" t="s">
        <v>74</v>
      </c>
      <c r="Q501" t="s">
        <v>74</v>
      </c>
      <c r="R501" t="s">
        <v>74</v>
      </c>
      <c r="S501" t="s">
        <v>74</v>
      </c>
      <c r="T501" t="s">
        <v>9752</v>
      </c>
      <c r="U501" t="s">
        <v>9753</v>
      </c>
      <c r="V501" t="s">
        <v>9754</v>
      </c>
      <c r="W501" t="s">
        <v>9755</v>
      </c>
      <c r="X501" t="s">
        <v>9756</v>
      </c>
      <c r="Y501" t="s">
        <v>9757</v>
      </c>
      <c r="Z501" t="s">
        <v>9758</v>
      </c>
      <c r="AA501" t="s">
        <v>9759</v>
      </c>
      <c r="AB501" t="s">
        <v>9760</v>
      </c>
      <c r="AC501" t="s">
        <v>74</v>
      </c>
      <c r="AD501" t="s">
        <v>74</v>
      </c>
      <c r="AE501" t="s">
        <v>74</v>
      </c>
      <c r="AF501" t="s">
        <v>74</v>
      </c>
      <c r="AG501">
        <v>37</v>
      </c>
      <c r="AH501">
        <v>0</v>
      </c>
      <c r="AI501">
        <v>0</v>
      </c>
      <c r="AJ501">
        <v>0</v>
      </c>
      <c r="AK501">
        <v>0</v>
      </c>
      <c r="AL501" t="s">
        <v>87</v>
      </c>
      <c r="AM501" t="s">
        <v>88</v>
      </c>
      <c r="AN501" t="s">
        <v>89</v>
      </c>
      <c r="AO501" t="s">
        <v>9761</v>
      </c>
      <c r="AP501" t="s">
        <v>9762</v>
      </c>
      <c r="AQ501" t="s">
        <v>74</v>
      </c>
      <c r="AR501" t="s">
        <v>9763</v>
      </c>
      <c r="AS501" t="s">
        <v>9764</v>
      </c>
      <c r="AT501" t="s">
        <v>9724</v>
      </c>
      <c r="AU501">
        <v>2023</v>
      </c>
      <c r="AV501" t="s">
        <v>74</v>
      </c>
      <c r="AW501" t="s">
        <v>74</v>
      </c>
      <c r="AX501" t="s">
        <v>74</v>
      </c>
      <c r="AY501" t="s">
        <v>74</v>
      </c>
      <c r="AZ501" t="s">
        <v>74</v>
      </c>
      <c r="BA501" t="s">
        <v>74</v>
      </c>
      <c r="BB501" t="s">
        <v>74</v>
      </c>
      <c r="BC501" t="s">
        <v>74</v>
      </c>
      <c r="BD501" t="s">
        <v>74</v>
      </c>
      <c r="BE501" t="s">
        <v>9765</v>
      </c>
      <c r="BF501" t="str">
        <f>HYPERLINK("http://dx.doi.org/10.1111/aogs.14663","http://dx.doi.org/10.1111/aogs.14663")</f>
        <v>http://dx.doi.org/10.1111/aogs.14663</v>
      </c>
      <c r="BG501" t="s">
        <v>74</v>
      </c>
      <c r="BH501" t="s">
        <v>7524</v>
      </c>
      <c r="BI501">
        <v>9</v>
      </c>
      <c r="BJ501" t="s">
        <v>1229</v>
      </c>
      <c r="BK501" t="s">
        <v>119</v>
      </c>
      <c r="BL501" t="s">
        <v>1229</v>
      </c>
      <c r="BM501" t="s">
        <v>9766</v>
      </c>
      <c r="BN501">
        <v>37602751</v>
      </c>
      <c r="BO501" t="s">
        <v>122</v>
      </c>
      <c r="BP501" t="s">
        <v>74</v>
      </c>
      <c r="BQ501" t="s">
        <v>74</v>
      </c>
      <c r="BR501" t="s">
        <v>99</v>
      </c>
      <c r="BS501" t="s">
        <v>9767</v>
      </c>
      <c r="BT501" t="str">
        <f>HYPERLINK("https%3A%2F%2Fwww.webofscience.com%2Fwos%2Fwoscc%2Ffull-record%2FWOS:001050856700001","View Full Record in Web of Science")</f>
        <v>View Full Record in Web of Science</v>
      </c>
    </row>
    <row r="502" spans="1:72" x14ac:dyDescent="0.15">
      <c r="A502" t="s">
        <v>72</v>
      </c>
      <c r="B502" t="s">
        <v>9768</v>
      </c>
      <c r="C502" t="s">
        <v>74</v>
      </c>
      <c r="D502" t="s">
        <v>74</v>
      </c>
      <c r="E502" t="s">
        <v>74</v>
      </c>
      <c r="F502" t="s">
        <v>9769</v>
      </c>
      <c r="G502" t="s">
        <v>74</v>
      </c>
      <c r="H502" t="s">
        <v>74</v>
      </c>
      <c r="I502" t="s">
        <v>9770</v>
      </c>
      <c r="J502" t="s">
        <v>5276</v>
      </c>
      <c r="K502" t="s">
        <v>74</v>
      </c>
      <c r="L502" t="s">
        <v>74</v>
      </c>
      <c r="M502" t="s">
        <v>78</v>
      </c>
      <c r="N502" t="s">
        <v>338</v>
      </c>
      <c r="O502" t="s">
        <v>74</v>
      </c>
      <c r="P502" t="s">
        <v>74</v>
      </c>
      <c r="Q502" t="s">
        <v>74</v>
      </c>
      <c r="R502" t="s">
        <v>74</v>
      </c>
      <c r="S502" t="s">
        <v>74</v>
      </c>
      <c r="T502" t="s">
        <v>9771</v>
      </c>
      <c r="U502" t="s">
        <v>9772</v>
      </c>
      <c r="V502" t="s">
        <v>9773</v>
      </c>
      <c r="W502" t="s">
        <v>9774</v>
      </c>
      <c r="X502" t="s">
        <v>9775</v>
      </c>
      <c r="Y502" t="s">
        <v>9776</v>
      </c>
      <c r="Z502" t="s">
        <v>9777</v>
      </c>
      <c r="AA502" t="s">
        <v>74</v>
      </c>
      <c r="AB502" t="s">
        <v>9778</v>
      </c>
      <c r="AC502" t="s">
        <v>9779</v>
      </c>
      <c r="AD502" t="s">
        <v>9780</v>
      </c>
      <c r="AE502" t="s">
        <v>9781</v>
      </c>
      <c r="AF502" t="s">
        <v>74</v>
      </c>
      <c r="AG502">
        <v>71</v>
      </c>
      <c r="AH502">
        <v>0</v>
      </c>
      <c r="AI502">
        <v>0</v>
      </c>
      <c r="AJ502">
        <v>1</v>
      </c>
      <c r="AK502">
        <v>1</v>
      </c>
      <c r="AL502" t="s">
        <v>87</v>
      </c>
      <c r="AM502" t="s">
        <v>88</v>
      </c>
      <c r="AN502" t="s">
        <v>89</v>
      </c>
      <c r="AO502" t="s">
        <v>5286</v>
      </c>
      <c r="AP502" t="s">
        <v>5287</v>
      </c>
      <c r="AQ502" t="s">
        <v>74</v>
      </c>
      <c r="AR502" t="s">
        <v>5288</v>
      </c>
      <c r="AS502" t="s">
        <v>5289</v>
      </c>
      <c r="AT502" t="s">
        <v>9724</v>
      </c>
      <c r="AU502">
        <v>2023</v>
      </c>
      <c r="AV502" t="s">
        <v>74</v>
      </c>
      <c r="AW502" t="s">
        <v>74</v>
      </c>
      <c r="AX502" t="s">
        <v>74</v>
      </c>
      <c r="AY502" t="s">
        <v>74</v>
      </c>
      <c r="AZ502" t="s">
        <v>74</v>
      </c>
      <c r="BA502" t="s">
        <v>74</v>
      </c>
      <c r="BB502" t="s">
        <v>74</v>
      </c>
      <c r="BC502" t="s">
        <v>74</v>
      </c>
      <c r="BD502" t="s">
        <v>74</v>
      </c>
      <c r="BE502" t="s">
        <v>9782</v>
      </c>
      <c r="BF502" t="str">
        <f>HYPERLINK("http://dx.doi.org/10.1111/1750-3841.16741","http://dx.doi.org/10.1111/1750-3841.16741")</f>
        <v>http://dx.doi.org/10.1111/1750-3841.16741</v>
      </c>
      <c r="BG502" t="s">
        <v>74</v>
      </c>
      <c r="BH502" t="s">
        <v>7524</v>
      </c>
      <c r="BI502">
        <v>11</v>
      </c>
      <c r="BJ502" t="s">
        <v>433</v>
      </c>
      <c r="BK502" t="s">
        <v>119</v>
      </c>
      <c r="BL502" t="s">
        <v>433</v>
      </c>
      <c r="BM502" t="s">
        <v>9783</v>
      </c>
      <c r="BN502">
        <v>37602794</v>
      </c>
      <c r="BO502" t="s">
        <v>74</v>
      </c>
      <c r="BP502" t="s">
        <v>74</v>
      </c>
      <c r="BQ502" t="s">
        <v>74</v>
      </c>
      <c r="BR502" t="s">
        <v>99</v>
      </c>
      <c r="BS502" t="s">
        <v>9784</v>
      </c>
      <c r="BT502" t="str">
        <f>HYPERLINK("https%3A%2F%2Fwww.webofscience.com%2Fwos%2Fwoscc%2Ffull-record%2FWOS:001051394700001","View Full Record in Web of Science")</f>
        <v>View Full Record in Web of Science</v>
      </c>
    </row>
    <row r="503" spans="1:72" x14ac:dyDescent="0.15">
      <c r="A503" t="s">
        <v>72</v>
      </c>
      <c r="B503" t="s">
        <v>9785</v>
      </c>
      <c r="C503" t="s">
        <v>74</v>
      </c>
      <c r="D503" t="s">
        <v>74</v>
      </c>
      <c r="E503" t="s">
        <v>74</v>
      </c>
      <c r="F503" t="s">
        <v>9786</v>
      </c>
      <c r="G503" t="s">
        <v>74</v>
      </c>
      <c r="H503" t="s">
        <v>74</v>
      </c>
      <c r="I503" t="s">
        <v>9787</v>
      </c>
      <c r="J503" t="s">
        <v>9788</v>
      </c>
      <c r="K503" t="s">
        <v>74</v>
      </c>
      <c r="L503" t="s">
        <v>74</v>
      </c>
      <c r="M503" t="s">
        <v>78</v>
      </c>
      <c r="N503" t="s">
        <v>338</v>
      </c>
      <c r="O503" t="s">
        <v>74</v>
      </c>
      <c r="P503" t="s">
        <v>74</v>
      </c>
      <c r="Q503" t="s">
        <v>74</v>
      </c>
      <c r="R503" t="s">
        <v>74</v>
      </c>
      <c r="S503" t="s">
        <v>74</v>
      </c>
      <c r="T503" t="s">
        <v>9789</v>
      </c>
      <c r="U503" t="s">
        <v>9790</v>
      </c>
      <c r="V503" t="s">
        <v>9791</v>
      </c>
      <c r="W503" t="s">
        <v>9792</v>
      </c>
      <c r="X503" t="s">
        <v>9793</v>
      </c>
      <c r="Y503" t="s">
        <v>9794</v>
      </c>
      <c r="Z503" t="s">
        <v>9795</v>
      </c>
      <c r="AA503" t="s">
        <v>74</v>
      </c>
      <c r="AB503" t="s">
        <v>74</v>
      </c>
      <c r="AC503" t="s">
        <v>9796</v>
      </c>
      <c r="AD503" t="s">
        <v>9797</v>
      </c>
      <c r="AE503" t="s">
        <v>9798</v>
      </c>
      <c r="AF503" t="s">
        <v>74</v>
      </c>
      <c r="AG503">
        <v>39</v>
      </c>
      <c r="AH503">
        <v>0</v>
      </c>
      <c r="AI503">
        <v>0</v>
      </c>
      <c r="AJ503">
        <v>13</v>
      </c>
      <c r="AK503">
        <v>13</v>
      </c>
      <c r="AL503" t="s">
        <v>426</v>
      </c>
      <c r="AM503" t="s">
        <v>427</v>
      </c>
      <c r="AN503" t="s">
        <v>428</v>
      </c>
      <c r="AO503" t="s">
        <v>9799</v>
      </c>
      <c r="AP503" t="s">
        <v>9800</v>
      </c>
      <c r="AQ503" t="s">
        <v>74</v>
      </c>
      <c r="AR503" t="s">
        <v>9801</v>
      </c>
      <c r="AS503" t="s">
        <v>9802</v>
      </c>
      <c r="AT503" t="s">
        <v>9724</v>
      </c>
      <c r="AU503">
        <v>2023</v>
      </c>
      <c r="AV503" t="s">
        <v>74</v>
      </c>
      <c r="AW503" t="s">
        <v>74</v>
      </c>
      <c r="AX503" t="s">
        <v>74</v>
      </c>
      <c r="AY503" t="s">
        <v>74</v>
      </c>
      <c r="AZ503" t="s">
        <v>74</v>
      </c>
      <c r="BA503" t="s">
        <v>74</v>
      </c>
      <c r="BB503" t="s">
        <v>74</v>
      </c>
      <c r="BC503" t="s">
        <v>74</v>
      </c>
      <c r="BD503" t="s">
        <v>74</v>
      </c>
      <c r="BE503" t="s">
        <v>9803</v>
      </c>
      <c r="BF503" t="str">
        <f>HYPERLINK("http://dx.doi.org/10.1002/marc.202300318","http://dx.doi.org/10.1002/marc.202300318")</f>
        <v>http://dx.doi.org/10.1002/marc.202300318</v>
      </c>
      <c r="BG503" t="s">
        <v>74</v>
      </c>
      <c r="BH503" t="s">
        <v>7524</v>
      </c>
      <c r="BI503">
        <v>7</v>
      </c>
      <c r="BJ503" t="s">
        <v>1418</v>
      </c>
      <c r="BK503" t="s">
        <v>119</v>
      </c>
      <c r="BL503" t="s">
        <v>1418</v>
      </c>
      <c r="BM503" t="s">
        <v>9804</v>
      </c>
      <c r="BN503">
        <v>37572085</v>
      </c>
      <c r="BO503" t="s">
        <v>74</v>
      </c>
      <c r="BP503" t="s">
        <v>74</v>
      </c>
      <c r="BQ503" t="s">
        <v>74</v>
      </c>
      <c r="BR503" t="s">
        <v>99</v>
      </c>
      <c r="BS503" t="s">
        <v>9805</v>
      </c>
      <c r="BT503" t="str">
        <f>HYPERLINK("https%3A%2F%2Fwww.webofscience.com%2Fwos%2Fwoscc%2Ffull-record%2FWOS:001051650400001","View Full Record in Web of Science")</f>
        <v>View Full Record in Web of Science</v>
      </c>
    </row>
    <row r="504" spans="1:72" x14ac:dyDescent="0.15">
      <c r="A504" t="s">
        <v>72</v>
      </c>
      <c r="B504" t="s">
        <v>9806</v>
      </c>
      <c r="C504" t="s">
        <v>74</v>
      </c>
      <c r="D504" t="s">
        <v>74</v>
      </c>
      <c r="E504" t="s">
        <v>74</v>
      </c>
      <c r="F504" t="s">
        <v>9807</v>
      </c>
      <c r="G504" t="s">
        <v>74</v>
      </c>
      <c r="H504" t="s">
        <v>74</v>
      </c>
      <c r="I504" t="s">
        <v>9808</v>
      </c>
      <c r="J504" t="s">
        <v>9809</v>
      </c>
      <c r="K504" t="s">
        <v>74</v>
      </c>
      <c r="L504" t="s">
        <v>74</v>
      </c>
      <c r="M504" t="s">
        <v>78</v>
      </c>
      <c r="N504" t="s">
        <v>338</v>
      </c>
      <c r="O504" t="s">
        <v>74</v>
      </c>
      <c r="P504" t="s">
        <v>74</v>
      </c>
      <c r="Q504" t="s">
        <v>74</v>
      </c>
      <c r="R504" t="s">
        <v>74</v>
      </c>
      <c r="S504" t="s">
        <v>74</v>
      </c>
      <c r="T504" t="s">
        <v>9810</v>
      </c>
      <c r="U504" t="s">
        <v>74</v>
      </c>
      <c r="V504" t="s">
        <v>9811</v>
      </c>
      <c r="W504" t="s">
        <v>9812</v>
      </c>
      <c r="X504" t="s">
        <v>9813</v>
      </c>
      <c r="Y504" t="s">
        <v>9814</v>
      </c>
      <c r="Z504" t="s">
        <v>9815</v>
      </c>
      <c r="AA504" t="s">
        <v>74</v>
      </c>
      <c r="AB504" t="s">
        <v>74</v>
      </c>
      <c r="AC504" t="s">
        <v>74</v>
      </c>
      <c r="AD504" t="s">
        <v>74</v>
      </c>
      <c r="AE504" t="s">
        <v>74</v>
      </c>
      <c r="AF504" t="s">
        <v>74</v>
      </c>
      <c r="AG504">
        <v>19</v>
      </c>
      <c r="AH504">
        <v>0</v>
      </c>
      <c r="AI504">
        <v>0</v>
      </c>
      <c r="AJ504">
        <v>1</v>
      </c>
      <c r="AK504">
        <v>1</v>
      </c>
      <c r="AL504" t="s">
        <v>87</v>
      </c>
      <c r="AM504" t="s">
        <v>88</v>
      </c>
      <c r="AN504" t="s">
        <v>89</v>
      </c>
      <c r="AO504" t="s">
        <v>9816</v>
      </c>
      <c r="AP504" t="s">
        <v>9817</v>
      </c>
      <c r="AQ504" t="s">
        <v>74</v>
      </c>
      <c r="AR504" t="s">
        <v>9818</v>
      </c>
      <c r="AS504" t="s">
        <v>9819</v>
      </c>
      <c r="AT504" t="s">
        <v>9724</v>
      </c>
      <c r="AU504">
        <v>2023</v>
      </c>
      <c r="AV504" t="s">
        <v>74</v>
      </c>
      <c r="AW504" t="s">
        <v>74</v>
      </c>
      <c r="AX504" t="s">
        <v>74</v>
      </c>
      <c r="AY504" t="s">
        <v>74</v>
      </c>
      <c r="AZ504" t="s">
        <v>74</v>
      </c>
      <c r="BA504" t="s">
        <v>74</v>
      </c>
      <c r="BB504" t="s">
        <v>74</v>
      </c>
      <c r="BC504" t="s">
        <v>74</v>
      </c>
      <c r="BD504" t="s">
        <v>74</v>
      </c>
      <c r="BE504" t="s">
        <v>9820</v>
      </c>
      <c r="BF504" t="str">
        <f>HYPERLINK("http://dx.doi.org/10.1002/sam.11639","http://dx.doi.org/10.1002/sam.11639")</f>
        <v>http://dx.doi.org/10.1002/sam.11639</v>
      </c>
      <c r="BG504" t="s">
        <v>74</v>
      </c>
      <c r="BH504" t="s">
        <v>7524</v>
      </c>
      <c r="BI504">
        <v>9</v>
      </c>
      <c r="BJ504" t="s">
        <v>9821</v>
      </c>
      <c r="BK504" t="s">
        <v>119</v>
      </c>
      <c r="BL504" t="s">
        <v>9822</v>
      </c>
      <c r="BM504" t="s">
        <v>9823</v>
      </c>
      <c r="BN504" t="s">
        <v>74</v>
      </c>
      <c r="BO504" t="s">
        <v>301</v>
      </c>
      <c r="BP504" t="s">
        <v>74</v>
      </c>
      <c r="BQ504" t="s">
        <v>74</v>
      </c>
      <c r="BR504" t="s">
        <v>99</v>
      </c>
      <c r="BS504" t="s">
        <v>9824</v>
      </c>
      <c r="BT504" t="str">
        <f>HYPERLINK("https%3A%2F%2Fwww.webofscience.com%2Fwos%2Fwoscc%2Ffull-record%2FWOS:001052245700001","View Full Record in Web of Science")</f>
        <v>View Full Record in Web of Science</v>
      </c>
    </row>
    <row r="505" spans="1:72" x14ac:dyDescent="0.15">
      <c r="A505" t="s">
        <v>72</v>
      </c>
      <c r="B505" t="s">
        <v>9825</v>
      </c>
      <c r="C505" t="s">
        <v>74</v>
      </c>
      <c r="D505" t="s">
        <v>74</v>
      </c>
      <c r="E505" t="s">
        <v>74</v>
      </c>
      <c r="F505" t="s">
        <v>9826</v>
      </c>
      <c r="G505" t="s">
        <v>74</v>
      </c>
      <c r="H505" t="s">
        <v>74</v>
      </c>
      <c r="I505" t="s">
        <v>9827</v>
      </c>
      <c r="J505" t="s">
        <v>593</v>
      </c>
      <c r="K505" t="s">
        <v>74</v>
      </c>
      <c r="L505" t="s">
        <v>74</v>
      </c>
      <c r="M505" t="s">
        <v>78</v>
      </c>
      <c r="N505" t="s">
        <v>338</v>
      </c>
      <c r="O505" t="s">
        <v>74</v>
      </c>
      <c r="P505" t="s">
        <v>74</v>
      </c>
      <c r="Q505" t="s">
        <v>74</v>
      </c>
      <c r="R505" t="s">
        <v>74</v>
      </c>
      <c r="S505" t="s">
        <v>74</v>
      </c>
      <c r="T505" t="s">
        <v>9828</v>
      </c>
      <c r="U505" t="s">
        <v>9829</v>
      </c>
      <c r="V505" t="s">
        <v>9830</v>
      </c>
      <c r="W505" t="s">
        <v>9831</v>
      </c>
      <c r="X505" t="s">
        <v>9832</v>
      </c>
      <c r="Y505" t="s">
        <v>9833</v>
      </c>
      <c r="Z505" t="s">
        <v>9834</v>
      </c>
      <c r="AA505" t="s">
        <v>74</v>
      </c>
      <c r="AB505" t="s">
        <v>9835</v>
      </c>
      <c r="AC505" t="s">
        <v>9836</v>
      </c>
      <c r="AD505" t="s">
        <v>3742</v>
      </c>
      <c r="AE505" t="s">
        <v>9837</v>
      </c>
      <c r="AF505" t="s">
        <v>74</v>
      </c>
      <c r="AG505">
        <v>39</v>
      </c>
      <c r="AH505">
        <v>0</v>
      </c>
      <c r="AI505">
        <v>0</v>
      </c>
      <c r="AJ505">
        <v>34</v>
      </c>
      <c r="AK505">
        <v>34</v>
      </c>
      <c r="AL505" t="s">
        <v>426</v>
      </c>
      <c r="AM505" t="s">
        <v>427</v>
      </c>
      <c r="AN505" t="s">
        <v>428</v>
      </c>
      <c r="AO505" t="s">
        <v>605</v>
      </c>
      <c r="AP505" t="s">
        <v>606</v>
      </c>
      <c r="AQ505" t="s">
        <v>74</v>
      </c>
      <c r="AR505" t="s">
        <v>593</v>
      </c>
      <c r="AS505" t="s">
        <v>607</v>
      </c>
      <c r="AT505" t="s">
        <v>9724</v>
      </c>
      <c r="AU505">
        <v>2023</v>
      </c>
      <c r="AV505" t="s">
        <v>74</v>
      </c>
      <c r="AW505" t="s">
        <v>74</v>
      </c>
      <c r="AX505" t="s">
        <v>74</v>
      </c>
      <c r="AY505" t="s">
        <v>74</v>
      </c>
      <c r="AZ505" t="s">
        <v>74</v>
      </c>
      <c r="BA505" t="s">
        <v>74</v>
      </c>
      <c r="BB505" t="s">
        <v>74</v>
      </c>
      <c r="BC505" t="s">
        <v>74</v>
      </c>
      <c r="BD505" t="s">
        <v>74</v>
      </c>
      <c r="BE505" t="s">
        <v>9838</v>
      </c>
      <c r="BF505" t="str">
        <f>HYPERLINK("http://dx.doi.org/10.1002/smll.202303113","http://dx.doi.org/10.1002/smll.202303113")</f>
        <v>http://dx.doi.org/10.1002/smll.202303113</v>
      </c>
      <c r="BG505" t="s">
        <v>74</v>
      </c>
      <c r="BH505" t="s">
        <v>7524</v>
      </c>
      <c r="BI505">
        <v>12</v>
      </c>
      <c r="BJ505" t="s">
        <v>609</v>
      </c>
      <c r="BK505" t="s">
        <v>119</v>
      </c>
      <c r="BL505" t="s">
        <v>610</v>
      </c>
      <c r="BM505" t="s">
        <v>9839</v>
      </c>
      <c r="BN505">
        <v>37605334</v>
      </c>
      <c r="BO505" t="s">
        <v>74</v>
      </c>
      <c r="BP505" t="s">
        <v>74</v>
      </c>
      <c r="BQ505" t="s">
        <v>74</v>
      </c>
      <c r="BR505" t="s">
        <v>99</v>
      </c>
      <c r="BS505" t="s">
        <v>9840</v>
      </c>
      <c r="BT505" t="str">
        <f>HYPERLINK("https%3A%2F%2Fwww.webofscience.com%2Fwos%2Fwoscc%2Ffull-record%2FWOS:001051075800001","View Full Record in Web of Science")</f>
        <v>View Full Record in Web of Science</v>
      </c>
    </row>
    <row r="506" spans="1:72" x14ac:dyDescent="0.15">
      <c r="A506" t="s">
        <v>72</v>
      </c>
      <c r="B506" t="s">
        <v>9841</v>
      </c>
      <c r="C506" t="s">
        <v>74</v>
      </c>
      <c r="D506" t="s">
        <v>74</v>
      </c>
      <c r="E506" t="s">
        <v>74</v>
      </c>
      <c r="F506" t="s">
        <v>9842</v>
      </c>
      <c r="G506" t="s">
        <v>74</v>
      </c>
      <c r="H506" t="s">
        <v>74</v>
      </c>
      <c r="I506" t="s">
        <v>9843</v>
      </c>
      <c r="J506" t="s">
        <v>4445</v>
      </c>
      <c r="K506" t="s">
        <v>74</v>
      </c>
      <c r="L506" t="s">
        <v>74</v>
      </c>
      <c r="M506" t="s">
        <v>78</v>
      </c>
      <c r="N506" t="s">
        <v>338</v>
      </c>
      <c r="O506" t="s">
        <v>74</v>
      </c>
      <c r="P506" t="s">
        <v>74</v>
      </c>
      <c r="Q506" t="s">
        <v>74</v>
      </c>
      <c r="R506" t="s">
        <v>74</v>
      </c>
      <c r="S506" t="s">
        <v>74</v>
      </c>
      <c r="T506" t="s">
        <v>9844</v>
      </c>
      <c r="U506" t="s">
        <v>9845</v>
      </c>
      <c r="V506" t="s">
        <v>9846</v>
      </c>
      <c r="W506" t="s">
        <v>9847</v>
      </c>
      <c r="X506" t="s">
        <v>9848</v>
      </c>
      <c r="Y506" t="s">
        <v>9849</v>
      </c>
      <c r="Z506" t="s">
        <v>9850</v>
      </c>
      <c r="AA506" t="s">
        <v>74</v>
      </c>
      <c r="AB506" t="s">
        <v>9851</v>
      </c>
      <c r="AC506" t="s">
        <v>9852</v>
      </c>
      <c r="AD506" t="s">
        <v>9853</v>
      </c>
      <c r="AE506" t="s">
        <v>9854</v>
      </c>
      <c r="AF506" t="s">
        <v>74</v>
      </c>
      <c r="AG506">
        <v>57</v>
      </c>
      <c r="AH506">
        <v>0</v>
      </c>
      <c r="AI506">
        <v>0</v>
      </c>
      <c r="AJ506">
        <v>1</v>
      </c>
      <c r="AK506">
        <v>1</v>
      </c>
      <c r="AL506" t="s">
        <v>426</v>
      </c>
      <c r="AM506" t="s">
        <v>427</v>
      </c>
      <c r="AN506" t="s">
        <v>428</v>
      </c>
      <c r="AO506" t="s">
        <v>4455</v>
      </c>
      <c r="AP506" t="s">
        <v>4456</v>
      </c>
      <c r="AQ506" t="s">
        <v>74</v>
      </c>
      <c r="AR506" t="s">
        <v>4457</v>
      </c>
      <c r="AS506" t="s">
        <v>4458</v>
      </c>
      <c r="AT506" t="s">
        <v>9724</v>
      </c>
      <c r="AU506">
        <v>2023</v>
      </c>
      <c r="AV506" t="s">
        <v>74</v>
      </c>
      <c r="AW506" t="s">
        <v>74</v>
      </c>
      <c r="AX506" t="s">
        <v>74</v>
      </c>
      <c r="AY506" t="s">
        <v>74</v>
      </c>
      <c r="AZ506" t="s">
        <v>74</v>
      </c>
      <c r="BA506" t="s">
        <v>74</v>
      </c>
      <c r="BB506" t="s">
        <v>74</v>
      </c>
      <c r="BC506" t="s">
        <v>74</v>
      </c>
      <c r="BD506" t="s">
        <v>74</v>
      </c>
      <c r="BE506" t="s">
        <v>9855</v>
      </c>
      <c r="BF506" t="str">
        <f>HYPERLINK("http://dx.doi.org/10.1002/ejic.202300392","http://dx.doi.org/10.1002/ejic.202300392")</f>
        <v>http://dx.doi.org/10.1002/ejic.202300392</v>
      </c>
      <c r="BG506" t="s">
        <v>74</v>
      </c>
      <c r="BH506" t="s">
        <v>7524</v>
      </c>
      <c r="BI506">
        <v>12</v>
      </c>
      <c r="BJ506" t="s">
        <v>4460</v>
      </c>
      <c r="BK506" t="s">
        <v>119</v>
      </c>
      <c r="BL506" t="s">
        <v>524</v>
      </c>
      <c r="BM506" t="s">
        <v>9856</v>
      </c>
      <c r="BN506" t="s">
        <v>74</v>
      </c>
      <c r="BO506" t="s">
        <v>74</v>
      </c>
      <c r="BP506" t="s">
        <v>74</v>
      </c>
      <c r="BQ506" t="s">
        <v>74</v>
      </c>
      <c r="BR506" t="s">
        <v>99</v>
      </c>
      <c r="BS506" t="s">
        <v>9857</v>
      </c>
      <c r="BT506" t="str">
        <f>HYPERLINK("https%3A%2F%2Fwww.webofscience.com%2Fwos%2Fwoscc%2Ffull-record%2FWOS:001050941800001","View Full Record in Web of Science")</f>
        <v>View Full Record in Web of Science</v>
      </c>
    </row>
    <row r="507" spans="1:72" x14ac:dyDescent="0.15">
      <c r="A507" t="s">
        <v>72</v>
      </c>
      <c r="B507" t="s">
        <v>9858</v>
      </c>
      <c r="C507" t="s">
        <v>74</v>
      </c>
      <c r="D507" t="s">
        <v>74</v>
      </c>
      <c r="E507" t="s">
        <v>74</v>
      </c>
      <c r="F507" t="s">
        <v>9859</v>
      </c>
      <c r="G507" t="s">
        <v>74</v>
      </c>
      <c r="H507" t="s">
        <v>74</v>
      </c>
      <c r="I507" t="s">
        <v>9860</v>
      </c>
      <c r="J507" t="s">
        <v>9345</v>
      </c>
      <c r="K507" t="s">
        <v>74</v>
      </c>
      <c r="L507" t="s">
        <v>74</v>
      </c>
      <c r="M507" t="s">
        <v>78</v>
      </c>
      <c r="N507" t="s">
        <v>338</v>
      </c>
      <c r="O507" t="s">
        <v>74</v>
      </c>
      <c r="P507" t="s">
        <v>74</v>
      </c>
      <c r="Q507" t="s">
        <v>74</v>
      </c>
      <c r="R507" t="s">
        <v>74</v>
      </c>
      <c r="S507" t="s">
        <v>74</v>
      </c>
      <c r="T507" t="s">
        <v>9861</v>
      </c>
      <c r="U507" t="s">
        <v>9862</v>
      </c>
      <c r="V507" t="s">
        <v>9863</v>
      </c>
      <c r="W507" t="s">
        <v>9864</v>
      </c>
      <c r="X507" t="s">
        <v>9865</v>
      </c>
      <c r="Y507" t="s">
        <v>9866</v>
      </c>
      <c r="Z507" t="s">
        <v>9867</v>
      </c>
      <c r="AA507" t="s">
        <v>74</v>
      </c>
      <c r="AB507" t="s">
        <v>74</v>
      </c>
      <c r="AC507" t="s">
        <v>9868</v>
      </c>
      <c r="AD507" t="s">
        <v>9868</v>
      </c>
      <c r="AE507" t="s">
        <v>9869</v>
      </c>
      <c r="AF507" t="s">
        <v>74</v>
      </c>
      <c r="AG507">
        <v>34</v>
      </c>
      <c r="AH507">
        <v>0</v>
      </c>
      <c r="AI507">
        <v>0</v>
      </c>
      <c r="AJ507">
        <v>0</v>
      </c>
      <c r="AK507">
        <v>0</v>
      </c>
      <c r="AL507" t="s">
        <v>87</v>
      </c>
      <c r="AM507" t="s">
        <v>88</v>
      </c>
      <c r="AN507" t="s">
        <v>89</v>
      </c>
      <c r="AO507" t="s">
        <v>9356</v>
      </c>
      <c r="AP507" t="s">
        <v>9357</v>
      </c>
      <c r="AQ507" t="s">
        <v>74</v>
      </c>
      <c r="AR507" t="s">
        <v>9358</v>
      </c>
      <c r="AS507" t="s">
        <v>9359</v>
      </c>
      <c r="AT507" t="s">
        <v>9724</v>
      </c>
      <c r="AU507">
        <v>2023</v>
      </c>
      <c r="AV507" t="s">
        <v>74</v>
      </c>
      <c r="AW507" t="s">
        <v>74</v>
      </c>
      <c r="AX507" t="s">
        <v>74</v>
      </c>
      <c r="AY507" t="s">
        <v>74</v>
      </c>
      <c r="AZ507" t="s">
        <v>74</v>
      </c>
      <c r="BA507" t="s">
        <v>74</v>
      </c>
      <c r="BB507" t="s">
        <v>74</v>
      </c>
      <c r="BC507" t="s">
        <v>74</v>
      </c>
      <c r="BD507" t="s">
        <v>74</v>
      </c>
      <c r="BE507" t="s">
        <v>9870</v>
      </c>
      <c r="BF507" t="str">
        <f>HYPERLINK("http://dx.doi.org/10.1111/exd.14903","http://dx.doi.org/10.1111/exd.14903")</f>
        <v>http://dx.doi.org/10.1111/exd.14903</v>
      </c>
      <c r="BG507" t="s">
        <v>74</v>
      </c>
      <c r="BH507" t="s">
        <v>7524</v>
      </c>
      <c r="BI507">
        <v>11</v>
      </c>
      <c r="BJ507" t="s">
        <v>2541</v>
      </c>
      <c r="BK507" t="s">
        <v>119</v>
      </c>
      <c r="BL507" t="s">
        <v>2541</v>
      </c>
      <c r="BM507" t="s">
        <v>9871</v>
      </c>
      <c r="BN507">
        <v>37602923</v>
      </c>
      <c r="BO507" t="s">
        <v>122</v>
      </c>
      <c r="BP507" t="s">
        <v>74</v>
      </c>
      <c r="BQ507" t="s">
        <v>74</v>
      </c>
      <c r="BR507" t="s">
        <v>99</v>
      </c>
      <c r="BS507" t="s">
        <v>9872</v>
      </c>
      <c r="BT507" t="str">
        <f>HYPERLINK("https%3A%2F%2Fwww.webofscience.com%2Fwos%2Fwoscc%2Ffull-record%2FWOS:001052239700001","View Full Record in Web of Science")</f>
        <v>View Full Record in Web of Science</v>
      </c>
    </row>
    <row r="508" spans="1:72" x14ac:dyDescent="0.15">
      <c r="A508" t="s">
        <v>72</v>
      </c>
      <c r="B508" t="s">
        <v>9873</v>
      </c>
      <c r="C508" t="s">
        <v>74</v>
      </c>
      <c r="D508" t="s">
        <v>74</v>
      </c>
      <c r="E508" t="s">
        <v>74</v>
      </c>
      <c r="F508" t="s">
        <v>9874</v>
      </c>
      <c r="G508" t="s">
        <v>74</v>
      </c>
      <c r="H508" t="s">
        <v>74</v>
      </c>
      <c r="I508" t="s">
        <v>9875</v>
      </c>
      <c r="J508" t="s">
        <v>9876</v>
      </c>
      <c r="K508" t="s">
        <v>74</v>
      </c>
      <c r="L508" t="s">
        <v>74</v>
      </c>
      <c r="M508" t="s">
        <v>78</v>
      </c>
      <c r="N508" t="s">
        <v>338</v>
      </c>
      <c r="O508" t="s">
        <v>74</v>
      </c>
      <c r="P508" t="s">
        <v>74</v>
      </c>
      <c r="Q508" t="s">
        <v>74</v>
      </c>
      <c r="R508" t="s">
        <v>74</v>
      </c>
      <c r="S508" t="s">
        <v>74</v>
      </c>
      <c r="T508" t="s">
        <v>9877</v>
      </c>
      <c r="U508" t="s">
        <v>74</v>
      </c>
      <c r="V508" t="s">
        <v>9878</v>
      </c>
      <c r="W508" t="s">
        <v>9879</v>
      </c>
      <c r="X508" t="s">
        <v>9880</v>
      </c>
      <c r="Y508" t="s">
        <v>9881</v>
      </c>
      <c r="Z508" t="s">
        <v>9882</v>
      </c>
      <c r="AA508" t="s">
        <v>74</v>
      </c>
      <c r="AB508" t="s">
        <v>74</v>
      </c>
      <c r="AC508" t="s">
        <v>74</v>
      </c>
      <c r="AD508" t="s">
        <v>74</v>
      </c>
      <c r="AE508" t="s">
        <v>74</v>
      </c>
      <c r="AF508" t="s">
        <v>74</v>
      </c>
      <c r="AG508">
        <v>29</v>
      </c>
      <c r="AH508">
        <v>0</v>
      </c>
      <c r="AI508">
        <v>0</v>
      </c>
      <c r="AJ508">
        <v>1</v>
      </c>
      <c r="AK508">
        <v>1</v>
      </c>
      <c r="AL508" t="s">
        <v>87</v>
      </c>
      <c r="AM508" t="s">
        <v>88</v>
      </c>
      <c r="AN508" t="s">
        <v>89</v>
      </c>
      <c r="AO508" t="s">
        <v>9883</v>
      </c>
      <c r="AP508" t="s">
        <v>9884</v>
      </c>
      <c r="AQ508" t="s">
        <v>74</v>
      </c>
      <c r="AR508" t="s">
        <v>9885</v>
      </c>
      <c r="AS508" t="s">
        <v>9886</v>
      </c>
      <c r="AT508" t="s">
        <v>9724</v>
      </c>
      <c r="AU508">
        <v>2023</v>
      </c>
      <c r="AV508" t="s">
        <v>74</v>
      </c>
      <c r="AW508" t="s">
        <v>74</v>
      </c>
      <c r="AX508" t="s">
        <v>74</v>
      </c>
      <c r="AY508" t="s">
        <v>74</v>
      </c>
      <c r="AZ508" t="s">
        <v>74</v>
      </c>
      <c r="BA508" t="s">
        <v>74</v>
      </c>
      <c r="BB508" t="s">
        <v>74</v>
      </c>
      <c r="BC508" t="s">
        <v>74</v>
      </c>
      <c r="BD508" t="s">
        <v>74</v>
      </c>
      <c r="BE508" t="s">
        <v>9887</v>
      </c>
      <c r="BF508" t="str">
        <f>HYPERLINK("http://dx.doi.org/10.1002/jocb.604","http://dx.doi.org/10.1002/jocb.604")</f>
        <v>http://dx.doi.org/10.1002/jocb.604</v>
      </c>
      <c r="BG508" t="s">
        <v>74</v>
      </c>
      <c r="BH508" t="s">
        <v>7524</v>
      </c>
      <c r="BI508">
        <v>16</v>
      </c>
      <c r="BJ508" t="s">
        <v>9888</v>
      </c>
      <c r="BK508" t="s">
        <v>546</v>
      </c>
      <c r="BL508" t="s">
        <v>1210</v>
      </c>
      <c r="BM508" t="s">
        <v>9889</v>
      </c>
      <c r="BN508" t="s">
        <v>74</v>
      </c>
      <c r="BO508" t="s">
        <v>122</v>
      </c>
      <c r="BP508" t="s">
        <v>74</v>
      </c>
      <c r="BQ508" t="s">
        <v>74</v>
      </c>
      <c r="BR508" t="s">
        <v>99</v>
      </c>
      <c r="BS508" t="s">
        <v>9890</v>
      </c>
      <c r="BT508" t="str">
        <f>HYPERLINK("https%3A%2F%2Fwww.webofscience.com%2Fwos%2Fwoscc%2Ffull-record%2FWOS:001050835000001","View Full Record in Web of Science")</f>
        <v>View Full Record in Web of Science</v>
      </c>
    </row>
    <row r="509" spans="1:72" x14ac:dyDescent="0.15">
      <c r="A509" t="s">
        <v>72</v>
      </c>
      <c r="B509" t="s">
        <v>9891</v>
      </c>
      <c r="C509" t="s">
        <v>74</v>
      </c>
      <c r="D509" t="s">
        <v>74</v>
      </c>
      <c r="E509" t="s">
        <v>74</v>
      </c>
      <c r="F509" t="s">
        <v>9892</v>
      </c>
      <c r="G509" t="s">
        <v>74</v>
      </c>
      <c r="H509" t="s">
        <v>74</v>
      </c>
      <c r="I509" t="s">
        <v>9893</v>
      </c>
      <c r="J509" t="s">
        <v>6560</v>
      </c>
      <c r="K509" t="s">
        <v>74</v>
      </c>
      <c r="L509" t="s">
        <v>74</v>
      </c>
      <c r="M509" t="s">
        <v>78</v>
      </c>
      <c r="N509" t="s">
        <v>79</v>
      </c>
      <c r="O509" t="s">
        <v>74</v>
      </c>
      <c r="P509" t="s">
        <v>74</v>
      </c>
      <c r="Q509" t="s">
        <v>74</v>
      </c>
      <c r="R509" t="s">
        <v>74</v>
      </c>
      <c r="S509" t="s">
        <v>74</v>
      </c>
      <c r="T509" t="s">
        <v>74</v>
      </c>
      <c r="U509" t="s">
        <v>9894</v>
      </c>
      <c r="V509" t="s">
        <v>9895</v>
      </c>
      <c r="W509" t="s">
        <v>9896</v>
      </c>
      <c r="X509" t="s">
        <v>9897</v>
      </c>
      <c r="Y509" t="s">
        <v>9898</v>
      </c>
      <c r="Z509" t="s">
        <v>9899</v>
      </c>
      <c r="AA509" t="s">
        <v>9900</v>
      </c>
      <c r="AB509" t="s">
        <v>9901</v>
      </c>
      <c r="AC509" t="s">
        <v>74</v>
      </c>
      <c r="AD509" t="s">
        <v>74</v>
      </c>
      <c r="AE509" t="s">
        <v>74</v>
      </c>
      <c r="AF509" t="s">
        <v>74</v>
      </c>
      <c r="AG509">
        <v>37</v>
      </c>
      <c r="AH509">
        <v>0</v>
      </c>
      <c r="AI509">
        <v>0</v>
      </c>
      <c r="AJ509">
        <v>0</v>
      </c>
      <c r="AK509">
        <v>0</v>
      </c>
      <c r="AL509" t="s">
        <v>6567</v>
      </c>
      <c r="AM509" t="s">
        <v>6568</v>
      </c>
      <c r="AN509" t="s">
        <v>6569</v>
      </c>
      <c r="AO509" t="s">
        <v>6570</v>
      </c>
      <c r="AP509" t="s">
        <v>6571</v>
      </c>
      <c r="AQ509" t="s">
        <v>74</v>
      </c>
      <c r="AR509" t="s">
        <v>6572</v>
      </c>
      <c r="AS509" t="s">
        <v>6573</v>
      </c>
      <c r="AT509" t="s">
        <v>6725</v>
      </c>
      <c r="AU509">
        <v>2023</v>
      </c>
      <c r="AV509">
        <v>18</v>
      </c>
      <c r="AW509">
        <v>9</v>
      </c>
      <c r="AX509" t="s">
        <v>74</v>
      </c>
      <c r="AY509" t="s">
        <v>74</v>
      </c>
      <c r="AZ509" t="s">
        <v>74</v>
      </c>
      <c r="BA509" t="s">
        <v>74</v>
      </c>
      <c r="BB509">
        <v>787</v>
      </c>
      <c r="BC509">
        <v>794</v>
      </c>
      <c r="BD509" t="s">
        <v>74</v>
      </c>
      <c r="BE509" t="s">
        <v>9902</v>
      </c>
      <c r="BF509" t="str">
        <f>HYPERLINK("http://dx.doi.org/10.1002/jhm.13179","http://dx.doi.org/10.1002/jhm.13179")</f>
        <v>http://dx.doi.org/10.1002/jhm.13179</v>
      </c>
      <c r="BG509" t="s">
        <v>74</v>
      </c>
      <c r="BH509" t="s">
        <v>7524</v>
      </c>
      <c r="BI509">
        <v>8</v>
      </c>
      <c r="BJ509" t="s">
        <v>4689</v>
      </c>
      <c r="BK509" t="s">
        <v>119</v>
      </c>
      <c r="BL509" t="s">
        <v>4690</v>
      </c>
      <c r="BM509" t="s">
        <v>9903</v>
      </c>
      <c r="BN509">
        <v>37602532</v>
      </c>
      <c r="BO509" t="s">
        <v>122</v>
      </c>
      <c r="BP509" t="s">
        <v>74</v>
      </c>
      <c r="BQ509" t="s">
        <v>74</v>
      </c>
      <c r="BR509" t="s">
        <v>99</v>
      </c>
      <c r="BS509" t="s">
        <v>9904</v>
      </c>
      <c r="BT509" t="str">
        <f>HYPERLINK("https%3A%2F%2Fwww.webofscience.com%2Fwos%2Fwoscc%2Ffull-record%2FWOS:001050812100001","View Full Record in Web of Science")</f>
        <v>View Full Record in Web of Science</v>
      </c>
    </row>
    <row r="510" spans="1:72" x14ac:dyDescent="0.15">
      <c r="A510" t="s">
        <v>72</v>
      </c>
      <c r="B510" t="s">
        <v>9905</v>
      </c>
      <c r="C510" t="s">
        <v>74</v>
      </c>
      <c r="D510" t="s">
        <v>74</v>
      </c>
      <c r="E510" t="s">
        <v>74</v>
      </c>
      <c r="F510" t="s">
        <v>9906</v>
      </c>
      <c r="G510" t="s">
        <v>74</v>
      </c>
      <c r="H510" t="s">
        <v>74</v>
      </c>
      <c r="I510" t="s">
        <v>9907</v>
      </c>
      <c r="J510" t="s">
        <v>2275</v>
      </c>
      <c r="K510" t="s">
        <v>74</v>
      </c>
      <c r="L510" t="s">
        <v>74</v>
      </c>
      <c r="M510" t="s">
        <v>78</v>
      </c>
      <c r="N510" t="s">
        <v>79</v>
      </c>
      <c r="O510" t="s">
        <v>74</v>
      </c>
      <c r="P510" t="s">
        <v>74</v>
      </c>
      <c r="Q510" t="s">
        <v>74</v>
      </c>
      <c r="R510" t="s">
        <v>74</v>
      </c>
      <c r="S510" t="s">
        <v>74</v>
      </c>
      <c r="T510" t="s">
        <v>9908</v>
      </c>
      <c r="U510" t="s">
        <v>9909</v>
      </c>
      <c r="V510" t="s">
        <v>9910</v>
      </c>
      <c r="W510" t="s">
        <v>9911</v>
      </c>
      <c r="X510" t="s">
        <v>9912</v>
      </c>
      <c r="Y510" t="s">
        <v>9913</v>
      </c>
      <c r="Z510" t="s">
        <v>9914</v>
      </c>
      <c r="AA510" t="s">
        <v>74</v>
      </c>
      <c r="AB510" t="s">
        <v>9915</v>
      </c>
      <c r="AC510" t="s">
        <v>74</v>
      </c>
      <c r="AD510" t="s">
        <v>74</v>
      </c>
      <c r="AE510" t="s">
        <v>74</v>
      </c>
      <c r="AF510" t="s">
        <v>74</v>
      </c>
      <c r="AG510">
        <v>43</v>
      </c>
      <c r="AH510">
        <v>0</v>
      </c>
      <c r="AI510">
        <v>0</v>
      </c>
      <c r="AJ510">
        <v>2</v>
      </c>
      <c r="AK510">
        <v>2</v>
      </c>
      <c r="AL510" t="s">
        <v>87</v>
      </c>
      <c r="AM510" t="s">
        <v>88</v>
      </c>
      <c r="AN510" t="s">
        <v>89</v>
      </c>
      <c r="AO510" t="s">
        <v>2284</v>
      </c>
      <c r="AP510" t="s">
        <v>2285</v>
      </c>
      <c r="AQ510" t="s">
        <v>74</v>
      </c>
      <c r="AR510" t="s">
        <v>2286</v>
      </c>
      <c r="AS510" t="s">
        <v>2287</v>
      </c>
      <c r="AT510" t="s">
        <v>6725</v>
      </c>
      <c r="AU510">
        <v>2023</v>
      </c>
      <c r="AV510">
        <v>56</v>
      </c>
      <c r="AW510">
        <v>3</v>
      </c>
      <c r="AX510" t="s">
        <v>74</v>
      </c>
      <c r="AY510" t="s">
        <v>74</v>
      </c>
      <c r="AZ510" t="s">
        <v>74</v>
      </c>
      <c r="BA510" t="s">
        <v>74</v>
      </c>
      <c r="BB510">
        <v>580</v>
      </c>
      <c r="BC510">
        <v>599</v>
      </c>
      <c r="BD510" t="s">
        <v>74</v>
      </c>
      <c r="BE510" t="s">
        <v>9916</v>
      </c>
      <c r="BF510" t="str">
        <f>HYPERLINK("http://dx.doi.org/10.1111/flan.12716","http://dx.doi.org/10.1111/flan.12716")</f>
        <v>http://dx.doi.org/10.1111/flan.12716</v>
      </c>
      <c r="BG510" t="s">
        <v>74</v>
      </c>
      <c r="BH510" t="s">
        <v>7524</v>
      </c>
      <c r="BI510">
        <v>20</v>
      </c>
      <c r="BJ510" t="s">
        <v>2289</v>
      </c>
      <c r="BK510" t="s">
        <v>546</v>
      </c>
      <c r="BL510" t="s">
        <v>2289</v>
      </c>
      <c r="BM510" t="s">
        <v>9917</v>
      </c>
      <c r="BN510" t="s">
        <v>74</v>
      </c>
      <c r="BO510" t="s">
        <v>74</v>
      </c>
      <c r="BP510" t="s">
        <v>74</v>
      </c>
      <c r="BQ510" t="s">
        <v>74</v>
      </c>
      <c r="BR510" t="s">
        <v>99</v>
      </c>
      <c r="BS510" t="s">
        <v>9918</v>
      </c>
      <c r="BT510" t="str">
        <f>HYPERLINK("https%3A%2F%2Fwww.webofscience.com%2Fwos%2Fwoscc%2Ffull-record%2FWOS:001051396000001","View Full Record in Web of Science")</f>
        <v>View Full Record in Web of Science</v>
      </c>
    </row>
    <row r="511" spans="1:72" x14ac:dyDescent="0.15">
      <c r="A511" t="s">
        <v>72</v>
      </c>
      <c r="B511" t="s">
        <v>9919</v>
      </c>
      <c r="C511" t="s">
        <v>74</v>
      </c>
      <c r="D511" t="s">
        <v>74</v>
      </c>
      <c r="E511" t="s">
        <v>74</v>
      </c>
      <c r="F511" t="s">
        <v>9920</v>
      </c>
      <c r="G511" t="s">
        <v>74</v>
      </c>
      <c r="H511" t="s">
        <v>74</v>
      </c>
      <c r="I511" t="s">
        <v>9921</v>
      </c>
      <c r="J511" t="s">
        <v>4302</v>
      </c>
      <c r="K511" t="s">
        <v>74</v>
      </c>
      <c r="L511" t="s">
        <v>74</v>
      </c>
      <c r="M511" t="s">
        <v>78</v>
      </c>
      <c r="N511" t="s">
        <v>1297</v>
      </c>
      <c r="O511" t="s">
        <v>74</v>
      </c>
      <c r="P511" t="s">
        <v>74</v>
      </c>
      <c r="Q511" t="s">
        <v>74</v>
      </c>
      <c r="R511" t="s">
        <v>74</v>
      </c>
      <c r="S511" t="s">
        <v>74</v>
      </c>
      <c r="T511" t="s">
        <v>9922</v>
      </c>
      <c r="U511" t="s">
        <v>9923</v>
      </c>
      <c r="V511" t="s">
        <v>9924</v>
      </c>
      <c r="W511" t="s">
        <v>9925</v>
      </c>
      <c r="X511" t="s">
        <v>9926</v>
      </c>
      <c r="Y511" t="s">
        <v>9927</v>
      </c>
      <c r="Z511" t="s">
        <v>9928</v>
      </c>
      <c r="AA511" t="s">
        <v>74</v>
      </c>
      <c r="AB511" t="s">
        <v>74</v>
      </c>
      <c r="AC511" t="s">
        <v>74</v>
      </c>
      <c r="AD511" t="s">
        <v>74</v>
      </c>
      <c r="AE511" t="s">
        <v>74</v>
      </c>
      <c r="AF511" t="s">
        <v>74</v>
      </c>
      <c r="AG511">
        <v>4</v>
      </c>
      <c r="AH511">
        <v>0</v>
      </c>
      <c r="AI511">
        <v>0</v>
      </c>
      <c r="AJ511">
        <v>0</v>
      </c>
      <c r="AK511">
        <v>0</v>
      </c>
      <c r="AL511" t="s">
        <v>87</v>
      </c>
      <c r="AM511" t="s">
        <v>88</v>
      </c>
      <c r="AN511" t="s">
        <v>89</v>
      </c>
      <c r="AO511" t="s">
        <v>4313</v>
      </c>
      <c r="AP511" t="s">
        <v>4314</v>
      </c>
      <c r="AQ511" t="s">
        <v>74</v>
      </c>
      <c r="AR511" t="s">
        <v>4315</v>
      </c>
      <c r="AS511" t="s">
        <v>4316</v>
      </c>
      <c r="AT511" t="s">
        <v>9724</v>
      </c>
      <c r="AU511">
        <v>2023</v>
      </c>
      <c r="AV511" t="s">
        <v>74</v>
      </c>
      <c r="AW511" t="s">
        <v>74</v>
      </c>
      <c r="AX511" t="s">
        <v>74</v>
      </c>
      <c r="AY511" t="s">
        <v>74</v>
      </c>
      <c r="AZ511" t="s">
        <v>74</v>
      </c>
      <c r="BA511" t="s">
        <v>74</v>
      </c>
      <c r="BB511" t="s">
        <v>74</v>
      </c>
      <c r="BC511" t="s">
        <v>74</v>
      </c>
      <c r="BD511" t="s">
        <v>74</v>
      </c>
      <c r="BE511" t="s">
        <v>9929</v>
      </c>
      <c r="BF511" t="str">
        <f>HYPERLINK("http://dx.doi.org/10.1111/bjh.19044","http://dx.doi.org/10.1111/bjh.19044")</f>
        <v>http://dx.doi.org/10.1111/bjh.19044</v>
      </c>
      <c r="BG511" t="s">
        <v>74</v>
      </c>
      <c r="BH511" t="s">
        <v>7524</v>
      </c>
      <c r="BI511">
        <v>2</v>
      </c>
      <c r="BJ511" t="s">
        <v>1625</v>
      </c>
      <c r="BK511" t="s">
        <v>119</v>
      </c>
      <c r="BL511" t="s">
        <v>1625</v>
      </c>
      <c r="BM511" t="s">
        <v>9930</v>
      </c>
      <c r="BN511">
        <v>37605456</v>
      </c>
      <c r="BO511" t="s">
        <v>301</v>
      </c>
      <c r="BP511" t="s">
        <v>74</v>
      </c>
      <c r="BQ511" t="s">
        <v>74</v>
      </c>
      <c r="BR511" t="s">
        <v>99</v>
      </c>
      <c r="BS511" t="s">
        <v>9931</v>
      </c>
      <c r="BT511" t="str">
        <f>HYPERLINK("https%3A%2F%2Fwww.webofscience.com%2Fwos%2Fwoscc%2Ffull-record%2FWOS:001052419200001","View Full Record in Web of Science")</f>
        <v>View Full Record in Web of Science</v>
      </c>
    </row>
    <row r="512" spans="1:72" x14ac:dyDescent="0.15">
      <c r="A512" t="s">
        <v>72</v>
      </c>
      <c r="B512" t="s">
        <v>9932</v>
      </c>
      <c r="C512" t="s">
        <v>74</v>
      </c>
      <c r="D512" t="s">
        <v>74</v>
      </c>
      <c r="E512" t="s">
        <v>74</v>
      </c>
      <c r="F512" t="s">
        <v>9933</v>
      </c>
      <c r="G512" t="s">
        <v>74</v>
      </c>
      <c r="H512" t="s">
        <v>74</v>
      </c>
      <c r="I512" t="s">
        <v>9934</v>
      </c>
      <c r="J512" t="s">
        <v>8591</v>
      </c>
      <c r="K512" t="s">
        <v>74</v>
      </c>
      <c r="L512" t="s">
        <v>74</v>
      </c>
      <c r="M512" t="s">
        <v>78</v>
      </c>
      <c r="N512" t="s">
        <v>338</v>
      </c>
      <c r="O512" t="s">
        <v>74</v>
      </c>
      <c r="P512" t="s">
        <v>74</v>
      </c>
      <c r="Q512" t="s">
        <v>74</v>
      </c>
      <c r="R512" t="s">
        <v>74</v>
      </c>
      <c r="S512" t="s">
        <v>74</v>
      </c>
      <c r="T512" t="s">
        <v>74</v>
      </c>
      <c r="U512" t="s">
        <v>9935</v>
      </c>
      <c r="V512" t="s">
        <v>9936</v>
      </c>
      <c r="W512" t="s">
        <v>9937</v>
      </c>
      <c r="X512" t="s">
        <v>9938</v>
      </c>
      <c r="Y512" t="s">
        <v>9939</v>
      </c>
      <c r="Z512" t="s">
        <v>9940</v>
      </c>
      <c r="AA512" t="s">
        <v>74</v>
      </c>
      <c r="AB512" t="s">
        <v>9941</v>
      </c>
      <c r="AC512" t="s">
        <v>9942</v>
      </c>
      <c r="AD512" t="s">
        <v>9943</v>
      </c>
      <c r="AE512" t="s">
        <v>9944</v>
      </c>
      <c r="AF512" t="s">
        <v>74</v>
      </c>
      <c r="AG512">
        <v>61</v>
      </c>
      <c r="AH512">
        <v>0</v>
      </c>
      <c r="AI512">
        <v>0</v>
      </c>
      <c r="AJ512">
        <v>1</v>
      </c>
      <c r="AK512">
        <v>1</v>
      </c>
      <c r="AL512" t="s">
        <v>426</v>
      </c>
      <c r="AM512" t="s">
        <v>427</v>
      </c>
      <c r="AN512" t="s">
        <v>428</v>
      </c>
      <c r="AO512" t="s">
        <v>8604</v>
      </c>
      <c r="AP512" t="s">
        <v>8605</v>
      </c>
      <c r="AQ512" t="s">
        <v>74</v>
      </c>
      <c r="AR512" t="s">
        <v>8606</v>
      </c>
      <c r="AS512" t="s">
        <v>8607</v>
      </c>
      <c r="AT512" t="s">
        <v>9724</v>
      </c>
      <c r="AU512">
        <v>2023</v>
      </c>
      <c r="AV512" t="s">
        <v>74</v>
      </c>
      <c r="AW512" t="s">
        <v>74</v>
      </c>
      <c r="AX512" t="s">
        <v>74</v>
      </c>
      <c r="AY512" t="s">
        <v>74</v>
      </c>
      <c r="AZ512" t="s">
        <v>74</v>
      </c>
      <c r="BA512" t="s">
        <v>74</v>
      </c>
      <c r="BB512" t="s">
        <v>74</v>
      </c>
      <c r="BC512" t="s">
        <v>74</v>
      </c>
      <c r="BD512" t="s">
        <v>74</v>
      </c>
      <c r="BE512" t="s">
        <v>9945</v>
      </c>
      <c r="BF512" t="str">
        <f>HYPERLINK("http://dx.doi.org/10.1002/zaac.202300128","http://dx.doi.org/10.1002/zaac.202300128")</f>
        <v>http://dx.doi.org/10.1002/zaac.202300128</v>
      </c>
      <c r="BG512" t="s">
        <v>74</v>
      </c>
      <c r="BH512" t="s">
        <v>7524</v>
      </c>
      <c r="BI512">
        <v>9</v>
      </c>
      <c r="BJ512" t="s">
        <v>4460</v>
      </c>
      <c r="BK512" t="s">
        <v>119</v>
      </c>
      <c r="BL512" t="s">
        <v>524</v>
      </c>
      <c r="BM512" t="s">
        <v>9946</v>
      </c>
      <c r="BN512" t="s">
        <v>74</v>
      </c>
      <c r="BO512" t="s">
        <v>301</v>
      </c>
      <c r="BP512" t="s">
        <v>74</v>
      </c>
      <c r="BQ512" t="s">
        <v>74</v>
      </c>
      <c r="BR512" t="s">
        <v>99</v>
      </c>
      <c r="BS512" t="s">
        <v>9947</v>
      </c>
      <c r="BT512" t="str">
        <f>HYPERLINK("https%3A%2F%2Fwww.webofscience.com%2Fwos%2Fwoscc%2Ffull-record%2FWOS:001050932200001","View Full Record in Web of Science")</f>
        <v>View Full Record in Web of Science</v>
      </c>
    </row>
    <row r="513" spans="1:72" x14ac:dyDescent="0.15">
      <c r="A513" t="s">
        <v>72</v>
      </c>
      <c r="B513" t="s">
        <v>9948</v>
      </c>
      <c r="C513" t="s">
        <v>74</v>
      </c>
      <c r="D513" t="s">
        <v>74</v>
      </c>
      <c r="E513" t="s">
        <v>74</v>
      </c>
      <c r="F513" t="s">
        <v>9949</v>
      </c>
      <c r="G513" t="s">
        <v>74</v>
      </c>
      <c r="H513" t="s">
        <v>74</v>
      </c>
      <c r="I513" t="s">
        <v>9950</v>
      </c>
      <c r="J513" t="s">
        <v>7869</v>
      </c>
      <c r="K513" t="s">
        <v>74</v>
      </c>
      <c r="L513" t="s">
        <v>74</v>
      </c>
      <c r="M513" t="s">
        <v>78</v>
      </c>
      <c r="N513" t="s">
        <v>338</v>
      </c>
      <c r="O513" t="s">
        <v>74</v>
      </c>
      <c r="P513" t="s">
        <v>74</v>
      </c>
      <c r="Q513" t="s">
        <v>74</v>
      </c>
      <c r="R513" t="s">
        <v>74</v>
      </c>
      <c r="S513" t="s">
        <v>74</v>
      </c>
      <c r="T513" t="s">
        <v>9951</v>
      </c>
      <c r="U513" t="s">
        <v>9952</v>
      </c>
      <c r="V513" t="s">
        <v>9953</v>
      </c>
      <c r="W513" t="s">
        <v>9954</v>
      </c>
      <c r="X513" t="s">
        <v>9955</v>
      </c>
      <c r="Y513" t="s">
        <v>9956</v>
      </c>
      <c r="Z513" t="s">
        <v>9957</v>
      </c>
      <c r="AA513" t="s">
        <v>74</v>
      </c>
      <c r="AB513" t="s">
        <v>74</v>
      </c>
      <c r="AC513" t="s">
        <v>74</v>
      </c>
      <c r="AD513" t="s">
        <v>74</v>
      </c>
      <c r="AE513" t="s">
        <v>74</v>
      </c>
      <c r="AF513" t="s">
        <v>74</v>
      </c>
      <c r="AG513">
        <v>32</v>
      </c>
      <c r="AH513">
        <v>0</v>
      </c>
      <c r="AI513">
        <v>0</v>
      </c>
      <c r="AJ513">
        <v>4</v>
      </c>
      <c r="AK513">
        <v>4</v>
      </c>
      <c r="AL513" t="s">
        <v>87</v>
      </c>
      <c r="AM513" t="s">
        <v>88</v>
      </c>
      <c r="AN513" t="s">
        <v>89</v>
      </c>
      <c r="AO513" t="s">
        <v>7881</v>
      </c>
      <c r="AP513" t="s">
        <v>7882</v>
      </c>
      <c r="AQ513" t="s">
        <v>74</v>
      </c>
      <c r="AR513" t="s">
        <v>7883</v>
      </c>
      <c r="AS513" t="s">
        <v>7884</v>
      </c>
      <c r="AT513" t="s">
        <v>9724</v>
      </c>
      <c r="AU513">
        <v>2023</v>
      </c>
      <c r="AV513" t="s">
        <v>74</v>
      </c>
      <c r="AW513" t="s">
        <v>74</v>
      </c>
      <c r="AX513" t="s">
        <v>74</v>
      </c>
      <c r="AY513" t="s">
        <v>74</v>
      </c>
      <c r="AZ513" t="s">
        <v>74</v>
      </c>
      <c r="BA513" t="s">
        <v>74</v>
      </c>
      <c r="BB513" t="s">
        <v>74</v>
      </c>
      <c r="BC513" t="s">
        <v>74</v>
      </c>
      <c r="BD513" t="s">
        <v>74</v>
      </c>
      <c r="BE513" t="s">
        <v>9958</v>
      </c>
      <c r="BF513" t="str">
        <f>HYPERLINK("http://dx.doi.org/10.1002/pat.6170","http://dx.doi.org/10.1002/pat.6170")</f>
        <v>http://dx.doi.org/10.1002/pat.6170</v>
      </c>
      <c r="BG513" t="s">
        <v>74</v>
      </c>
      <c r="BH513" t="s">
        <v>7524</v>
      </c>
      <c r="BI513">
        <v>8</v>
      </c>
      <c r="BJ513" t="s">
        <v>1418</v>
      </c>
      <c r="BK513" t="s">
        <v>119</v>
      </c>
      <c r="BL513" t="s">
        <v>1418</v>
      </c>
      <c r="BM513" t="s">
        <v>9959</v>
      </c>
      <c r="BN513" t="s">
        <v>74</v>
      </c>
      <c r="BO513" t="s">
        <v>301</v>
      </c>
      <c r="BP513" t="s">
        <v>74</v>
      </c>
      <c r="BQ513" t="s">
        <v>74</v>
      </c>
      <c r="BR513" t="s">
        <v>99</v>
      </c>
      <c r="BS513" t="s">
        <v>9960</v>
      </c>
      <c r="BT513" t="str">
        <f>HYPERLINK("https%3A%2F%2Fwww.webofscience.com%2Fwos%2Fwoscc%2Ffull-record%2FWOS:001052235000001","View Full Record in Web of Science")</f>
        <v>View Full Record in Web of Science</v>
      </c>
    </row>
    <row r="514" spans="1:72" x14ac:dyDescent="0.15">
      <c r="A514" t="s">
        <v>72</v>
      </c>
      <c r="B514" t="s">
        <v>9961</v>
      </c>
      <c r="C514" t="s">
        <v>74</v>
      </c>
      <c r="D514" t="s">
        <v>74</v>
      </c>
      <c r="E514" t="s">
        <v>74</v>
      </c>
      <c r="F514" t="s">
        <v>9962</v>
      </c>
      <c r="G514" t="s">
        <v>74</v>
      </c>
      <c r="H514" t="s">
        <v>74</v>
      </c>
      <c r="I514" t="s">
        <v>9963</v>
      </c>
      <c r="J514" t="s">
        <v>9964</v>
      </c>
      <c r="K514" t="s">
        <v>74</v>
      </c>
      <c r="L514" t="s">
        <v>74</v>
      </c>
      <c r="M514" t="s">
        <v>78</v>
      </c>
      <c r="N514" t="s">
        <v>594</v>
      </c>
      <c r="O514" t="s">
        <v>74</v>
      </c>
      <c r="P514" t="s">
        <v>74</v>
      </c>
      <c r="Q514" t="s">
        <v>74</v>
      </c>
      <c r="R514" t="s">
        <v>74</v>
      </c>
      <c r="S514" t="s">
        <v>74</v>
      </c>
      <c r="T514" t="s">
        <v>9965</v>
      </c>
      <c r="U514" t="s">
        <v>9966</v>
      </c>
      <c r="V514" t="s">
        <v>9967</v>
      </c>
      <c r="W514" t="s">
        <v>9968</v>
      </c>
      <c r="X514" t="s">
        <v>9969</v>
      </c>
      <c r="Y514" t="s">
        <v>9970</v>
      </c>
      <c r="Z514" t="s">
        <v>9971</v>
      </c>
      <c r="AA514" t="s">
        <v>9972</v>
      </c>
      <c r="AB514" t="s">
        <v>9973</v>
      </c>
      <c r="AC514" t="s">
        <v>9974</v>
      </c>
      <c r="AD514" t="s">
        <v>9975</v>
      </c>
      <c r="AE514" t="s">
        <v>9976</v>
      </c>
      <c r="AF514" t="s">
        <v>74</v>
      </c>
      <c r="AG514">
        <v>250</v>
      </c>
      <c r="AH514">
        <v>0</v>
      </c>
      <c r="AI514">
        <v>0</v>
      </c>
      <c r="AJ514">
        <v>2</v>
      </c>
      <c r="AK514">
        <v>2</v>
      </c>
      <c r="AL514" t="s">
        <v>87</v>
      </c>
      <c r="AM514" t="s">
        <v>88</v>
      </c>
      <c r="AN514" t="s">
        <v>89</v>
      </c>
      <c r="AO514" t="s">
        <v>9977</v>
      </c>
      <c r="AP514" t="s">
        <v>9978</v>
      </c>
      <c r="AQ514" t="s">
        <v>74</v>
      </c>
      <c r="AR514" t="s">
        <v>9979</v>
      </c>
      <c r="AS514" t="s">
        <v>9980</v>
      </c>
      <c r="AT514" t="s">
        <v>9724</v>
      </c>
      <c r="AU514">
        <v>2023</v>
      </c>
      <c r="AV514" t="s">
        <v>74</v>
      </c>
      <c r="AW514" t="s">
        <v>74</v>
      </c>
      <c r="AX514" t="s">
        <v>74</v>
      </c>
      <c r="AY514" t="s">
        <v>74</v>
      </c>
      <c r="AZ514" t="s">
        <v>74</v>
      </c>
      <c r="BA514" t="s">
        <v>74</v>
      </c>
      <c r="BB514" t="s">
        <v>74</v>
      </c>
      <c r="BC514" t="s">
        <v>74</v>
      </c>
      <c r="BD514" t="s">
        <v>74</v>
      </c>
      <c r="BE514" t="s">
        <v>9981</v>
      </c>
      <c r="BF514" t="str">
        <f>HYPERLINK("http://dx.doi.org/10.1002/med.21990","http://dx.doi.org/10.1002/med.21990")</f>
        <v>http://dx.doi.org/10.1002/med.21990</v>
      </c>
      <c r="BG514" t="s">
        <v>74</v>
      </c>
      <c r="BH514" t="s">
        <v>7524</v>
      </c>
      <c r="BI514">
        <v>42</v>
      </c>
      <c r="BJ514" t="s">
        <v>9982</v>
      </c>
      <c r="BK514" t="s">
        <v>119</v>
      </c>
      <c r="BL514" t="s">
        <v>299</v>
      </c>
      <c r="BM514" t="s">
        <v>9983</v>
      </c>
      <c r="BN514">
        <v>37602483</v>
      </c>
      <c r="BO514" t="s">
        <v>74</v>
      </c>
      <c r="BP514" t="s">
        <v>74</v>
      </c>
      <c r="BQ514" t="s">
        <v>74</v>
      </c>
      <c r="BR514" t="s">
        <v>99</v>
      </c>
      <c r="BS514" t="s">
        <v>9984</v>
      </c>
      <c r="BT514" t="str">
        <f>HYPERLINK("https%3A%2F%2Fwww.webofscience.com%2Fwos%2Fwoscc%2Ffull-record%2FWOS:001051338300001","View Full Record in Web of Science")</f>
        <v>View Full Record in Web of Science</v>
      </c>
    </row>
    <row r="515" spans="1:72" x14ac:dyDescent="0.15">
      <c r="A515" t="s">
        <v>72</v>
      </c>
      <c r="B515" t="s">
        <v>9985</v>
      </c>
      <c r="C515" t="s">
        <v>74</v>
      </c>
      <c r="D515" t="s">
        <v>74</v>
      </c>
      <c r="E515" t="s">
        <v>74</v>
      </c>
      <c r="F515" t="s">
        <v>9986</v>
      </c>
      <c r="G515" t="s">
        <v>74</v>
      </c>
      <c r="H515" t="s">
        <v>74</v>
      </c>
      <c r="I515" t="s">
        <v>9987</v>
      </c>
      <c r="J515" t="s">
        <v>2913</v>
      </c>
      <c r="K515" t="s">
        <v>74</v>
      </c>
      <c r="L515" t="s">
        <v>74</v>
      </c>
      <c r="M515" t="s">
        <v>78</v>
      </c>
      <c r="N515" t="s">
        <v>338</v>
      </c>
      <c r="O515" t="s">
        <v>74</v>
      </c>
      <c r="P515" t="s">
        <v>74</v>
      </c>
      <c r="Q515" t="s">
        <v>74</v>
      </c>
      <c r="R515" t="s">
        <v>74</v>
      </c>
      <c r="S515" t="s">
        <v>74</v>
      </c>
      <c r="T515" t="s">
        <v>9988</v>
      </c>
      <c r="U515" t="s">
        <v>9989</v>
      </c>
      <c r="V515" t="s">
        <v>9990</v>
      </c>
      <c r="W515" t="s">
        <v>9991</v>
      </c>
      <c r="X515" t="s">
        <v>9992</v>
      </c>
      <c r="Y515" t="s">
        <v>9993</v>
      </c>
      <c r="Z515" t="s">
        <v>9994</v>
      </c>
      <c r="AA515" t="s">
        <v>74</v>
      </c>
      <c r="AB515" t="s">
        <v>9995</v>
      </c>
      <c r="AC515" t="s">
        <v>9996</v>
      </c>
      <c r="AD515" t="s">
        <v>9997</v>
      </c>
      <c r="AE515" t="s">
        <v>9998</v>
      </c>
      <c r="AF515" t="s">
        <v>74</v>
      </c>
      <c r="AG515">
        <v>96</v>
      </c>
      <c r="AH515">
        <v>0</v>
      </c>
      <c r="AI515">
        <v>0</v>
      </c>
      <c r="AJ515">
        <v>9</v>
      </c>
      <c r="AK515">
        <v>9</v>
      </c>
      <c r="AL515" t="s">
        <v>426</v>
      </c>
      <c r="AM515" t="s">
        <v>427</v>
      </c>
      <c r="AN515" t="s">
        <v>428</v>
      </c>
      <c r="AO515" t="s">
        <v>2925</v>
      </c>
      <c r="AP515" t="s">
        <v>2926</v>
      </c>
      <c r="AQ515" t="s">
        <v>74</v>
      </c>
      <c r="AR515" t="s">
        <v>2927</v>
      </c>
      <c r="AS515" t="s">
        <v>2928</v>
      </c>
      <c r="AT515" t="s">
        <v>9724</v>
      </c>
      <c r="AU515">
        <v>2023</v>
      </c>
      <c r="AV515" t="s">
        <v>74</v>
      </c>
      <c r="AW515" t="s">
        <v>74</v>
      </c>
      <c r="AX515" t="s">
        <v>74</v>
      </c>
      <c r="AY515" t="s">
        <v>74</v>
      </c>
      <c r="AZ515" t="s">
        <v>74</v>
      </c>
      <c r="BA515" t="s">
        <v>74</v>
      </c>
      <c r="BB515" t="s">
        <v>74</v>
      </c>
      <c r="BC515" t="s">
        <v>74</v>
      </c>
      <c r="BD515" t="s">
        <v>74</v>
      </c>
      <c r="BE515" t="s">
        <v>9999</v>
      </c>
      <c r="BF515" t="str">
        <f>HYPERLINK("http://dx.doi.org/10.1002/chem.202301978","http://dx.doi.org/10.1002/chem.202301978")</f>
        <v>http://dx.doi.org/10.1002/chem.202301978</v>
      </c>
      <c r="BG515" t="s">
        <v>74</v>
      </c>
      <c r="BH515" t="s">
        <v>7524</v>
      </c>
      <c r="BI515">
        <v>7</v>
      </c>
      <c r="BJ515" t="s">
        <v>523</v>
      </c>
      <c r="BK515" t="s">
        <v>119</v>
      </c>
      <c r="BL515" t="s">
        <v>524</v>
      </c>
      <c r="BM515" t="s">
        <v>10000</v>
      </c>
      <c r="BN515">
        <v>37404217</v>
      </c>
      <c r="BO515" t="s">
        <v>122</v>
      </c>
      <c r="BP515" t="s">
        <v>74</v>
      </c>
      <c r="BQ515" t="s">
        <v>74</v>
      </c>
      <c r="BR515" t="s">
        <v>99</v>
      </c>
      <c r="BS515" t="s">
        <v>10001</v>
      </c>
      <c r="BT515" t="str">
        <f>HYPERLINK("https%3A%2F%2Fwww.webofscience.com%2Fwos%2Fwoscc%2Ffull-record%2FWOS:001051455900001","View Full Record in Web of Science")</f>
        <v>View Full Record in Web of Science</v>
      </c>
    </row>
    <row r="516" spans="1:72" x14ac:dyDescent="0.15">
      <c r="A516" t="s">
        <v>72</v>
      </c>
      <c r="B516" t="s">
        <v>10002</v>
      </c>
      <c r="C516" t="s">
        <v>74</v>
      </c>
      <c r="D516" t="s">
        <v>74</v>
      </c>
      <c r="E516" t="s">
        <v>74</v>
      </c>
      <c r="F516" t="s">
        <v>10003</v>
      </c>
      <c r="G516" t="s">
        <v>74</v>
      </c>
      <c r="H516" t="s">
        <v>74</v>
      </c>
      <c r="I516" t="s">
        <v>10004</v>
      </c>
      <c r="J516" t="s">
        <v>9788</v>
      </c>
      <c r="K516" t="s">
        <v>74</v>
      </c>
      <c r="L516" t="s">
        <v>74</v>
      </c>
      <c r="M516" t="s">
        <v>78</v>
      </c>
      <c r="N516" t="s">
        <v>338</v>
      </c>
      <c r="O516" t="s">
        <v>74</v>
      </c>
      <c r="P516" t="s">
        <v>74</v>
      </c>
      <c r="Q516" t="s">
        <v>74</v>
      </c>
      <c r="R516" t="s">
        <v>74</v>
      </c>
      <c r="S516" t="s">
        <v>74</v>
      </c>
      <c r="T516" t="s">
        <v>10005</v>
      </c>
      <c r="U516" t="s">
        <v>10006</v>
      </c>
      <c r="V516" t="s">
        <v>10007</v>
      </c>
      <c r="W516" t="s">
        <v>10008</v>
      </c>
      <c r="X516" t="s">
        <v>10009</v>
      </c>
      <c r="Y516" t="s">
        <v>10010</v>
      </c>
      <c r="Z516" t="s">
        <v>10011</v>
      </c>
      <c r="AA516" t="s">
        <v>74</v>
      </c>
      <c r="AB516" t="s">
        <v>10012</v>
      </c>
      <c r="AC516" t="s">
        <v>10013</v>
      </c>
      <c r="AD516" t="s">
        <v>10014</v>
      </c>
      <c r="AE516" t="s">
        <v>10015</v>
      </c>
      <c r="AF516" t="s">
        <v>74</v>
      </c>
      <c r="AG516">
        <v>55</v>
      </c>
      <c r="AH516">
        <v>0</v>
      </c>
      <c r="AI516">
        <v>0</v>
      </c>
      <c r="AJ516">
        <v>7</v>
      </c>
      <c r="AK516">
        <v>7</v>
      </c>
      <c r="AL516" t="s">
        <v>426</v>
      </c>
      <c r="AM516" t="s">
        <v>427</v>
      </c>
      <c r="AN516" t="s">
        <v>428</v>
      </c>
      <c r="AO516" t="s">
        <v>9799</v>
      </c>
      <c r="AP516" t="s">
        <v>9800</v>
      </c>
      <c r="AQ516" t="s">
        <v>74</v>
      </c>
      <c r="AR516" t="s">
        <v>9801</v>
      </c>
      <c r="AS516" t="s">
        <v>9802</v>
      </c>
      <c r="AT516" t="s">
        <v>9724</v>
      </c>
      <c r="AU516">
        <v>2023</v>
      </c>
      <c r="AV516" t="s">
        <v>74</v>
      </c>
      <c r="AW516" t="s">
        <v>74</v>
      </c>
      <c r="AX516" t="s">
        <v>74</v>
      </c>
      <c r="AY516" t="s">
        <v>74</v>
      </c>
      <c r="AZ516" t="s">
        <v>74</v>
      </c>
      <c r="BA516" t="s">
        <v>74</v>
      </c>
      <c r="BB516" t="s">
        <v>74</v>
      </c>
      <c r="BC516" t="s">
        <v>74</v>
      </c>
      <c r="BD516" t="s">
        <v>74</v>
      </c>
      <c r="BE516" t="s">
        <v>10016</v>
      </c>
      <c r="BF516" t="str">
        <f>HYPERLINK("http://dx.doi.org/10.1002/marc.202300375","http://dx.doi.org/10.1002/marc.202300375")</f>
        <v>http://dx.doi.org/10.1002/marc.202300375</v>
      </c>
      <c r="BG516" t="s">
        <v>74</v>
      </c>
      <c r="BH516" t="s">
        <v>7524</v>
      </c>
      <c r="BI516">
        <v>9</v>
      </c>
      <c r="BJ516" t="s">
        <v>1418</v>
      </c>
      <c r="BK516" t="s">
        <v>119</v>
      </c>
      <c r="BL516" t="s">
        <v>1418</v>
      </c>
      <c r="BM516" t="s">
        <v>10017</v>
      </c>
      <c r="BN516">
        <v>37579197</v>
      </c>
      <c r="BO516" t="s">
        <v>74</v>
      </c>
      <c r="BP516" t="s">
        <v>74</v>
      </c>
      <c r="BQ516" t="s">
        <v>74</v>
      </c>
      <c r="BR516" t="s">
        <v>99</v>
      </c>
      <c r="BS516" t="s">
        <v>10018</v>
      </c>
      <c r="BT516" t="str">
        <f>HYPERLINK("https%3A%2F%2Fwww.webofscience.com%2Fwos%2Fwoscc%2Ffull-record%2FWOS:001052358800001","View Full Record in Web of Science")</f>
        <v>View Full Record in Web of Science</v>
      </c>
    </row>
    <row r="517" spans="1:72" x14ac:dyDescent="0.15">
      <c r="A517" t="s">
        <v>72</v>
      </c>
      <c r="B517" t="s">
        <v>10019</v>
      </c>
      <c r="C517" t="s">
        <v>74</v>
      </c>
      <c r="D517" t="s">
        <v>74</v>
      </c>
      <c r="E517" t="s">
        <v>74</v>
      </c>
      <c r="F517" t="s">
        <v>10020</v>
      </c>
      <c r="G517" t="s">
        <v>74</v>
      </c>
      <c r="H517" t="s">
        <v>74</v>
      </c>
      <c r="I517" t="s">
        <v>10021</v>
      </c>
      <c r="J517" t="s">
        <v>10022</v>
      </c>
      <c r="K517" t="s">
        <v>74</v>
      </c>
      <c r="L517" t="s">
        <v>74</v>
      </c>
      <c r="M517" t="s">
        <v>78</v>
      </c>
      <c r="N517" t="s">
        <v>594</v>
      </c>
      <c r="O517" t="s">
        <v>74</v>
      </c>
      <c r="P517" t="s">
        <v>74</v>
      </c>
      <c r="Q517" t="s">
        <v>74</v>
      </c>
      <c r="R517" t="s">
        <v>74</v>
      </c>
      <c r="S517" t="s">
        <v>74</v>
      </c>
      <c r="T517" t="s">
        <v>10023</v>
      </c>
      <c r="U517" t="s">
        <v>10024</v>
      </c>
      <c r="V517" t="s">
        <v>10025</v>
      </c>
      <c r="W517" t="s">
        <v>10026</v>
      </c>
      <c r="X517" t="s">
        <v>10027</v>
      </c>
      <c r="Y517" t="s">
        <v>10028</v>
      </c>
      <c r="Z517" t="s">
        <v>10029</v>
      </c>
      <c r="AA517" t="s">
        <v>74</v>
      </c>
      <c r="AB517" t="s">
        <v>74</v>
      </c>
      <c r="AC517" t="s">
        <v>10030</v>
      </c>
      <c r="AD517" t="s">
        <v>10031</v>
      </c>
      <c r="AE517" t="s">
        <v>10032</v>
      </c>
      <c r="AF517" t="s">
        <v>74</v>
      </c>
      <c r="AG517">
        <v>131</v>
      </c>
      <c r="AH517">
        <v>0</v>
      </c>
      <c r="AI517">
        <v>0</v>
      </c>
      <c r="AJ517">
        <v>4</v>
      </c>
      <c r="AK517">
        <v>4</v>
      </c>
      <c r="AL517" t="s">
        <v>87</v>
      </c>
      <c r="AM517" t="s">
        <v>88</v>
      </c>
      <c r="AN517" t="s">
        <v>89</v>
      </c>
      <c r="AO517" t="s">
        <v>10033</v>
      </c>
      <c r="AP517" t="s">
        <v>10034</v>
      </c>
      <c r="AQ517" t="s">
        <v>74</v>
      </c>
      <c r="AR517" t="s">
        <v>10035</v>
      </c>
      <c r="AS517" t="s">
        <v>10036</v>
      </c>
      <c r="AT517" t="s">
        <v>9724</v>
      </c>
      <c r="AU517">
        <v>2023</v>
      </c>
      <c r="AV517" t="s">
        <v>74</v>
      </c>
      <c r="AW517" t="s">
        <v>74</v>
      </c>
      <c r="AX517" t="s">
        <v>74</v>
      </c>
      <c r="AY517" t="s">
        <v>74</v>
      </c>
      <c r="AZ517" t="s">
        <v>74</v>
      </c>
      <c r="BA517" t="s">
        <v>74</v>
      </c>
      <c r="BB517" t="s">
        <v>74</v>
      </c>
      <c r="BC517" t="s">
        <v>74</v>
      </c>
      <c r="BD517" t="s">
        <v>74</v>
      </c>
      <c r="BE517" t="s">
        <v>10037</v>
      </c>
      <c r="BF517" t="str">
        <f>HYPERLINK("http://dx.doi.org/10.1111/phpp.12910","http://dx.doi.org/10.1111/phpp.12910")</f>
        <v>http://dx.doi.org/10.1111/phpp.12910</v>
      </c>
      <c r="BG517" t="s">
        <v>74</v>
      </c>
      <c r="BH517" t="s">
        <v>7524</v>
      </c>
      <c r="BI517">
        <v>11</v>
      </c>
      <c r="BJ517" t="s">
        <v>2541</v>
      </c>
      <c r="BK517" t="s">
        <v>119</v>
      </c>
      <c r="BL517" t="s">
        <v>2541</v>
      </c>
      <c r="BM517" t="s">
        <v>10038</v>
      </c>
      <c r="BN517">
        <v>37605539</v>
      </c>
      <c r="BO517" t="s">
        <v>301</v>
      </c>
      <c r="BP517" t="s">
        <v>74</v>
      </c>
      <c r="BQ517" t="s">
        <v>74</v>
      </c>
      <c r="BR517" t="s">
        <v>99</v>
      </c>
      <c r="BS517" t="s">
        <v>10039</v>
      </c>
      <c r="BT517" t="str">
        <f>HYPERLINK("https%3A%2F%2Fwww.webofscience.com%2Fwos%2Fwoscc%2Ffull-record%2FWOS:001051947400001","View Full Record in Web of Science")</f>
        <v>View Full Record in Web of Science</v>
      </c>
    </row>
    <row r="518" spans="1:72" x14ac:dyDescent="0.15">
      <c r="A518" t="s">
        <v>72</v>
      </c>
      <c r="B518" t="s">
        <v>10040</v>
      </c>
      <c r="C518" t="s">
        <v>74</v>
      </c>
      <c r="D518" t="s">
        <v>74</v>
      </c>
      <c r="E518" t="s">
        <v>74</v>
      </c>
      <c r="F518" t="s">
        <v>10041</v>
      </c>
      <c r="G518" t="s">
        <v>74</v>
      </c>
      <c r="H518" t="s">
        <v>74</v>
      </c>
      <c r="I518" t="s">
        <v>10042</v>
      </c>
      <c r="J518" t="s">
        <v>2005</v>
      </c>
      <c r="K518" t="s">
        <v>74</v>
      </c>
      <c r="L518" t="s">
        <v>74</v>
      </c>
      <c r="M518" t="s">
        <v>78</v>
      </c>
      <c r="N518" t="s">
        <v>338</v>
      </c>
      <c r="O518" t="s">
        <v>74</v>
      </c>
      <c r="P518" t="s">
        <v>74</v>
      </c>
      <c r="Q518" t="s">
        <v>74</v>
      </c>
      <c r="R518" t="s">
        <v>74</v>
      </c>
      <c r="S518" t="s">
        <v>74</v>
      </c>
      <c r="T518" t="s">
        <v>10043</v>
      </c>
      <c r="U518" t="s">
        <v>10044</v>
      </c>
      <c r="V518" t="s">
        <v>10045</v>
      </c>
      <c r="W518" t="s">
        <v>10046</v>
      </c>
      <c r="X518" t="s">
        <v>10047</v>
      </c>
      <c r="Y518" t="s">
        <v>10048</v>
      </c>
      <c r="Z518" t="s">
        <v>10049</v>
      </c>
      <c r="AA518" t="s">
        <v>74</v>
      </c>
      <c r="AB518" t="s">
        <v>10050</v>
      </c>
      <c r="AC518" t="s">
        <v>10051</v>
      </c>
      <c r="AD518" t="s">
        <v>10052</v>
      </c>
      <c r="AE518" t="s">
        <v>10053</v>
      </c>
      <c r="AF518" t="s">
        <v>74</v>
      </c>
      <c r="AG518">
        <v>85</v>
      </c>
      <c r="AH518">
        <v>0</v>
      </c>
      <c r="AI518">
        <v>0</v>
      </c>
      <c r="AJ518">
        <v>11</v>
      </c>
      <c r="AK518">
        <v>11</v>
      </c>
      <c r="AL518" t="s">
        <v>426</v>
      </c>
      <c r="AM518" t="s">
        <v>427</v>
      </c>
      <c r="AN518" t="s">
        <v>428</v>
      </c>
      <c r="AO518" t="s">
        <v>2016</v>
      </c>
      <c r="AP518" t="s">
        <v>2017</v>
      </c>
      <c r="AQ518" t="s">
        <v>74</v>
      </c>
      <c r="AR518" t="s">
        <v>2018</v>
      </c>
      <c r="AS518" t="s">
        <v>2019</v>
      </c>
      <c r="AT518" t="s">
        <v>9724</v>
      </c>
      <c r="AU518">
        <v>2023</v>
      </c>
      <c r="AV518" t="s">
        <v>74</v>
      </c>
      <c r="AW518" t="s">
        <v>74</v>
      </c>
      <c r="AX518" t="s">
        <v>74</v>
      </c>
      <c r="AY518" t="s">
        <v>74</v>
      </c>
      <c r="AZ518" t="s">
        <v>74</v>
      </c>
      <c r="BA518" t="s">
        <v>74</v>
      </c>
      <c r="BB518" t="s">
        <v>74</v>
      </c>
      <c r="BC518" t="s">
        <v>74</v>
      </c>
      <c r="BD518" t="s">
        <v>74</v>
      </c>
      <c r="BE518" t="s">
        <v>10054</v>
      </c>
      <c r="BF518" t="str">
        <f>HYPERLINK("http://dx.doi.org/10.1002/ente.202300404","http://dx.doi.org/10.1002/ente.202300404")</f>
        <v>http://dx.doi.org/10.1002/ente.202300404</v>
      </c>
      <c r="BG518" t="s">
        <v>74</v>
      </c>
      <c r="BH518" t="s">
        <v>7524</v>
      </c>
      <c r="BI518">
        <v>13</v>
      </c>
      <c r="BJ518" t="s">
        <v>2022</v>
      </c>
      <c r="BK518" t="s">
        <v>119</v>
      </c>
      <c r="BL518" t="s">
        <v>2022</v>
      </c>
      <c r="BM518" t="s">
        <v>10055</v>
      </c>
      <c r="BN518" t="s">
        <v>74</v>
      </c>
      <c r="BO518" t="s">
        <v>301</v>
      </c>
      <c r="BP518" t="s">
        <v>74</v>
      </c>
      <c r="BQ518" t="s">
        <v>74</v>
      </c>
      <c r="BR518" t="s">
        <v>99</v>
      </c>
      <c r="BS518" t="s">
        <v>10056</v>
      </c>
      <c r="BT518" t="str">
        <f>HYPERLINK("https%3A%2F%2Fwww.webofscience.com%2Fwos%2Fwoscc%2Ffull-record%2FWOS:001051397900001","View Full Record in Web of Science")</f>
        <v>View Full Record in Web of Science</v>
      </c>
    </row>
    <row r="519" spans="1:72" x14ac:dyDescent="0.15">
      <c r="A519" t="s">
        <v>72</v>
      </c>
      <c r="B519" t="s">
        <v>10057</v>
      </c>
      <c r="C519" t="s">
        <v>74</v>
      </c>
      <c r="D519" t="s">
        <v>74</v>
      </c>
      <c r="E519" t="s">
        <v>74</v>
      </c>
      <c r="F519" t="s">
        <v>10058</v>
      </c>
      <c r="G519" t="s">
        <v>74</v>
      </c>
      <c r="H519" t="s">
        <v>74</v>
      </c>
      <c r="I519" t="s">
        <v>10059</v>
      </c>
      <c r="J519" t="s">
        <v>5253</v>
      </c>
      <c r="K519" t="s">
        <v>74</v>
      </c>
      <c r="L519" t="s">
        <v>74</v>
      </c>
      <c r="M519" t="s">
        <v>78</v>
      </c>
      <c r="N519" t="s">
        <v>338</v>
      </c>
      <c r="O519" t="s">
        <v>74</v>
      </c>
      <c r="P519" t="s">
        <v>74</v>
      </c>
      <c r="Q519" t="s">
        <v>74</v>
      </c>
      <c r="R519" t="s">
        <v>74</v>
      </c>
      <c r="S519" t="s">
        <v>74</v>
      </c>
      <c r="T519" t="s">
        <v>10060</v>
      </c>
      <c r="U519" t="s">
        <v>10061</v>
      </c>
      <c r="V519" t="s">
        <v>10062</v>
      </c>
      <c r="W519" t="s">
        <v>10063</v>
      </c>
      <c r="X519" t="s">
        <v>10064</v>
      </c>
      <c r="Y519" t="s">
        <v>10065</v>
      </c>
      <c r="Z519" t="s">
        <v>10066</v>
      </c>
      <c r="AA519" t="s">
        <v>10067</v>
      </c>
      <c r="AB519" t="s">
        <v>10068</v>
      </c>
      <c r="AC519" t="s">
        <v>74</v>
      </c>
      <c r="AD519" t="s">
        <v>74</v>
      </c>
      <c r="AE519" t="s">
        <v>74</v>
      </c>
      <c r="AF519" t="s">
        <v>74</v>
      </c>
      <c r="AG519">
        <v>57</v>
      </c>
      <c r="AH519">
        <v>0</v>
      </c>
      <c r="AI519">
        <v>0</v>
      </c>
      <c r="AJ519">
        <v>0</v>
      </c>
      <c r="AK519">
        <v>0</v>
      </c>
      <c r="AL519" t="s">
        <v>87</v>
      </c>
      <c r="AM519" t="s">
        <v>88</v>
      </c>
      <c r="AN519" t="s">
        <v>89</v>
      </c>
      <c r="AO519" t="s">
        <v>5266</v>
      </c>
      <c r="AP519" t="s">
        <v>5267</v>
      </c>
      <c r="AQ519" t="s">
        <v>74</v>
      </c>
      <c r="AR519" t="s">
        <v>5268</v>
      </c>
      <c r="AS519" t="s">
        <v>5269</v>
      </c>
      <c r="AT519" t="s">
        <v>10069</v>
      </c>
      <c r="AU519">
        <v>2023</v>
      </c>
      <c r="AV519" t="s">
        <v>74</v>
      </c>
      <c r="AW519" t="s">
        <v>74</v>
      </c>
      <c r="AX519" t="s">
        <v>74</v>
      </c>
      <c r="AY519" t="s">
        <v>74</v>
      </c>
      <c r="AZ519" t="s">
        <v>74</v>
      </c>
      <c r="BA519" t="s">
        <v>74</v>
      </c>
      <c r="BB519" t="s">
        <v>74</v>
      </c>
      <c r="BC519" t="s">
        <v>74</v>
      </c>
      <c r="BD519" t="s">
        <v>74</v>
      </c>
      <c r="BE519" t="s">
        <v>10070</v>
      </c>
      <c r="BF519" t="str">
        <f>HYPERLINK("http://dx.doi.org/10.1002/mrm.29835","http://dx.doi.org/10.1002/mrm.29835")</f>
        <v>http://dx.doi.org/10.1002/mrm.29835</v>
      </c>
      <c r="BG519" t="s">
        <v>74</v>
      </c>
      <c r="BH519" t="s">
        <v>7524</v>
      </c>
      <c r="BI519">
        <v>16</v>
      </c>
      <c r="BJ519" t="s">
        <v>1290</v>
      </c>
      <c r="BK519" t="s">
        <v>119</v>
      </c>
      <c r="BL519" t="s">
        <v>1290</v>
      </c>
      <c r="BM519" t="s">
        <v>10071</v>
      </c>
      <c r="BN519">
        <v>37598419</v>
      </c>
      <c r="BO519" t="s">
        <v>122</v>
      </c>
      <c r="BP519" t="s">
        <v>74</v>
      </c>
      <c r="BQ519" t="s">
        <v>74</v>
      </c>
      <c r="BR519" t="s">
        <v>99</v>
      </c>
      <c r="BS519" t="s">
        <v>10072</v>
      </c>
      <c r="BT519" t="str">
        <f>HYPERLINK("https%3A%2F%2Fwww.webofscience.com%2Fwos%2Fwoscc%2Ffull-record%2FWOS:001051748200001","View Full Record in Web of Science")</f>
        <v>View Full Record in Web of Science</v>
      </c>
    </row>
    <row r="520" spans="1:72" x14ac:dyDescent="0.15">
      <c r="A520" t="s">
        <v>72</v>
      </c>
      <c r="B520" t="s">
        <v>10073</v>
      </c>
      <c r="C520" t="s">
        <v>74</v>
      </c>
      <c r="D520" t="s">
        <v>74</v>
      </c>
      <c r="E520" t="s">
        <v>74</v>
      </c>
      <c r="F520" t="s">
        <v>10074</v>
      </c>
      <c r="G520" t="s">
        <v>74</v>
      </c>
      <c r="H520" t="s">
        <v>74</v>
      </c>
      <c r="I520" t="s">
        <v>10075</v>
      </c>
      <c r="J520" t="s">
        <v>10076</v>
      </c>
      <c r="K520" t="s">
        <v>74</v>
      </c>
      <c r="L520" t="s">
        <v>74</v>
      </c>
      <c r="M520" t="s">
        <v>78</v>
      </c>
      <c r="N520" t="s">
        <v>2419</v>
      </c>
      <c r="O520" t="s">
        <v>74</v>
      </c>
      <c r="P520" t="s">
        <v>74</v>
      </c>
      <c r="Q520" t="s">
        <v>74</v>
      </c>
      <c r="R520" t="s">
        <v>74</v>
      </c>
      <c r="S520" t="s">
        <v>74</v>
      </c>
      <c r="T520" t="s">
        <v>74</v>
      </c>
      <c r="U520" t="s">
        <v>74</v>
      </c>
      <c r="V520" t="s">
        <v>74</v>
      </c>
      <c r="W520" t="s">
        <v>10077</v>
      </c>
      <c r="X520" t="s">
        <v>10078</v>
      </c>
      <c r="Y520" t="s">
        <v>10079</v>
      </c>
      <c r="Z520" t="s">
        <v>74</v>
      </c>
      <c r="AA520" t="s">
        <v>74</v>
      </c>
      <c r="AB520" t="s">
        <v>74</v>
      </c>
      <c r="AC520" t="s">
        <v>74</v>
      </c>
      <c r="AD520" t="s">
        <v>74</v>
      </c>
      <c r="AE520" t="s">
        <v>74</v>
      </c>
      <c r="AF520" t="s">
        <v>74</v>
      </c>
      <c r="AG520">
        <v>1</v>
      </c>
      <c r="AH520">
        <v>0</v>
      </c>
      <c r="AI520">
        <v>0</v>
      </c>
      <c r="AJ520">
        <v>0</v>
      </c>
      <c r="AK520">
        <v>0</v>
      </c>
      <c r="AL520" t="s">
        <v>87</v>
      </c>
      <c r="AM520" t="s">
        <v>88</v>
      </c>
      <c r="AN520" t="s">
        <v>89</v>
      </c>
      <c r="AO520" t="s">
        <v>10080</v>
      </c>
      <c r="AP520" t="s">
        <v>10081</v>
      </c>
      <c r="AQ520" t="s">
        <v>74</v>
      </c>
      <c r="AR520" t="s">
        <v>10082</v>
      </c>
      <c r="AS520" t="s">
        <v>10083</v>
      </c>
      <c r="AT520" t="s">
        <v>10069</v>
      </c>
      <c r="AU520">
        <v>2023</v>
      </c>
      <c r="AV520" t="s">
        <v>74</v>
      </c>
      <c r="AW520" t="s">
        <v>74</v>
      </c>
      <c r="AX520" t="s">
        <v>74</v>
      </c>
      <c r="AY520" t="s">
        <v>74</v>
      </c>
      <c r="AZ520" t="s">
        <v>74</v>
      </c>
      <c r="BA520" t="s">
        <v>74</v>
      </c>
      <c r="BB520" t="s">
        <v>74</v>
      </c>
      <c r="BC520" t="s">
        <v>74</v>
      </c>
      <c r="BD520" t="s">
        <v>74</v>
      </c>
      <c r="BE520" t="s">
        <v>10084</v>
      </c>
      <c r="BF520" t="str">
        <f>HYPERLINK("http://dx.doi.org/10.1111/1467-9655.14034","http://dx.doi.org/10.1111/1467-9655.14034")</f>
        <v>http://dx.doi.org/10.1111/1467-9655.14034</v>
      </c>
      <c r="BG520" t="s">
        <v>74</v>
      </c>
      <c r="BH520" t="s">
        <v>7524</v>
      </c>
      <c r="BI520">
        <v>2</v>
      </c>
      <c r="BJ520" t="s">
        <v>3107</v>
      </c>
      <c r="BK520" t="s">
        <v>546</v>
      </c>
      <c r="BL520" t="s">
        <v>3107</v>
      </c>
      <c r="BM520" t="s">
        <v>10085</v>
      </c>
      <c r="BN520" t="s">
        <v>74</v>
      </c>
      <c r="BO520" t="s">
        <v>74</v>
      </c>
      <c r="BP520" t="s">
        <v>74</v>
      </c>
      <c r="BQ520" t="s">
        <v>74</v>
      </c>
      <c r="BR520" t="s">
        <v>99</v>
      </c>
      <c r="BS520" t="s">
        <v>10086</v>
      </c>
      <c r="BT520" t="str">
        <f>HYPERLINK("https%3A%2F%2Fwww.webofscience.com%2Fwos%2Fwoscc%2Ffull-record%2FWOS:001051629200001","View Full Record in Web of Science")</f>
        <v>View Full Record in Web of Science</v>
      </c>
    </row>
    <row r="521" spans="1:72" x14ac:dyDescent="0.15">
      <c r="A521" t="s">
        <v>72</v>
      </c>
      <c r="B521" t="s">
        <v>10087</v>
      </c>
      <c r="C521" t="s">
        <v>74</v>
      </c>
      <c r="D521" t="s">
        <v>74</v>
      </c>
      <c r="E521" t="s">
        <v>74</v>
      </c>
      <c r="F521" t="s">
        <v>10088</v>
      </c>
      <c r="G521" t="s">
        <v>74</v>
      </c>
      <c r="H521" t="s">
        <v>74</v>
      </c>
      <c r="I521" t="s">
        <v>10089</v>
      </c>
      <c r="J521" t="s">
        <v>2702</v>
      </c>
      <c r="K521" t="s">
        <v>74</v>
      </c>
      <c r="L521" t="s">
        <v>74</v>
      </c>
      <c r="M521" t="s">
        <v>78</v>
      </c>
      <c r="N521" t="s">
        <v>338</v>
      </c>
      <c r="O521" t="s">
        <v>74</v>
      </c>
      <c r="P521" t="s">
        <v>74</v>
      </c>
      <c r="Q521" t="s">
        <v>74</v>
      </c>
      <c r="R521" t="s">
        <v>74</v>
      </c>
      <c r="S521" t="s">
        <v>74</v>
      </c>
      <c r="T521" t="s">
        <v>10090</v>
      </c>
      <c r="U521" t="s">
        <v>10091</v>
      </c>
      <c r="V521" t="s">
        <v>10092</v>
      </c>
      <c r="W521" t="s">
        <v>10093</v>
      </c>
      <c r="X521" t="s">
        <v>10094</v>
      </c>
      <c r="Y521" t="s">
        <v>10095</v>
      </c>
      <c r="Z521" t="s">
        <v>10096</v>
      </c>
      <c r="AA521" t="s">
        <v>10097</v>
      </c>
      <c r="AB521" t="s">
        <v>10098</v>
      </c>
      <c r="AC521" t="s">
        <v>74</v>
      </c>
      <c r="AD521" t="s">
        <v>74</v>
      </c>
      <c r="AE521" t="s">
        <v>74</v>
      </c>
      <c r="AF521" t="s">
        <v>74</v>
      </c>
      <c r="AG521">
        <v>139</v>
      </c>
      <c r="AH521">
        <v>0</v>
      </c>
      <c r="AI521">
        <v>0</v>
      </c>
      <c r="AJ521">
        <v>30</v>
      </c>
      <c r="AK521">
        <v>30</v>
      </c>
      <c r="AL521" t="s">
        <v>87</v>
      </c>
      <c r="AM521" t="s">
        <v>88</v>
      </c>
      <c r="AN521" t="s">
        <v>89</v>
      </c>
      <c r="AO521" t="s">
        <v>2714</v>
      </c>
      <c r="AP521" t="s">
        <v>2715</v>
      </c>
      <c r="AQ521" t="s">
        <v>74</v>
      </c>
      <c r="AR521" t="s">
        <v>2716</v>
      </c>
      <c r="AS521" t="s">
        <v>2717</v>
      </c>
      <c r="AT521" t="s">
        <v>10099</v>
      </c>
      <c r="AU521">
        <v>2023</v>
      </c>
      <c r="AV521" t="s">
        <v>74</v>
      </c>
      <c r="AW521" t="s">
        <v>74</v>
      </c>
      <c r="AX521" t="s">
        <v>74</v>
      </c>
      <c r="AY521" t="s">
        <v>74</v>
      </c>
      <c r="AZ521" t="s">
        <v>74</v>
      </c>
      <c r="BA521" t="s">
        <v>74</v>
      </c>
      <c r="BB521" t="s">
        <v>74</v>
      </c>
      <c r="BC521" t="s">
        <v>74</v>
      </c>
      <c r="BD521" t="s">
        <v>74</v>
      </c>
      <c r="BE521" t="s">
        <v>10100</v>
      </c>
      <c r="BF521" t="str">
        <f>HYPERLINK("http://dx.doi.org/10.1002/mar.21888","http://dx.doi.org/10.1002/mar.21888")</f>
        <v>http://dx.doi.org/10.1002/mar.21888</v>
      </c>
      <c r="BG521" t="s">
        <v>74</v>
      </c>
      <c r="BH521" t="s">
        <v>7524</v>
      </c>
      <c r="BI521">
        <v>28</v>
      </c>
      <c r="BJ521" t="s">
        <v>2720</v>
      </c>
      <c r="BK521" t="s">
        <v>546</v>
      </c>
      <c r="BL521" t="s">
        <v>2721</v>
      </c>
      <c r="BM521" t="s">
        <v>10101</v>
      </c>
      <c r="BN521" t="s">
        <v>74</v>
      </c>
      <c r="BO521" t="s">
        <v>122</v>
      </c>
      <c r="BP521" t="s">
        <v>74</v>
      </c>
      <c r="BQ521" t="s">
        <v>74</v>
      </c>
      <c r="BR521" t="s">
        <v>99</v>
      </c>
      <c r="BS521" t="s">
        <v>10102</v>
      </c>
      <c r="BT521" t="str">
        <f>HYPERLINK("https%3A%2F%2Fwww.webofscience.com%2Fwos%2Fwoscc%2Ffull-record%2FWOS:001050655700001","View Full Record in Web of Science")</f>
        <v>View Full Record in Web of Science</v>
      </c>
    </row>
    <row r="522" spans="1:72" x14ac:dyDescent="0.15">
      <c r="A522" t="s">
        <v>72</v>
      </c>
      <c r="B522" t="s">
        <v>10103</v>
      </c>
      <c r="C522" t="s">
        <v>74</v>
      </c>
      <c r="D522" t="s">
        <v>74</v>
      </c>
      <c r="E522" t="s">
        <v>74</v>
      </c>
      <c r="F522" t="s">
        <v>10104</v>
      </c>
      <c r="G522" t="s">
        <v>74</v>
      </c>
      <c r="H522" t="s">
        <v>74</v>
      </c>
      <c r="I522" t="s">
        <v>10105</v>
      </c>
      <c r="J522" t="s">
        <v>7531</v>
      </c>
      <c r="K522" t="s">
        <v>74</v>
      </c>
      <c r="L522" t="s">
        <v>74</v>
      </c>
      <c r="M522" t="s">
        <v>78</v>
      </c>
      <c r="N522" t="s">
        <v>338</v>
      </c>
      <c r="O522" t="s">
        <v>74</v>
      </c>
      <c r="P522" t="s">
        <v>74</v>
      </c>
      <c r="Q522" t="s">
        <v>74</v>
      </c>
      <c r="R522" t="s">
        <v>74</v>
      </c>
      <c r="S522" t="s">
        <v>74</v>
      </c>
      <c r="T522" t="s">
        <v>74</v>
      </c>
      <c r="U522" t="s">
        <v>10106</v>
      </c>
      <c r="V522" t="s">
        <v>10107</v>
      </c>
      <c r="W522" t="s">
        <v>10108</v>
      </c>
      <c r="X522" t="s">
        <v>1951</v>
      </c>
      <c r="Y522" t="s">
        <v>10109</v>
      </c>
      <c r="Z522" t="s">
        <v>10110</v>
      </c>
      <c r="AA522" t="s">
        <v>74</v>
      </c>
      <c r="AB522" t="s">
        <v>10111</v>
      </c>
      <c r="AC522" t="s">
        <v>74</v>
      </c>
      <c r="AD522" t="s">
        <v>74</v>
      </c>
      <c r="AE522" t="s">
        <v>74</v>
      </c>
      <c r="AF522" t="s">
        <v>74</v>
      </c>
      <c r="AG522">
        <v>44</v>
      </c>
      <c r="AH522">
        <v>0</v>
      </c>
      <c r="AI522">
        <v>0</v>
      </c>
      <c r="AJ522">
        <v>0</v>
      </c>
      <c r="AK522">
        <v>0</v>
      </c>
      <c r="AL522" t="s">
        <v>87</v>
      </c>
      <c r="AM522" t="s">
        <v>88</v>
      </c>
      <c r="AN522" t="s">
        <v>89</v>
      </c>
      <c r="AO522" t="s">
        <v>7539</v>
      </c>
      <c r="AP522" t="s">
        <v>7540</v>
      </c>
      <c r="AQ522" t="s">
        <v>74</v>
      </c>
      <c r="AR522" t="s">
        <v>7541</v>
      </c>
      <c r="AS522" t="s">
        <v>7542</v>
      </c>
      <c r="AT522" t="s">
        <v>10099</v>
      </c>
      <c r="AU522">
        <v>2023</v>
      </c>
      <c r="AV522" t="s">
        <v>74</v>
      </c>
      <c r="AW522" t="s">
        <v>74</v>
      </c>
      <c r="AX522" t="s">
        <v>74</v>
      </c>
      <c r="AY522" t="s">
        <v>74</v>
      </c>
      <c r="AZ522" t="s">
        <v>74</v>
      </c>
      <c r="BA522" t="s">
        <v>74</v>
      </c>
      <c r="BB522" t="s">
        <v>74</v>
      </c>
      <c r="BC522" t="s">
        <v>74</v>
      </c>
      <c r="BD522" t="s">
        <v>74</v>
      </c>
      <c r="BE522" t="s">
        <v>10112</v>
      </c>
      <c r="BF522" t="str">
        <f>HYPERLINK("http://dx.doi.org/10.1111/vsu.14011","http://dx.doi.org/10.1111/vsu.14011")</f>
        <v>http://dx.doi.org/10.1111/vsu.14011</v>
      </c>
      <c r="BG522" t="s">
        <v>74</v>
      </c>
      <c r="BH522" t="s">
        <v>7524</v>
      </c>
      <c r="BI522">
        <v>10</v>
      </c>
      <c r="BJ522" t="s">
        <v>354</v>
      </c>
      <c r="BK522" t="s">
        <v>119</v>
      </c>
      <c r="BL522" t="s">
        <v>354</v>
      </c>
      <c r="BM522" t="s">
        <v>10113</v>
      </c>
      <c r="BN522">
        <v>37597218</v>
      </c>
      <c r="BO522" t="s">
        <v>122</v>
      </c>
      <c r="BP522" t="s">
        <v>74</v>
      </c>
      <c r="BQ522" t="s">
        <v>74</v>
      </c>
      <c r="BR522" t="s">
        <v>99</v>
      </c>
      <c r="BS522" t="s">
        <v>10114</v>
      </c>
      <c r="BT522" t="str">
        <f>HYPERLINK("https%3A%2F%2Fwww.webofscience.com%2Fwos%2Fwoscc%2Ffull-record%2FWOS:001050641200001","View Full Record in Web of Science")</f>
        <v>View Full Record in Web of Science</v>
      </c>
    </row>
    <row r="523" spans="1:72" x14ac:dyDescent="0.15">
      <c r="A523" t="s">
        <v>72</v>
      </c>
      <c r="B523" t="s">
        <v>10115</v>
      </c>
      <c r="C523" t="s">
        <v>74</v>
      </c>
      <c r="D523" t="s">
        <v>74</v>
      </c>
      <c r="E523" t="s">
        <v>74</v>
      </c>
      <c r="F523" t="s">
        <v>10116</v>
      </c>
      <c r="G523" t="s">
        <v>74</v>
      </c>
      <c r="H523" t="s">
        <v>74</v>
      </c>
      <c r="I523" t="s">
        <v>10117</v>
      </c>
      <c r="J523" t="s">
        <v>10118</v>
      </c>
      <c r="K523" t="s">
        <v>74</v>
      </c>
      <c r="L523" t="s">
        <v>74</v>
      </c>
      <c r="M523" t="s">
        <v>78</v>
      </c>
      <c r="N523" t="s">
        <v>338</v>
      </c>
      <c r="O523" t="s">
        <v>74</v>
      </c>
      <c r="P523" t="s">
        <v>74</v>
      </c>
      <c r="Q523" t="s">
        <v>74</v>
      </c>
      <c r="R523" t="s">
        <v>74</v>
      </c>
      <c r="S523" t="s">
        <v>74</v>
      </c>
      <c r="T523" t="s">
        <v>10119</v>
      </c>
      <c r="U523" t="s">
        <v>10120</v>
      </c>
      <c r="V523" t="s">
        <v>10121</v>
      </c>
      <c r="W523" t="s">
        <v>10122</v>
      </c>
      <c r="X523" t="s">
        <v>10123</v>
      </c>
      <c r="Y523" t="s">
        <v>10124</v>
      </c>
      <c r="Z523" t="s">
        <v>10125</v>
      </c>
      <c r="AA523" t="s">
        <v>74</v>
      </c>
      <c r="AB523" t="s">
        <v>74</v>
      </c>
      <c r="AC523" t="s">
        <v>10126</v>
      </c>
      <c r="AD523" t="s">
        <v>10127</v>
      </c>
      <c r="AE523" t="s">
        <v>10128</v>
      </c>
      <c r="AF523" t="s">
        <v>74</v>
      </c>
      <c r="AG523">
        <v>47</v>
      </c>
      <c r="AH523">
        <v>0</v>
      </c>
      <c r="AI523">
        <v>0</v>
      </c>
      <c r="AJ523">
        <v>1</v>
      </c>
      <c r="AK523">
        <v>1</v>
      </c>
      <c r="AL523" t="s">
        <v>87</v>
      </c>
      <c r="AM523" t="s">
        <v>88</v>
      </c>
      <c r="AN523" t="s">
        <v>89</v>
      </c>
      <c r="AO523" t="s">
        <v>10129</v>
      </c>
      <c r="AP523" t="s">
        <v>10130</v>
      </c>
      <c r="AQ523" t="s">
        <v>74</v>
      </c>
      <c r="AR523" t="s">
        <v>10118</v>
      </c>
      <c r="AS523" t="s">
        <v>10131</v>
      </c>
      <c r="AT523" t="s">
        <v>10099</v>
      </c>
      <c r="AU523">
        <v>2023</v>
      </c>
      <c r="AV523" t="s">
        <v>74</v>
      </c>
      <c r="AW523" t="s">
        <v>74</v>
      </c>
      <c r="AX523" t="s">
        <v>74</v>
      </c>
      <c r="AY523" t="s">
        <v>74</v>
      </c>
      <c r="AZ523" t="s">
        <v>74</v>
      </c>
      <c r="BA523" t="s">
        <v>74</v>
      </c>
      <c r="BB523" t="s">
        <v>74</v>
      </c>
      <c r="BC523" t="s">
        <v>74</v>
      </c>
      <c r="BD523" t="s">
        <v>74</v>
      </c>
      <c r="BE523" t="s">
        <v>10132</v>
      </c>
      <c r="BF523" t="str">
        <f>HYPERLINK("http://dx.doi.org/10.1002/biof.1998","http://dx.doi.org/10.1002/biof.1998")</f>
        <v>http://dx.doi.org/10.1002/biof.1998</v>
      </c>
      <c r="BG523" t="s">
        <v>74</v>
      </c>
      <c r="BH523" t="s">
        <v>7524</v>
      </c>
      <c r="BI523">
        <v>16</v>
      </c>
      <c r="BJ523" t="s">
        <v>10133</v>
      </c>
      <c r="BK523" t="s">
        <v>119</v>
      </c>
      <c r="BL523" t="s">
        <v>10133</v>
      </c>
      <c r="BM523" t="s">
        <v>10134</v>
      </c>
      <c r="BN523">
        <v>37596888</v>
      </c>
      <c r="BO523" t="s">
        <v>74</v>
      </c>
      <c r="BP523" t="s">
        <v>74</v>
      </c>
      <c r="BQ523" t="s">
        <v>74</v>
      </c>
      <c r="BR523" t="s">
        <v>99</v>
      </c>
      <c r="BS523" t="s">
        <v>10135</v>
      </c>
      <c r="BT523" t="str">
        <f>HYPERLINK("https%3A%2F%2Fwww.webofscience.com%2Fwos%2Fwoscc%2Ffull-record%2FWOS:001051189500001","View Full Record in Web of Science")</f>
        <v>View Full Record in Web of Science</v>
      </c>
    </row>
    <row r="524" spans="1:72" x14ac:dyDescent="0.15">
      <c r="A524" t="s">
        <v>72</v>
      </c>
      <c r="B524" t="s">
        <v>10136</v>
      </c>
      <c r="C524" t="s">
        <v>74</v>
      </c>
      <c r="D524" t="s">
        <v>74</v>
      </c>
      <c r="E524" t="s">
        <v>74</v>
      </c>
      <c r="F524" t="s">
        <v>10137</v>
      </c>
      <c r="G524" t="s">
        <v>74</v>
      </c>
      <c r="H524" t="s">
        <v>74</v>
      </c>
      <c r="I524" t="s">
        <v>10138</v>
      </c>
      <c r="J524" t="s">
        <v>10139</v>
      </c>
      <c r="K524" t="s">
        <v>74</v>
      </c>
      <c r="L524" t="s">
        <v>74</v>
      </c>
      <c r="M524" t="s">
        <v>78</v>
      </c>
      <c r="N524" t="s">
        <v>338</v>
      </c>
      <c r="O524" t="s">
        <v>74</v>
      </c>
      <c r="P524" t="s">
        <v>74</v>
      </c>
      <c r="Q524" t="s">
        <v>74</v>
      </c>
      <c r="R524" t="s">
        <v>74</v>
      </c>
      <c r="S524" t="s">
        <v>74</v>
      </c>
      <c r="T524" t="s">
        <v>10140</v>
      </c>
      <c r="U524" t="s">
        <v>10141</v>
      </c>
      <c r="V524" t="s">
        <v>10142</v>
      </c>
      <c r="W524" t="s">
        <v>10143</v>
      </c>
      <c r="X524" t="s">
        <v>10144</v>
      </c>
      <c r="Y524" t="s">
        <v>10145</v>
      </c>
      <c r="Z524" t="s">
        <v>10146</v>
      </c>
      <c r="AA524" t="s">
        <v>74</v>
      </c>
      <c r="AB524" t="s">
        <v>74</v>
      </c>
      <c r="AC524" t="s">
        <v>74</v>
      </c>
      <c r="AD524" t="s">
        <v>74</v>
      </c>
      <c r="AE524" t="s">
        <v>74</v>
      </c>
      <c r="AF524" t="s">
        <v>74</v>
      </c>
      <c r="AG524">
        <v>73</v>
      </c>
      <c r="AH524">
        <v>0</v>
      </c>
      <c r="AI524">
        <v>0</v>
      </c>
      <c r="AJ524">
        <v>0</v>
      </c>
      <c r="AK524">
        <v>0</v>
      </c>
      <c r="AL524" t="s">
        <v>87</v>
      </c>
      <c r="AM524" t="s">
        <v>88</v>
      </c>
      <c r="AN524" t="s">
        <v>89</v>
      </c>
      <c r="AO524" t="s">
        <v>10147</v>
      </c>
      <c r="AP524" t="s">
        <v>10148</v>
      </c>
      <c r="AQ524" t="s">
        <v>74</v>
      </c>
      <c r="AR524" t="s">
        <v>10149</v>
      </c>
      <c r="AS524" t="s">
        <v>10150</v>
      </c>
      <c r="AT524" t="s">
        <v>10099</v>
      </c>
      <c r="AU524">
        <v>2023</v>
      </c>
      <c r="AV524" t="s">
        <v>74</v>
      </c>
      <c r="AW524" t="s">
        <v>74</v>
      </c>
      <c r="AX524" t="s">
        <v>74</v>
      </c>
      <c r="AY524" t="s">
        <v>74</v>
      </c>
      <c r="AZ524" t="s">
        <v>74</v>
      </c>
      <c r="BA524" t="s">
        <v>74</v>
      </c>
      <c r="BB524" t="s">
        <v>74</v>
      </c>
      <c r="BC524" t="s">
        <v>74</v>
      </c>
      <c r="BD524" t="s">
        <v>74</v>
      </c>
      <c r="BE524" t="s">
        <v>10151</v>
      </c>
      <c r="BF524" t="str">
        <f>HYPERLINK("http://dx.doi.org/10.1111/gwao.13057","http://dx.doi.org/10.1111/gwao.13057")</f>
        <v>http://dx.doi.org/10.1111/gwao.13057</v>
      </c>
      <c r="BG524" t="s">
        <v>74</v>
      </c>
      <c r="BH524" t="s">
        <v>7524</v>
      </c>
      <c r="BI524">
        <v>18</v>
      </c>
      <c r="BJ524" t="s">
        <v>10152</v>
      </c>
      <c r="BK524" t="s">
        <v>546</v>
      </c>
      <c r="BL524" t="s">
        <v>10153</v>
      </c>
      <c r="BM524" t="s">
        <v>10154</v>
      </c>
      <c r="BN524" t="s">
        <v>74</v>
      </c>
      <c r="BO524" t="s">
        <v>74</v>
      </c>
      <c r="BP524" t="s">
        <v>74</v>
      </c>
      <c r="BQ524" t="s">
        <v>74</v>
      </c>
      <c r="BR524" t="s">
        <v>99</v>
      </c>
      <c r="BS524" t="s">
        <v>10155</v>
      </c>
      <c r="BT524" t="str">
        <f>HYPERLINK("https%3A%2F%2Fwww.webofscience.com%2Fwos%2Fwoscc%2Ffull-record%2FWOS:001051084300001","View Full Record in Web of Science")</f>
        <v>View Full Record in Web of Science</v>
      </c>
    </row>
    <row r="525" spans="1:72" x14ac:dyDescent="0.15">
      <c r="A525" t="s">
        <v>72</v>
      </c>
      <c r="B525" t="s">
        <v>10156</v>
      </c>
      <c r="C525" t="s">
        <v>74</v>
      </c>
      <c r="D525" t="s">
        <v>74</v>
      </c>
      <c r="E525" t="s">
        <v>74</v>
      </c>
      <c r="F525" t="s">
        <v>10157</v>
      </c>
      <c r="G525" t="s">
        <v>74</v>
      </c>
      <c r="H525" t="s">
        <v>74</v>
      </c>
      <c r="I525" t="s">
        <v>10158</v>
      </c>
      <c r="J525" t="s">
        <v>10159</v>
      </c>
      <c r="K525" t="s">
        <v>74</v>
      </c>
      <c r="L525" t="s">
        <v>74</v>
      </c>
      <c r="M525" t="s">
        <v>78</v>
      </c>
      <c r="N525" t="s">
        <v>594</v>
      </c>
      <c r="O525" t="s">
        <v>74</v>
      </c>
      <c r="P525" t="s">
        <v>74</v>
      </c>
      <c r="Q525" t="s">
        <v>74</v>
      </c>
      <c r="R525" t="s">
        <v>74</v>
      </c>
      <c r="S525" t="s">
        <v>74</v>
      </c>
      <c r="T525" t="s">
        <v>10160</v>
      </c>
      <c r="U525" t="s">
        <v>10161</v>
      </c>
      <c r="V525" t="s">
        <v>10162</v>
      </c>
      <c r="W525" t="s">
        <v>10163</v>
      </c>
      <c r="X525" t="s">
        <v>74</v>
      </c>
      <c r="Y525" t="s">
        <v>10164</v>
      </c>
      <c r="Z525" t="s">
        <v>10165</v>
      </c>
      <c r="AA525" t="s">
        <v>74</v>
      </c>
      <c r="AB525" t="s">
        <v>74</v>
      </c>
      <c r="AC525" t="s">
        <v>10166</v>
      </c>
      <c r="AD525" t="s">
        <v>10167</v>
      </c>
      <c r="AE525" t="s">
        <v>10168</v>
      </c>
      <c r="AF525" t="s">
        <v>74</v>
      </c>
      <c r="AG525">
        <v>36</v>
      </c>
      <c r="AH525">
        <v>0</v>
      </c>
      <c r="AI525">
        <v>0</v>
      </c>
      <c r="AJ525">
        <v>0</v>
      </c>
      <c r="AK525">
        <v>0</v>
      </c>
      <c r="AL525" t="s">
        <v>87</v>
      </c>
      <c r="AM525" t="s">
        <v>88</v>
      </c>
      <c r="AN525" t="s">
        <v>89</v>
      </c>
      <c r="AO525" t="s">
        <v>10169</v>
      </c>
      <c r="AP525" t="s">
        <v>74</v>
      </c>
      <c r="AQ525" t="s">
        <v>74</v>
      </c>
      <c r="AR525" t="s">
        <v>10170</v>
      </c>
      <c r="AS525" t="s">
        <v>10171</v>
      </c>
      <c r="AT525" t="s">
        <v>10099</v>
      </c>
      <c r="AU525">
        <v>2023</v>
      </c>
      <c r="AV525" t="s">
        <v>74</v>
      </c>
      <c r="AW525" t="s">
        <v>74</v>
      </c>
      <c r="AX525" t="s">
        <v>74</v>
      </c>
      <c r="AY525" t="s">
        <v>74</v>
      </c>
      <c r="AZ525" t="s">
        <v>74</v>
      </c>
      <c r="BA525" t="s">
        <v>74</v>
      </c>
      <c r="BB525" t="s">
        <v>74</v>
      </c>
      <c r="BC525" t="s">
        <v>74</v>
      </c>
      <c r="BD525" t="s">
        <v>74</v>
      </c>
      <c r="BE525" t="s">
        <v>10172</v>
      </c>
      <c r="BF525" t="str">
        <f>HYPERLINK("http://dx.doi.org/10.1002/lio2.1133","http://dx.doi.org/10.1002/lio2.1133")</f>
        <v>http://dx.doi.org/10.1002/lio2.1133</v>
      </c>
      <c r="BG525" t="s">
        <v>74</v>
      </c>
      <c r="BH525" t="s">
        <v>7524</v>
      </c>
      <c r="BI525">
        <v>9</v>
      </c>
      <c r="BJ525" t="s">
        <v>832</v>
      </c>
      <c r="BK525" t="s">
        <v>119</v>
      </c>
      <c r="BL525" t="s">
        <v>832</v>
      </c>
      <c r="BM525" t="s">
        <v>10173</v>
      </c>
      <c r="BN525" t="s">
        <v>74</v>
      </c>
      <c r="BO525" t="s">
        <v>234</v>
      </c>
      <c r="BP525" t="s">
        <v>74</v>
      </c>
      <c r="BQ525" t="s">
        <v>74</v>
      </c>
      <c r="BR525" t="s">
        <v>99</v>
      </c>
      <c r="BS525" t="s">
        <v>10174</v>
      </c>
      <c r="BT525" t="str">
        <f>HYPERLINK("https%3A%2F%2Fwww.webofscience.com%2Fwos%2Fwoscc%2Ffull-record%2FWOS:001050640100001","View Full Record in Web of Science")</f>
        <v>View Full Record in Web of Science</v>
      </c>
    </row>
    <row r="526" spans="1:72" x14ac:dyDescent="0.15">
      <c r="A526" t="s">
        <v>72</v>
      </c>
      <c r="B526" t="s">
        <v>10175</v>
      </c>
      <c r="C526" t="s">
        <v>74</v>
      </c>
      <c r="D526" t="s">
        <v>74</v>
      </c>
      <c r="E526" t="s">
        <v>74</v>
      </c>
      <c r="F526" t="s">
        <v>10176</v>
      </c>
      <c r="G526" t="s">
        <v>74</v>
      </c>
      <c r="H526" t="s">
        <v>74</v>
      </c>
      <c r="I526" t="s">
        <v>10177</v>
      </c>
      <c r="J526" t="s">
        <v>10178</v>
      </c>
      <c r="K526" t="s">
        <v>74</v>
      </c>
      <c r="L526" t="s">
        <v>74</v>
      </c>
      <c r="M526" t="s">
        <v>78</v>
      </c>
      <c r="N526" t="s">
        <v>338</v>
      </c>
      <c r="O526" t="s">
        <v>74</v>
      </c>
      <c r="P526" t="s">
        <v>74</v>
      </c>
      <c r="Q526" t="s">
        <v>74</v>
      </c>
      <c r="R526" t="s">
        <v>74</v>
      </c>
      <c r="S526" t="s">
        <v>74</v>
      </c>
      <c r="T526" t="s">
        <v>10179</v>
      </c>
      <c r="U526" t="s">
        <v>10180</v>
      </c>
      <c r="V526" t="s">
        <v>10181</v>
      </c>
      <c r="W526" t="s">
        <v>10182</v>
      </c>
      <c r="X526" t="s">
        <v>10183</v>
      </c>
      <c r="Y526" t="s">
        <v>10184</v>
      </c>
      <c r="Z526" t="s">
        <v>10185</v>
      </c>
      <c r="AA526" t="s">
        <v>74</v>
      </c>
      <c r="AB526" t="s">
        <v>74</v>
      </c>
      <c r="AC526" t="s">
        <v>10186</v>
      </c>
      <c r="AD526" t="s">
        <v>10187</v>
      </c>
      <c r="AE526" t="s">
        <v>10188</v>
      </c>
      <c r="AF526" t="s">
        <v>74</v>
      </c>
      <c r="AG526">
        <v>66</v>
      </c>
      <c r="AH526">
        <v>1</v>
      </c>
      <c r="AI526">
        <v>1</v>
      </c>
      <c r="AJ526">
        <v>0</v>
      </c>
      <c r="AK526">
        <v>0</v>
      </c>
      <c r="AL526" t="s">
        <v>87</v>
      </c>
      <c r="AM526" t="s">
        <v>88</v>
      </c>
      <c r="AN526" t="s">
        <v>89</v>
      </c>
      <c r="AO526" t="s">
        <v>10189</v>
      </c>
      <c r="AP526" t="s">
        <v>10190</v>
      </c>
      <c r="AQ526" t="s">
        <v>74</v>
      </c>
      <c r="AR526" t="s">
        <v>10178</v>
      </c>
      <c r="AS526" t="s">
        <v>10191</v>
      </c>
      <c r="AT526" t="s">
        <v>10099</v>
      </c>
      <c r="AU526">
        <v>2023</v>
      </c>
      <c r="AV526" t="s">
        <v>74</v>
      </c>
      <c r="AW526" t="s">
        <v>74</v>
      </c>
      <c r="AX526" t="s">
        <v>74</v>
      </c>
      <c r="AY526" t="s">
        <v>74</v>
      </c>
      <c r="AZ526" t="s">
        <v>74</v>
      </c>
      <c r="BA526" t="s">
        <v>74</v>
      </c>
      <c r="BB526" t="s">
        <v>74</v>
      </c>
      <c r="BC526" t="s">
        <v>74</v>
      </c>
      <c r="BD526" t="s">
        <v>74</v>
      </c>
      <c r="BE526" t="s">
        <v>10192</v>
      </c>
      <c r="BF526" t="str">
        <f>HYPERLINK("http://dx.doi.org/10.1002/glia.24458","http://dx.doi.org/10.1002/glia.24458")</f>
        <v>http://dx.doi.org/10.1002/glia.24458</v>
      </c>
      <c r="BG526" t="s">
        <v>74</v>
      </c>
      <c r="BH526" t="s">
        <v>7524</v>
      </c>
      <c r="BI526">
        <v>18</v>
      </c>
      <c r="BJ526" t="s">
        <v>10193</v>
      </c>
      <c r="BK526" t="s">
        <v>119</v>
      </c>
      <c r="BL526" t="s">
        <v>1562</v>
      </c>
      <c r="BM526" t="s">
        <v>10194</v>
      </c>
      <c r="BN526">
        <v>37596829</v>
      </c>
      <c r="BO526" t="s">
        <v>122</v>
      </c>
      <c r="BP526" t="s">
        <v>74</v>
      </c>
      <c r="BQ526" t="s">
        <v>74</v>
      </c>
      <c r="BR526" t="s">
        <v>99</v>
      </c>
      <c r="BS526" t="s">
        <v>10195</v>
      </c>
      <c r="BT526" t="str">
        <f>HYPERLINK("https%3A%2F%2Fwww.webofscience.com%2Fwos%2Fwoscc%2Ffull-record%2FWOS:001050534500001","View Full Record in Web of Science")</f>
        <v>View Full Record in Web of Science</v>
      </c>
    </row>
    <row r="527" spans="1:72" x14ac:dyDescent="0.15">
      <c r="A527" t="s">
        <v>72</v>
      </c>
      <c r="B527" t="s">
        <v>10196</v>
      </c>
      <c r="C527" t="s">
        <v>74</v>
      </c>
      <c r="D527" t="s">
        <v>74</v>
      </c>
      <c r="E527" t="s">
        <v>74</v>
      </c>
      <c r="F527" t="s">
        <v>10197</v>
      </c>
      <c r="G527" t="s">
        <v>74</v>
      </c>
      <c r="H527" t="s">
        <v>74</v>
      </c>
      <c r="I527" t="s">
        <v>10198</v>
      </c>
      <c r="J527" t="s">
        <v>10199</v>
      </c>
      <c r="K527" t="s">
        <v>74</v>
      </c>
      <c r="L527" t="s">
        <v>74</v>
      </c>
      <c r="M527" t="s">
        <v>78</v>
      </c>
      <c r="N527" t="s">
        <v>338</v>
      </c>
      <c r="O527" t="s">
        <v>74</v>
      </c>
      <c r="P527" t="s">
        <v>74</v>
      </c>
      <c r="Q527" t="s">
        <v>74</v>
      </c>
      <c r="R527" t="s">
        <v>74</v>
      </c>
      <c r="S527" t="s">
        <v>74</v>
      </c>
      <c r="T527" t="s">
        <v>10200</v>
      </c>
      <c r="U527" t="s">
        <v>10201</v>
      </c>
      <c r="V527" t="s">
        <v>10202</v>
      </c>
      <c r="W527" t="s">
        <v>10203</v>
      </c>
      <c r="X527" t="s">
        <v>10204</v>
      </c>
      <c r="Y527" t="s">
        <v>10205</v>
      </c>
      <c r="Z527" t="s">
        <v>10206</v>
      </c>
      <c r="AA527" t="s">
        <v>74</v>
      </c>
      <c r="AB527" t="s">
        <v>74</v>
      </c>
      <c r="AC527" t="s">
        <v>74</v>
      </c>
      <c r="AD527" t="s">
        <v>74</v>
      </c>
      <c r="AE527" t="s">
        <v>74</v>
      </c>
      <c r="AF527" t="s">
        <v>74</v>
      </c>
      <c r="AG527">
        <v>40</v>
      </c>
      <c r="AH527">
        <v>0</v>
      </c>
      <c r="AI527">
        <v>0</v>
      </c>
      <c r="AJ527">
        <v>0</v>
      </c>
      <c r="AK527">
        <v>0</v>
      </c>
      <c r="AL527" t="s">
        <v>87</v>
      </c>
      <c r="AM527" t="s">
        <v>88</v>
      </c>
      <c r="AN527" t="s">
        <v>89</v>
      </c>
      <c r="AO527" t="s">
        <v>10207</v>
      </c>
      <c r="AP527" t="s">
        <v>10208</v>
      </c>
      <c r="AQ527" t="s">
        <v>74</v>
      </c>
      <c r="AR527" t="s">
        <v>10209</v>
      </c>
      <c r="AS527" t="s">
        <v>10210</v>
      </c>
      <c r="AT527" t="s">
        <v>10099</v>
      </c>
      <c r="AU527">
        <v>2023</v>
      </c>
      <c r="AV527" t="s">
        <v>74</v>
      </c>
      <c r="AW527" t="s">
        <v>74</v>
      </c>
      <c r="AX527" t="s">
        <v>74</v>
      </c>
      <c r="AY527" t="s">
        <v>74</v>
      </c>
      <c r="AZ527" t="s">
        <v>74</v>
      </c>
      <c r="BA527" t="s">
        <v>74</v>
      </c>
      <c r="BB527" t="s">
        <v>74</v>
      </c>
      <c r="BC527" t="s">
        <v>74</v>
      </c>
      <c r="BD527" t="s">
        <v>74</v>
      </c>
      <c r="BE527" t="s">
        <v>10211</v>
      </c>
      <c r="BF527" t="str">
        <f>HYPERLINK("http://dx.doi.org/10.1002/qua.27211","http://dx.doi.org/10.1002/qua.27211")</f>
        <v>http://dx.doi.org/10.1002/qua.27211</v>
      </c>
      <c r="BG527" t="s">
        <v>74</v>
      </c>
      <c r="BH527" t="s">
        <v>7524</v>
      </c>
      <c r="BI527">
        <v>12</v>
      </c>
      <c r="BJ527" t="s">
        <v>10212</v>
      </c>
      <c r="BK527" t="s">
        <v>119</v>
      </c>
      <c r="BL527" t="s">
        <v>10213</v>
      </c>
      <c r="BM527" t="s">
        <v>10214</v>
      </c>
      <c r="BN527" t="s">
        <v>74</v>
      </c>
      <c r="BO527" t="s">
        <v>74</v>
      </c>
      <c r="BP527" t="s">
        <v>74</v>
      </c>
      <c r="BQ527" t="s">
        <v>74</v>
      </c>
      <c r="BR527" t="s">
        <v>99</v>
      </c>
      <c r="BS527" t="s">
        <v>10215</v>
      </c>
      <c r="BT527" t="str">
        <f>HYPERLINK("https%3A%2F%2Fwww.webofscience.com%2Fwos%2Fwoscc%2Ffull-record%2FWOS:001051287700001","View Full Record in Web of Science")</f>
        <v>View Full Record in Web of Science</v>
      </c>
    </row>
    <row r="528" spans="1:72" x14ac:dyDescent="0.15">
      <c r="A528" t="s">
        <v>72</v>
      </c>
      <c r="B528" t="s">
        <v>10216</v>
      </c>
      <c r="C528" t="s">
        <v>74</v>
      </c>
      <c r="D528" t="s">
        <v>74</v>
      </c>
      <c r="E528" t="s">
        <v>74</v>
      </c>
      <c r="F528" t="s">
        <v>10217</v>
      </c>
      <c r="G528" t="s">
        <v>74</v>
      </c>
      <c r="H528" t="s">
        <v>74</v>
      </c>
      <c r="I528" t="s">
        <v>10218</v>
      </c>
      <c r="J528" t="s">
        <v>10219</v>
      </c>
      <c r="K528" t="s">
        <v>74</v>
      </c>
      <c r="L528" t="s">
        <v>74</v>
      </c>
      <c r="M528" t="s">
        <v>78</v>
      </c>
      <c r="N528" t="s">
        <v>338</v>
      </c>
      <c r="O528" t="s">
        <v>74</v>
      </c>
      <c r="P528" t="s">
        <v>74</v>
      </c>
      <c r="Q528" t="s">
        <v>74</v>
      </c>
      <c r="R528" t="s">
        <v>74</v>
      </c>
      <c r="S528" t="s">
        <v>74</v>
      </c>
      <c r="T528" t="s">
        <v>10220</v>
      </c>
      <c r="U528" t="s">
        <v>10221</v>
      </c>
      <c r="V528" t="s">
        <v>10222</v>
      </c>
      <c r="W528" t="s">
        <v>10223</v>
      </c>
      <c r="X528" t="s">
        <v>10224</v>
      </c>
      <c r="Y528" t="s">
        <v>10225</v>
      </c>
      <c r="Z528" t="s">
        <v>10226</v>
      </c>
      <c r="AA528" t="s">
        <v>74</v>
      </c>
      <c r="AB528" t="s">
        <v>74</v>
      </c>
      <c r="AC528" t="s">
        <v>10227</v>
      </c>
      <c r="AD528" t="s">
        <v>10227</v>
      </c>
      <c r="AE528" t="s">
        <v>10228</v>
      </c>
      <c r="AF528" t="s">
        <v>74</v>
      </c>
      <c r="AG528">
        <v>30</v>
      </c>
      <c r="AH528">
        <v>0</v>
      </c>
      <c r="AI528">
        <v>0</v>
      </c>
      <c r="AJ528">
        <v>1</v>
      </c>
      <c r="AK528">
        <v>1</v>
      </c>
      <c r="AL528" t="s">
        <v>87</v>
      </c>
      <c r="AM528" t="s">
        <v>88</v>
      </c>
      <c r="AN528" t="s">
        <v>89</v>
      </c>
      <c r="AO528" t="s">
        <v>10229</v>
      </c>
      <c r="AP528" t="s">
        <v>10230</v>
      </c>
      <c r="AQ528" t="s">
        <v>74</v>
      </c>
      <c r="AR528" t="s">
        <v>10231</v>
      </c>
      <c r="AS528" t="s">
        <v>10232</v>
      </c>
      <c r="AT528" t="s">
        <v>10099</v>
      </c>
      <c r="AU528">
        <v>2023</v>
      </c>
      <c r="AV528" t="s">
        <v>74</v>
      </c>
      <c r="AW528" t="s">
        <v>74</v>
      </c>
      <c r="AX528" t="s">
        <v>74</v>
      </c>
      <c r="AY528" t="s">
        <v>74</v>
      </c>
      <c r="AZ528" t="s">
        <v>74</v>
      </c>
      <c r="BA528" t="s">
        <v>74</v>
      </c>
      <c r="BB528" t="s">
        <v>74</v>
      </c>
      <c r="BC528" t="s">
        <v>74</v>
      </c>
      <c r="BD528" t="s">
        <v>74</v>
      </c>
      <c r="BE528" t="s">
        <v>10233</v>
      </c>
      <c r="BF528" t="str">
        <f>HYPERLINK("http://dx.doi.org/10.1002/jsde.12704","http://dx.doi.org/10.1002/jsde.12704")</f>
        <v>http://dx.doi.org/10.1002/jsde.12704</v>
      </c>
      <c r="BG528" t="s">
        <v>74</v>
      </c>
      <c r="BH528" t="s">
        <v>7524</v>
      </c>
      <c r="BI528">
        <v>7</v>
      </c>
      <c r="BJ528" t="s">
        <v>10234</v>
      </c>
      <c r="BK528" t="s">
        <v>119</v>
      </c>
      <c r="BL528" t="s">
        <v>10235</v>
      </c>
      <c r="BM528" t="s">
        <v>10236</v>
      </c>
      <c r="BN528" t="s">
        <v>74</v>
      </c>
      <c r="BO528" t="s">
        <v>74</v>
      </c>
      <c r="BP528" t="s">
        <v>74</v>
      </c>
      <c r="BQ528" t="s">
        <v>74</v>
      </c>
      <c r="BR528" t="s">
        <v>99</v>
      </c>
      <c r="BS528" t="s">
        <v>10237</v>
      </c>
      <c r="BT528" t="str">
        <f>HYPERLINK("https%3A%2F%2Fwww.webofscience.com%2Fwos%2Fwoscc%2Ffull-record%2FWOS:001050562300001","View Full Record in Web of Science")</f>
        <v>View Full Record in Web of Science</v>
      </c>
    </row>
    <row r="529" spans="1:72" x14ac:dyDescent="0.15">
      <c r="A529" t="s">
        <v>72</v>
      </c>
      <c r="B529" t="s">
        <v>10238</v>
      </c>
      <c r="C529" t="s">
        <v>74</v>
      </c>
      <c r="D529" t="s">
        <v>74</v>
      </c>
      <c r="E529" t="s">
        <v>74</v>
      </c>
      <c r="F529" t="s">
        <v>10239</v>
      </c>
      <c r="G529" t="s">
        <v>74</v>
      </c>
      <c r="H529" t="s">
        <v>74</v>
      </c>
      <c r="I529" t="s">
        <v>10240</v>
      </c>
      <c r="J529" t="s">
        <v>4340</v>
      </c>
      <c r="K529" t="s">
        <v>74</v>
      </c>
      <c r="L529" t="s">
        <v>74</v>
      </c>
      <c r="M529" t="s">
        <v>78</v>
      </c>
      <c r="N529" t="s">
        <v>338</v>
      </c>
      <c r="O529" t="s">
        <v>74</v>
      </c>
      <c r="P529" t="s">
        <v>74</v>
      </c>
      <c r="Q529" t="s">
        <v>74</v>
      </c>
      <c r="R529" t="s">
        <v>74</v>
      </c>
      <c r="S529" t="s">
        <v>74</v>
      </c>
      <c r="T529" t="s">
        <v>10241</v>
      </c>
      <c r="U529" t="s">
        <v>10242</v>
      </c>
      <c r="V529" t="s">
        <v>10243</v>
      </c>
      <c r="W529" t="s">
        <v>10244</v>
      </c>
      <c r="X529" t="s">
        <v>10245</v>
      </c>
      <c r="Y529" t="s">
        <v>10246</v>
      </c>
      <c r="Z529" t="s">
        <v>10247</v>
      </c>
      <c r="AA529" t="s">
        <v>74</v>
      </c>
      <c r="AB529" t="s">
        <v>74</v>
      </c>
      <c r="AC529" t="s">
        <v>10248</v>
      </c>
      <c r="AD529" t="s">
        <v>10249</v>
      </c>
      <c r="AE529" t="s">
        <v>10250</v>
      </c>
      <c r="AF529" t="s">
        <v>74</v>
      </c>
      <c r="AG529">
        <v>44</v>
      </c>
      <c r="AH529">
        <v>0</v>
      </c>
      <c r="AI529">
        <v>0</v>
      </c>
      <c r="AJ529">
        <v>0</v>
      </c>
      <c r="AK529">
        <v>0</v>
      </c>
      <c r="AL529" t="s">
        <v>87</v>
      </c>
      <c r="AM529" t="s">
        <v>88</v>
      </c>
      <c r="AN529" t="s">
        <v>89</v>
      </c>
      <c r="AO529" t="s">
        <v>4353</v>
      </c>
      <c r="AP529" t="s">
        <v>4354</v>
      </c>
      <c r="AQ529" t="s">
        <v>74</v>
      </c>
      <c r="AR529" t="s">
        <v>4355</v>
      </c>
      <c r="AS529" t="s">
        <v>4356</v>
      </c>
      <c r="AT529" t="s">
        <v>10099</v>
      </c>
      <c r="AU529">
        <v>2023</v>
      </c>
      <c r="AV529" t="s">
        <v>74</v>
      </c>
      <c r="AW529" t="s">
        <v>74</v>
      </c>
      <c r="AX529" t="s">
        <v>74</v>
      </c>
      <c r="AY529" t="s">
        <v>74</v>
      </c>
      <c r="AZ529" t="s">
        <v>74</v>
      </c>
      <c r="BA529" t="s">
        <v>74</v>
      </c>
      <c r="BB529" t="s">
        <v>74</v>
      </c>
      <c r="BC529" t="s">
        <v>74</v>
      </c>
      <c r="BD529" t="s">
        <v>74</v>
      </c>
      <c r="BE529" t="s">
        <v>10251</v>
      </c>
      <c r="BF529" t="str">
        <f>HYPERLINK("http://dx.doi.org/10.1002/ijc.34694","http://dx.doi.org/10.1002/ijc.34694")</f>
        <v>http://dx.doi.org/10.1002/ijc.34694</v>
      </c>
      <c r="BG529" t="s">
        <v>74</v>
      </c>
      <c r="BH529" t="s">
        <v>7524</v>
      </c>
      <c r="BI529">
        <v>15</v>
      </c>
      <c r="BJ529" t="s">
        <v>789</v>
      </c>
      <c r="BK529" t="s">
        <v>119</v>
      </c>
      <c r="BL529" t="s">
        <v>789</v>
      </c>
      <c r="BM529" t="s">
        <v>10252</v>
      </c>
      <c r="BN529">
        <v>37596989</v>
      </c>
      <c r="BO529" t="s">
        <v>74</v>
      </c>
      <c r="BP529" t="s">
        <v>74</v>
      </c>
      <c r="BQ529" t="s">
        <v>74</v>
      </c>
      <c r="BR529" t="s">
        <v>99</v>
      </c>
      <c r="BS529" t="s">
        <v>10253</v>
      </c>
      <c r="BT529" t="str">
        <f>HYPERLINK("https%3A%2F%2Fwww.webofscience.com%2Fwos%2Fwoscc%2Ffull-record%2FWOS:001051277300001","View Full Record in Web of Science")</f>
        <v>View Full Record in Web of Science</v>
      </c>
    </row>
    <row r="530" spans="1:72" x14ac:dyDescent="0.15">
      <c r="A530" t="s">
        <v>72</v>
      </c>
      <c r="B530" t="s">
        <v>10254</v>
      </c>
      <c r="C530" t="s">
        <v>74</v>
      </c>
      <c r="D530" t="s">
        <v>74</v>
      </c>
      <c r="E530" t="s">
        <v>74</v>
      </c>
      <c r="F530" t="s">
        <v>10255</v>
      </c>
      <c r="G530" t="s">
        <v>74</v>
      </c>
      <c r="H530" t="s">
        <v>74</v>
      </c>
      <c r="I530" t="s">
        <v>10256</v>
      </c>
      <c r="J530" t="s">
        <v>4225</v>
      </c>
      <c r="K530" t="s">
        <v>74</v>
      </c>
      <c r="L530" t="s">
        <v>74</v>
      </c>
      <c r="M530" t="s">
        <v>78</v>
      </c>
      <c r="N530" t="s">
        <v>2743</v>
      </c>
      <c r="O530" t="s">
        <v>74</v>
      </c>
      <c r="P530" t="s">
        <v>74</v>
      </c>
      <c r="Q530" t="s">
        <v>74</v>
      </c>
      <c r="R530" t="s">
        <v>74</v>
      </c>
      <c r="S530" t="s">
        <v>74</v>
      </c>
      <c r="T530" t="s">
        <v>74</v>
      </c>
      <c r="U530" t="s">
        <v>10257</v>
      </c>
      <c r="V530" t="s">
        <v>74</v>
      </c>
      <c r="W530" t="s">
        <v>10258</v>
      </c>
      <c r="X530" t="s">
        <v>74</v>
      </c>
      <c r="Y530" t="s">
        <v>10259</v>
      </c>
      <c r="Z530" t="s">
        <v>10260</v>
      </c>
      <c r="AA530" t="s">
        <v>74</v>
      </c>
      <c r="AB530" t="s">
        <v>10261</v>
      </c>
      <c r="AC530" t="s">
        <v>74</v>
      </c>
      <c r="AD530" t="s">
        <v>74</v>
      </c>
      <c r="AE530" t="s">
        <v>74</v>
      </c>
      <c r="AF530" t="s">
        <v>74</v>
      </c>
      <c r="AG530">
        <v>7</v>
      </c>
      <c r="AH530">
        <v>0</v>
      </c>
      <c r="AI530">
        <v>0</v>
      </c>
      <c r="AJ530">
        <v>3</v>
      </c>
      <c r="AK530">
        <v>3</v>
      </c>
      <c r="AL530" t="s">
        <v>87</v>
      </c>
      <c r="AM530" t="s">
        <v>88</v>
      </c>
      <c r="AN530" t="s">
        <v>89</v>
      </c>
      <c r="AO530" t="s">
        <v>4233</v>
      </c>
      <c r="AP530" t="s">
        <v>4234</v>
      </c>
      <c r="AQ530" t="s">
        <v>74</v>
      </c>
      <c r="AR530" t="s">
        <v>4235</v>
      </c>
      <c r="AS530" t="s">
        <v>4236</v>
      </c>
      <c r="AT530" t="s">
        <v>10262</v>
      </c>
      <c r="AU530">
        <v>2023</v>
      </c>
      <c r="AV530" t="s">
        <v>74</v>
      </c>
      <c r="AW530" t="s">
        <v>74</v>
      </c>
      <c r="AX530" t="s">
        <v>74</v>
      </c>
      <c r="AY530" t="s">
        <v>74</v>
      </c>
      <c r="AZ530" t="s">
        <v>74</v>
      </c>
      <c r="BA530" t="s">
        <v>74</v>
      </c>
      <c r="BB530" t="s">
        <v>74</v>
      </c>
      <c r="BC530" t="s">
        <v>74</v>
      </c>
      <c r="BD530" t="s">
        <v>74</v>
      </c>
      <c r="BE530" t="s">
        <v>10263</v>
      </c>
      <c r="BF530" t="str">
        <f>HYPERLINK("http://dx.doi.org/10.1111/jocd.15902","http://dx.doi.org/10.1111/jocd.15902")</f>
        <v>http://dx.doi.org/10.1111/jocd.15902</v>
      </c>
      <c r="BG530" t="s">
        <v>74</v>
      </c>
      <c r="BH530" t="s">
        <v>7524</v>
      </c>
      <c r="BI530">
        <v>3</v>
      </c>
      <c r="BJ530" t="s">
        <v>2541</v>
      </c>
      <c r="BK530" t="s">
        <v>119</v>
      </c>
      <c r="BL530" t="s">
        <v>2541</v>
      </c>
      <c r="BM530" t="s">
        <v>10264</v>
      </c>
      <c r="BN530">
        <v>37594173</v>
      </c>
      <c r="BO530" t="s">
        <v>122</v>
      </c>
      <c r="BP530" t="s">
        <v>74</v>
      </c>
      <c r="BQ530" t="s">
        <v>74</v>
      </c>
      <c r="BR530" t="s">
        <v>99</v>
      </c>
      <c r="BS530" t="s">
        <v>10265</v>
      </c>
      <c r="BT530" t="str">
        <f>HYPERLINK("https%3A%2F%2Fwww.webofscience.com%2Fwos%2Fwoscc%2Ffull-record%2FWOS:001050553200001","View Full Record in Web of Science")</f>
        <v>View Full Record in Web of Science</v>
      </c>
    </row>
    <row r="531" spans="1:72" x14ac:dyDescent="0.15">
      <c r="A531" t="s">
        <v>72</v>
      </c>
      <c r="B531" t="s">
        <v>10266</v>
      </c>
      <c r="C531" t="s">
        <v>74</v>
      </c>
      <c r="D531" t="s">
        <v>74</v>
      </c>
      <c r="E531" t="s">
        <v>74</v>
      </c>
      <c r="F531" t="s">
        <v>10267</v>
      </c>
      <c r="G531" t="s">
        <v>74</v>
      </c>
      <c r="H531" t="s">
        <v>74</v>
      </c>
      <c r="I531" t="s">
        <v>10268</v>
      </c>
      <c r="J531" t="s">
        <v>3411</v>
      </c>
      <c r="K531" t="s">
        <v>74</v>
      </c>
      <c r="L531" t="s">
        <v>74</v>
      </c>
      <c r="M531" t="s">
        <v>78</v>
      </c>
      <c r="N531" t="s">
        <v>2743</v>
      </c>
      <c r="O531" t="s">
        <v>74</v>
      </c>
      <c r="P531" t="s">
        <v>74</v>
      </c>
      <c r="Q531" t="s">
        <v>74</v>
      </c>
      <c r="R531" t="s">
        <v>74</v>
      </c>
      <c r="S531" t="s">
        <v>74</v>
      </c>
      <c r="T531" t="s">
        <v>10269</v>
      </c>
      <c r="U531" t="s">
        <v>10270</v>
      </c>
      <c r="V531" t="s">
        <v>74</v>
      </c>
      <c r="W531" t="s">
        <v>10271</v>
      </c>
      <c r="X531" t="s">
        <v>10272</v>
      </c>
      <c r="Y531" t="s">
        <v>10273</v>
      </c>
      <c r="Z531" t="s">
        <v>10274</v>
      </c>
      <c r="AA531" t="s">
        <v>74</v>
      </c>
      <c r="AB531" t="s">
        <v>74</v>
      </c>
      <c r="AC531" t="s">
        <v>74</v>
      </c>
      <c r="AD531" t="s">
        <v>74</v>
      </c>
      <c r="AE531" t="s">
        <v>74</v>
      </c>
      <c r="AF531" t="s">
        <v>74</v>
      </c>
      <c r="AG531">
        <v>4</v>
      </c>
      <c r="AH531">
        <v>0</v>
      </c>
      <c r="AI531">
        <v>0</v>
      </c>
      <c r="AJ531">
        <v>0</v>
      </c>
      <c r="AK531">
        <v>0</v>
      </c>
      <c r="AL531" t="s">
        <v>87</v>
      </c>
      <c r="AM531" t="s">
        <v>88</v>
      </c>
      <c r="AN531" t="s">
        <v>89</v>
      </c>
      <c r="AO531" t="s">
        <v>3422</v>
      </c>
      <c r="AP531" t="s">
        <v>3423</v>
      </c>
      <c r="AQ531" t="s">
        <v>74</v>
      </c>
      <c r="AR531" t="s">
        <v>3424</v>
      </c>
      <c r="AS531" t="s">
        <v>3425</v>
      </c>
      <c r="AT531" t="s">
        <v>10262</v>
      </c>
      <c r="AU531">
        <v>2023</v>
      </c>
      <c r="AV531" t="s">
        <v>74</v>
      </c>
      <c r="AW531" t="s">
        <v>74</v>
      </c>
      <c r="AX531" t="s">
        <v>74</v>
      </c>
      <c r="AY531" t="s">
        <v>74</v>
      </c>
      <c r="AZ531" t="s">
        <v>74</v>
      </c>
      <c r="BA531" t="s">
        <v>74</v>
      </c>
      <c r="BB531" t="s">
        <v>74</v>
      </c>
      <c r="BC531" t="s">
        <v>74</v>
      </c>
      <c r="BD531" t="s">
        <v>74</v>
      </c>
      <c r="BE531" t="s">
        <v>10275</v>
      </c>
      <c r="BF531" t="str">
        <f>HYPERLINK("http://dx.doi.org/10.1002/ppul.26639","http://dx.doi.org/10.1002/ppul.26639")</f>
        <v>http://dx.doi.org/10.1002/ppul.26639</v>
      </c>
      <c r="BG531" t="s">
        <v>74</v>
      </c>
      <c r="BH531" t="s">
        <v>7524</v>
      </c>
      <c r="BI531">
        <v>3</v>
      </c>
      <c r="BJ531" t="s">
        <v>3427</v>
      </c>
      <c r="BK531" t="s">
        <v>119</v>
      </c>
      <c r="BL531" t="s">
        <v>3427</v>
      </c>
      <c r="BM531" t="s">
        <v>10276</v>
      </c>
      <c r="BN531">
        <v>37594146</v>
      </c>
      <c r="BO531" t="s">
        <v>74</v>
      </c>
      <c r="BP531" t="s">
        <v>74</v>
      </c>
      <c r="BQ531" t="s">
        <v>74</v>
      </c>
      <c r="BR531" t="s">
        <v>99</v>
      </c>
      <c r="BS531" t="s">
        <v>10277</v>
      </c>
      <c r="BT531" t="str">
        <f>HYPERLINK("https%3A%2F%2Fwww.webofscience.com%2Fwos%2Fwoscc%2Ffull-record%2FWOS:001050534700001","View Full Record in Web of Science")</f>
        <v>View Full Record in Web of Science</v>
      </c>
    </row>
    <row r="532" spans="1:72" x14ac:dyDescent="0.15">
      <c r="A532" t="s">
        <v>72</v>
      </c>
      <c r="B532" t="s">
        <v>10278</v>
      </c>
      <c r="C532" t="s">
        <v>74</v>
      </c>
      <c r="D532" t="s">
        <v>74</v>
      </c>
      <c r="E532" t="s">
        <v>74</v>
      </c>
      <c r="F532" t="s">
        <v>10279</v>
      </c>
      <c r="G532" t="s">
        <v>74</v>
      </c>
      <c r="H532" t="s">
        <v>74</v>
      </c>
      <c r="I532" t="s">
        <v>10280</v>
      </c>
      <c r="J532" t="s">
        <v>10281</v>
      </c>
      <c r="K532" t="s">
        <v>74</v>
      </c>
      <c r="L532" t="s">
        <v>74</v>
      </c>
      <c r="M532" t="s">
        <v>78</v>
      </c>
      <c r="N532" t="s">
        <v>338</v>
      </c>
      <c r="O532" t="s">
        <v>74</v>
      </c>
      <c r="P532" t="s">
        <v>74</v>
      </c>
      <c r="Q532" t="s">
        <v>74</v>
      </c>
      <c r="R532" t="s">
        <v>74</v>
      </c>
      <c r="S532" t="s">
        <v>74</v>
      </c>
      <c r="T532" t="s">
        <v>74</v>
      </c>
      <c r="U532" t="s">
        <v>10282</v>
      </c>
      <c r="V532" t="s">
        <v>10283</v>
      </c>
      <c r="W532" t="s">
        <v>10284</v>
      </c>
      <c r="X532" t="s">
        <v>10285</v>
      </c>
      <c r="Y532" t="s">
        <v>10286</v>
      </c>
      <c r="Z532" t="s">
        <v>10287</v>
      </c>
      <c r="AA532" t="s">
        <v>74</v>
      </c>
      <c r="AB532" t="s">
        <v>10288</v>
      </c>
      <c r="AC532" t="s">
        <v>10289</v>
      </c>
      <c r="AD532" t="s">
        <v>10290</v>
      </c>
      <c r="AE532" t="s">
        <v>10291</v>
      </c>
      <c r="AF532" t="s">
        <v>74</v>
      </c>
      <c r="AG532">
        <v>13</v>
      </c>
      <c r="AH532">
        <v>0</v>
      </c>
      <c r="AI532">
        <v>0</v>
      </c>
      <c r="AJ532">
        <v>0</v>
      </c>
      <c r="AK532">
        <v>0</v>
      </c>
      <c r="AL532" t="s">
        <v>87</v>
      </c>
      <c r="AM532" t="s">
        <v>88</v>
      </c>
      <c r="AN532" t="s">
        <v>89</v>
      </c>
      <c r="AO532" t="s">
        <v>10292</v>
      </c>
      <c r="AP532" t="s">
        <v>10293</v>
      </c>
      <c r="AQ532" t="s">
        <v>74</v>
      </c>
      <c r="AR532" t="s">
        <v>10281</v>
      </c>
      <c r="AS532" t="s">
        <v>10281</v>
      </c>
      <c r="AT532" t="s">
        <v>10262</v>
      </c>
      <c r="AU532">
        <v>2023</v>
      </c>
      <c r="AV532" t="s">
        <v>74</v>
      </c>
      <c r="AW532" t="s">
        <v>74</v>
      </c>
      <c r="AX532" t="s">
        <v>74</v>
      </c>
      <c r="AY532" t="s">
        <v>74</v>
      </c>
      <c r="AZ532" t="s">
        <v>74</v>
      </c>
      <c r="BA532" t="s">
        <v>74</v>
      </c>
      <c r="BB532" t="s">
        <v>74</v>
      </c>
      <c r="BC532" t="s">
        <v>74</v>
      </c>
      <c r="BD532" t="s">
        <v>74</v>
      </c>
      <c r="BE532" t="s">
        <v>10294</v>
      </c>
      <c r="BF532" t="str">
        <f>HYPERLINK("http://dx.doi.org/10.1002/pmrj.13037","http://dx.doi.org/10.1002/pmrj.13037")</f>
        <v>http://dx.doi.org/10.1002/pmrj.13037</v>
      </c>
      <c r="BG532" t="s">
        <v>74</v>
      </c>
      <c r="BH532" t="s">
        <v>7524</v>
      </c>
      <c r="BI532">
        <v>6</v>
      </c>
      <c r="BJ532" t="s">
        <v>10295</v>
      </c>
      <c r="BK532" t="s">
        <v>119</v>
      </c>
      <c r="BL532" t="s">
        <v>10295</v>
      </c>
      <c r="BM532" t="s">
        <v>10296</v>
      </c>
      <c r="BN532">
        <v>37448374</v>
      </c>
      <c r="BO532" t="s">
        <v>122</v>
      </c>
      <c r="BP532" t="s">
        <v>74</v>
      </c>
      <c r="BQ532" t="s">
        <v>74</v>
      </c>
      <c r="BR532" t="s">
        <v>99</v>
      </c>
      <c r="BS532" t="s">
        <v>10297</v>
      </c>
      <c r="BT532" t="str">
        <f>HYPERLINK("https%3A%2F%2Fwww.webofscience.com%2Fwos%2Fwoscc%2Ffull-record%2FWOS:001050551200001","View Full Record in Web of Science")</f>
        <v>View Full Record in Web of Science</v>
      </c>
    </row>
    <row r="533" spans="1:72" x14ac:dyDescent="0.15">
      <c r="A533" t="s">
        <v>72</v>
      </c>
      <c r="B533" t="s">
        <v>10298</v>
      </c>
      <c r="C533" t="s">
        <v>74</v>
      </c>
      <c r="D533" t="s">
        <v>74</v>
      </c>
      <c r="E533" t="s">
        <v>74</v>
      </c>
      <c r="F533" t="s">
        <v>10299</v>
      </c>
      <c r="G533" t="s">
        <v>74</v>
      </c>
      <c r="H533" t="s">
        <v>74</v>
      </c>
      <c r="I533" t="s">
        <v>10300</v>
      </c>
      <c r="J533" t="s">
        <v>3370</v>
      </c>
      <c r="K533" t="s">
        <v>74</v>
      </c>
      <c r="L533" t="s">
        <v>74</v>
      </c>
      <c r="M533" t="s">
        <v>78</v>
      </c>
      <c r="N533" t="s">
        <v>338</v>
      </c>
      <c r="O533" t="s">
        <v>74</v>
      </c>
      <c r="P533" t="s">
        <v>74</v>
      </c>
      <c r="Q533" t="s">
        <v>74</v>
      </c>
      <c r="R533" t="s">
        <v>74</v>
      </c>
      <c r="S533" t="s">
        <v>74</v>
      </c>
      <c r="T533" t="s">
        <v>10301</v>
      </c>
      <c r="U533" t="s">
        <v>10302</v>
      </c>
      <c r="V533" t="s">
        <v>10303</v>
      </c>
      <c r="W533" t="s">
        <v>10304</v>
      </c>
      <c r="X533" t="s">
        <v>2552</v>
      </c>
      <c r="Y533" t="s">
        <v>10305</v>
      </c>
      <c r="Z533" t="s">
        <v>10306</v>
      </c>
      <c r="AA533" t="s">
        <v>74</v>
      </c>
      <c r="AB533" t="s">
        <v>10307</v>
      </c>
      <c r="AC533" t="s">
        <v>10308</v>
      </c>
      <c r="AD533" t="s">
        <v>10309</v>
      </c>
      <c r="AE533" t="s">
        <v>10310</v>
      </c>
      <c r="AF533" t="s">
        <v>74</v>
      </c>
      <c r="AG533">
        <v>57</v>
      </c>
      <c r="AH533">
        <v>0</v>
      </c>
      <c r="AI533">
        <v>0</v>
      </c>
      <c r="AJ533">
        <v>2</v>
      </c>
      <c r="AK533">
        <v>2</v>
      </c>
      <c r="AL533" t="s">
        <v>426</v>
      </c>
      <c r="AM533" t="s">
        <v>427</v>
      </c>
      <c r="AN533" t="s">
        <v>428</v>
      </c>
      <c r="AO533" t="s">
        <v>3381</v>
      </c>
      <c r="AP533" t="s">
        <v>74</v>
      </c>
      <c r="AQ533" t="s">
        <v>74</v>
      </c>
      <c r="AR533" t="s">
        <v>3382</v>
      </c>
      <c r="AS533" t="s">
        <v>3383</v>
      </c>
      <c r="AT533" t="s">
        <v>10262</v>
      </c>
      <c r="AU533">
        <v>2023</v>
      </c>
      <c r="AV533" t="s">
        <v>74</v>
      </c>
      <c r="AW533" t="s">
        <v>74</v>
      </c>
      <c r="AX533" t="s">
        <v>74</v>
      </c>
      <c r="AY533" t="s">
        <v>74</v>
      </c>
      <c r="AZ533" t="s">
        <v>74</v>
      </c>
      <c r="BA533" t="s">
        <v>74</v>
      </c>
      <c r="BB533" t="s">
        <v>74</v>
      </c>
      <c r="BC533" t="s">
        <v>74</v>
      </c>
      <c r="BD533" t="s">
        <v>74</v>
      </c>
      <c r="BE533" t="s">
        <v>10311</v>
      </c>
      <c r="BF533" t="str">
        <f>HYPERLINK("http://dx.doi.org/10.1002/adom.202300617","http://dx.doi.org/10.1002/adom.202300617")</f>
        <v>http://dx.doi.org/10.1002/adom.202300617</v>
      </c>
      <c r="BG533" t="s">
        <v>74</v>
      </c>
      <c r="BH533" t="s">
        <v>7524</v>
      </c>
      <c r="BI533">
        <v>7</v>
      </c>
      <c r="BJ533" t="s">
        <v>3385</v>
      </c>
      <c r="BK533" t="s">
        <v>119</v>
      </c>
      <c r="BL533" t="s">
        <v>3386</v>
      </c>
      <c r="BM533" t="s">
        <v>10312</v>
      </c>
      <c r="BN533" t="s">
        <v>74</v>
      </c>
      <c r="BO533" t="s">
        <v>74</v>
      </c>
      <c r="BP533" t="s">
        <v>74</v>
      </c>
      <c r="BQ533" t="s">
        <v>74</v>
      </c>
      <c r="BR533" t="s">
        <v>99</v>
      </c>
      <c r="BS533" t="s">
        <v>10313</v>
      </c>
      <c r="BT533" t="str">
        <f>HYPERLINK("https%3A%2F%2Fwww.webofscience.com%2Fwos%2Fwoscc%2Ffull-record%2FWOS:001049718700001","View Full Record in Web of Science")</f>
        <v>View Full Record in Web of Science</v>
      </c>
    </row>
    <row r="534" spans="1:72" x14ac:dyDescent="0.15">
      <c r="A534" t="s">
        <v>72</v>
      </c>
      <c r="B534" t="s">
        <v>10314</v>
      </c>
      <c r="C534" t="s">
        <v>74</v>
      </c>
      <c r="D534" t="s">
        <v>74</v>
      </c>
      <c r="E534" t="s">
        <v>74</v>
      </c>
      <c r="F534" t="s">
        <v>10315</v>
      </c>
      <c r="G534" t="s">
        <v>74</v>
      </c>
      <c r="H534" t="s">
        <v>74</v>
      </c>
      <c r="I534" t="s">
        <v>10316</v>
      </c>
      <c r="J534" t="s">
        <v>10317</v>
      </c>
      <c r="K534" t="s">
        <v>74</v>
      </c>
      <c r="L534" t="s">
        <v>74</v>
      </c>
      <c r="M534" t="s">
        <v>78</v>
      </c>
      <c r="N534" t="s">
        <v>307</v>
      </c>
      <c r="O534" t="s">
        <v>74</v>
      </c>
      <c r="P534" t="s">
        <v>74</v>
      </c>
      <c r="Q534" t="s">
        <v>74</v>
      </c>
      <c r="R534" t="s">
        <v>74</v>
      </c>
      <c r="S534" t="s">
        <v>74</v>
      </c>
      <c r="T534" t="s">
        <v>10318</v>
      </c>
      <c r="U534" t="s">
        <v>10319</v>
      </c>
      <c r="V534" t="s">
        <v>74</v>
      </c>
      <c r="W534" t="s">
        <v>10320</v>
      </c>
      <c r="X534" t="s">
        <v>10321</v>
      </c>
      <c r="Y534" t="s">
        <v>10322</v>
      </c>
      <c r="Z534" t="s">
        <v>10323</v>
      </c>
      <c r="AA534" t="s">
        <v>74</v>
      </c>
      <c r="AB534" t="s">
        <v>74</v>
      </c>
      <c r="AC534" t="s">
        <v>74</v>
      </c>
      <c r="AD534" t="s">
        <v>74</v>
      </c>
      <c r="AE534" t="s">
        <v>74</v>
      </c>
      <c r="AF534" t="s">
        <v>74</v>
      </c>
      <c r="AG534">
        <v>9</v>
      </c>
      <c r="AH534">
        <v>0</v>
      </c>
      <c r="AI534">
        <v>0</v>
      </c>
      <c r="AJ534">
        <v>0</v>
      </c>
      <c r="AK534">
        <v>0</v>
      </c>
      <c r="AL534" t="s">
        <v>87</v>
      </c>
      <c r="AM534" t="s">
        <v>88</v>
      </c>
      <c r="AN534" t="s">
        <v>89</v>
      </c>
      <c r="AO534" t="s">
        <v>10324</v>
      </c>
      <c r="AP534" t="s">
        <v>10325</v>
      </c>
      <c r="AQ534" t="s">
        <v>74</v>
      </c>
      <c r="AR534" t="s">
        <v>10326</v>
      </c>
      <c r="AS534" t="s">
        <v>10327</v>
      </c>
      <c r="AT534" t="s">
        <v>10328</v>
      </c>
      <c r="AU534">
        <v>2023</v>
      </c>
      <c r="AV534">
        <v>219</v>
      </c>
      <c r="AW534">
        <v>6</v>
      </c>
      <c r="AX534" t="s">
        <v>74</v>
      </c>
      <c r="AY534" t="s">
        <v>74</v>
      </c>
      <c r="AZ534" t="s">
        <v>74</v>
      </c>
      <c r="BA534" t="s">
        <v>74</v>
      </c>
      <c r="BB534">
        <v>259</v>
      </c>
      <c r="BC534">
        <v>260</v>
      </c>
      <c r="BD534" t="s">
        <v>74</v>
      </c>
      <c r="BE534" t="s">
        <v>10329</v>
      </c>
      <c r="BF534" t="str">
        <f>HYPERLINK("http://dx.doi.org/10.5694/mja2.52082","http://dx.doi.org/10.5694/mja2.52082")</f>
        <v>http://dx.doi.org/10.5694/mja2.52082</v>
      </c>
      <c r="BG534" t="s">
        <v>74</v>
      </c>
      <c r="BH534" t="s">
        <v>7524</v>
      </c>
      <c r="BI534">
        <v>2</v>
      </c>
      <c r="BJ534" t="s">
        <v>4689</v>
      </c>
      <c r="BK534" t="s">
        <v>119</v>
      </c>
      <c r="BL534" t="s">
        <v>4690</v>
      </c>
      <c r="BM534" t="s">
        <v>10330</v>
      </c>
      <c r="BN534">
        <v>37593913</v>
      </c>
      <c r="BO534" t="s">
        <v>74</v>
      </c>
      <c r="BP534" t="s">
        <v>74</v>
      </c>
      <c r="BQ534" t="s">
        <v>74</v>
      </c>
      <c r="BR534" t="s">
        <v>99</v>
      </c>
      <c r="BS534" t="s">
        <v>10331</v>
      </c>
      <c r="BT534" t="str">
        <f>HYPERLINK("https%3A%2F%2Fwww.webofscience.com%2Fwos%2Fwoscc%2Ffull-record%2FWOS:001050465000001","View Full Record in Web of Science")</f>
        <v>View Full Record in Web of Science</v>
      </c>
    </row>
    <row r="535" spans="1:72" x14ac:dyDescent="0.15">
      <c r="A535" t="s">
        <v>72</v>
      </c>
      <c r="B535" t="s">
        <v>10332</v>
      </c>
      <c r="C535" t="s">
        <v>74</v>
      </c>
      <c r="D535" t="s">
        <v>74</v>
      </c>
      <c r="E535" t="s">
        <v>74</v>
      </c>
      <c r="F535" t="s">
        <v>10333</v>
      </c>
      <c r="G535" t="s">
        <v>74</v>
      </c>
      <c r="H535" t="s">
        <v>74</v>
      </c>
      <c r="I535" t="s">
        <v>10334</v>
      </c>
      <c r="J535" t="s">
        <v>662</v>
      </c>
      <c r="K535" t="s">
        <v>74</v>
      </c>
      <c r="L535" t="s">
        <v>74</v>
      </c>
      <c r="M535" t="s">
        <v>78</v>
      </c>
      <c r="N535" t="s">
        <v>338</v>
      </c>
      <c r="O535" t="s">
        <v>74</v>
      </c>
      <c r="P535" t="s">
        <v>74</v>
      </c>
      <c r="Q535" t="s">
        <v>74</v>
      </c>
      <c r="R535" t="s">
        <v>74</v>
      </c>
      <c r="S535" t="s">
        <v>74</v>
      </c>
      <c r="T535" t="s">
        <v>10335</v>
      </c>
      <c r="U535" t="s">
        <v>10336</v>
      </c>
      <c r="V535" t="s">
        <v>10337</v>
      </c>
      <c r="W535" t="s">
        <v>10338</v>
      </c>
      <c r="X535" t="s">
        <v>10339</v>
      </c>
      <c r="Y535" t="s">
        <v>10340</v>
      </c>
      <c r="Z535" t="s">
        <v>10341</v>
      </c>
      <c r="AA535" t="s">
        <v>74</v>
      </c>
      <c r="AB535" t="s">
        <v>74</v>
      </c>
      <c r="AC535" t="s">
        <v>74</v>
      </c>
      <c r="AD535" t="s">
        <v>74</v>
      </c>
      <c r="AE535" t="s">
        <v>74</v>
      </c>
      <c r="AF535" t="s">
        <v>74</v>
      </c>
      <c r="AG535">
        <v>24</v>
      </c>
      <c r="AH535">
        <v>0</v>
      </c>
      <c r="AI535">
        <v>0</v>
      </c>
      <c r="AJ535">
        <v>2</v>
      </c>
      <c r="AK535">
        <v>2</v>
      </c>
      <c r="AL535" t="s">
        <v>87</v>
      </c>
      <c r="AM535" t="s">
        <v>88</v>
      </c>
      <c r="AN535" t="s">
        <v>89</v>
      </c>
      <c r="AO535" t="s">
        <v>673</v>
      </c>
      <c r="AP535" t="s">
        <v>74</v>
      </c>
      <c r="AQ535" t="s">
        <v>74</v>
      </c>
      <c r="AR535" t="s">
        <v>674</v>
      </c>
      <c r="AS535" t="s">
        <v>675</v>
      </c>
      <c r="AT535" t="s">
        <v>10262</v>
      </c>
      <c r="AU535">
        <v>2023</v>
      </c>
      <c r="AV535" t="s">
        <v>74</v>
      </c>
      <c r="AW535" t="s">
        <v>74</v>
      </c>
      <c r="AX535" t="s">
        <v>74</v>
      </c>
      <c r="AY535" t="s">
        <v>74</v>
      </c>
      <c r="AZ535" t="s">
        <v>74</v>
      </c>
      <c r="BA535" t="s">
        <v>74</v>
      </c>
      <c r="BB535" t="s">
        <v>74</v>
      </c>
      <c r="BC535" t="s">
        <v>74</v>
      </c>
      <c r="BD535" t="s">
        <v>74</v>
      </c>
      <c r="BE535" t="s">
        <v>10342</v>
      </c>
      <c r="BF535" t="str">
        <f>HYPERLINK("http://dx.doi.org/10.1002/mgg3.2269","http://dx.doi.org/10.1002/mgg3.2269")</f>
        <v>http://dx.doi.org/10.1002/mgg3.2269</v>
      </c>
      <c r="BG535" t="s">
        <v>74</v>
      </c>
      <c r="BH535" t="s">
        <v>7524</v>
      </c>
      <c r="BI535">
        <v>11</v>
      </c>
      <c r="BJ535" t="s">
        <v>677</v>
      </c>
      <c r="BK535" t="s">
        <v>119</v>
      </c>
      <c r="BL535" t="s">
        <v>677</v>
      </c>
      <c r="BM535" t="s">
        <v>10343</v>
      </c>
      <c r="BN535">
        <v>37593999</v>
      </c>
      <c r="BO535" t="s">
        <v>234</v>
      </c>
      <c r="BP535" t="s">
        <v>74</v>
      </c>
      <c r="BQ535" t="s">
        <v>74</v>
      </c>
      <c r="BR535" t="s">
        <v>99</v>
      </c>
      <c r="BS535" t="s">
        <v>10344</v>
      </c>
      <c r="BT535" t="str">
        <f>HYPERLINK("https%3A%2F%2Fwww.webofscience.com%2Fwos%2Fwoscc%2Ffull-record%2FWOS:001049521900001","View Full Record in Web of Science")</f>
        <v>View Full Record in Web of Science</v>
      </c>
    </row>
    <row r="536" spans="1:72" x14ac:dyDescent="0.15">
      <c r="A536" t="s">
        <v>72</v>
      </c>
      <c r="B536" t="s">
        <v>10345</v>
      </c>
      <c r="C536" t="s">
        <v>74</v>
      </c>
      <c r="D536" t="s">
        <v>74</v>
      </c>
      <c r="E536" t="s">
        <v>74</v>
      </c>
      <c r="F536" t="s">
        <v>10346</v>
      </c>
      <c r="G536" t="s">
        <v>74</v>
      </c>
      <c r="H536" t="s">
        <v>74</v>
      </c>
      <c r="I536" t="s">
        <v>10347</v>
      </c>
      <c r="J536" t="s">
        <v>10139</v>
      </c>
      <c r="K536" t="s">
        <v>74</v>
      </c>
      <c r="L536" t="s">
        <v>74</v>
      </c>
      <c r="M536" t="s">
        <v>78</v>
      </c>
      <c r="N536" t="s">
        <v>338</v>
      </c>
      <c r="O536" t="s">
        <v>74</v>
      </c>
      <c r="P536" t="s">
        <v>74</v>
      </c>
      <c r="Q536" t="s">
        <v>74</v>
      </c>
      <c r="R536" t="s">
        <v>74</v>
      </c>
      <c r="S536" t="s">
        <v>74</v>
      </c>
      <c r="T536" t="s">
        <v>10348</v>
      </c>
      <c r="U536" t="s">
        <v>10349</v>
      </c>
      <c r="V536" t="s">
        <v>10350</v>
      </c>
      <c r="W536" t="s">
        <v>10351</v>
      </c>
      <c r="X536" t="s">
        <v>10352</v>
      </c>
      <c r="Y536" t="s">
        <v>10353</v>
      </c>
      <c r="Z536" t="s">
        <v>10354</v>
      </c>
      <c r="AA536" t="s">
        <v>74</v>
      </c>
      <c r="AB536" t="s">
        <v>10355</v>
      </c>
      <c r="AC536" t="s">
        <v>10356</v>
      </c>
      <c r="AD536" t="s">
        <v>10357</v>
      </c>
      <c r="AE536" t="s">
        <v>10358</v>
      </c>
      <c r="AF536" t="s">
        <v>74</v>
      </c>
      <c r="AG536">
        <v>58</v>
      </c>
      <c r="AH536">
        <v>0</v>
      </c>
      <c r="AI536">
        <v>0</v>
      </c>
      <c r="AJ536">
        <v>0</v>
      </c>
      <c r="AK536">
        <v>0</v>
      </c>
      <c r="AL536" t="s">
        <v>87</v>
      </c>
      <c r="AM536" t="s">
        <v>88</v>
      </c>
      <c r="AN536" t="s">
        <v>89</v>
      </c>
      <c r="AO536" t="s">
        <v>10147</v>
      </c>
      <c r="AP536" t="s">
        <v>10148</v>
      </c>
      <c r="AQ536" t="s">
        <v>74</v>
      </c>
      <c r="AR536" t="s">
        <v>10149</v>
      </c>
      <c r="AS536" t="s">
        <v>10150</v>
      </c>
      <c r="AT536" t="s">
        <v>10262</v>
      </c>
      <c r="AU536">
        <v>2023</v>
      </c>
      <c r="AV536" t="s">
        <v>74</v>
      </c>
      <c r="AW536" t="s">
        <v>74</v>
      </c>
      <c r="AX536" t="s">
        <v>74</v>
      </c>
      <c r="AY536" t="s">
        <v>74</v>
      </c>
      <c r="AZ536" t="s">
        <v>74</v>
      </c>
      <c r="BA536" t="s">
        <v>74</v>
      </c>
      <c r="BB536" t="s">
        <v>74</v>
      </c>
      <c r="BC536" t="s">
        <v>74</v>
      </c>
      <c r="BD536" t="s">
        <v>74</v>
      </c>
      <c r="BE536" t="s">
        <v>10359</v>
      </c>
      <c r="BF536" t="str">
        <f>HYPERLINK("http://dx.doi.org/10.1111/gwao.13041","http://dx.doi.org/10.1111/gwao.13041")</f>
        <v>http://dx.doi.org/10.1111/gwao.13041</v>
      </c>
      <c r="BG536" t="s">
        <v>74</v>
      </c>
      <c r="BH536" t="s">
        <v>7524</v>
      </c>
      <c r="BI536">
        <v>16</v>
      </c>
      <c r="BJ536" t="s">
        <v>10152</v>
      </c>
      <c r="BK536" t="s">
        <v>546</v>
      </c>
      <c r="BL536" t="s">
        <v>10153</v>
      </c>
      <c r="BM536" t="s">
        <v>10360</v>
      </c>
      <c r="BN536" t="s">
        <v>74</v>
      </c>
      <c r="BO536" t="s">
        <v>122</v>
      </c>
      <c r="BP536" t="s">
        <v>74</v>
      </c>
      <c r="BQ536" t="s">
        <v>74</v>
      </c>
      <c r="BR536" t="s">
        <v>99</v>
      </c>
      <c r="BS536" t="s">
        <v>10361</v>
      </c>
      <c r="BT536" t="str">
        <f>HYPERLINK("https%3A%2F%2Fwww.webofscience.com%2Fwos%2Fwoscc%2Ffull-record%2FWOS:001049600100001","View Full Record in Web of Science")</f>
        <v>View Full Record in Web of Science</v>
      </c>
    </row>
    <row r="537" spans="1:72" x14ac:dyDescent="0.15">
      <c r="A537" t="s">
        <v>72</v>
      </c>
      <c r="B537" t="s">
        <v>10362</v>
      </c>
      <c r="C537" t="s">
        <v>74</v>
      </c>
      <c r="D537" t="s">
        <v>74</v>
      </c>
      <c r="E537" t="s">
        <v>74</v>
      </c>
      <c r="F537" t="s">
        <v>10363</v>
      </c>
      <c r="G537" t="s">
        <v>74</v>
      </c>
      <c r="H537" t="s">
        <v>74</v>
      </c>
      <c r="I537" t="s">
        <v>10364</v>
      </c>
      <c r="J537" t="s">
        <v>10365</v>
      </c>
      <c r="K537" t="s">
        <v>74</v>
      </c>
      <c r="L537" t="s">
        <v>74</v>
      </c>
      <c r="M537" t="s">
        <v>78</v>
      </c>
      <c r="N537" t="s">
        <v>79</v>
      </c>
      <c r="O537" t="s">
        <v>74</v>
      </c>
      <c r="P537" t="s">
        <v>74</v>
      </c>
      <c r="Q537" t="s">
        <v>74</v>
      </c>
      <c r="R537" t="s">
        <v>74</v>
      </c>
      <c r="S537" t="s">
        <v>74</v>
      </c>
      <c r="T537" t="s">
        <v>10366</v>
      </c>
      <c r="U537" t="s">
        <v>10367</v>
      </c>
      <c r="V537" t="s">
        <v>10368</v>
      </c>
      <c r="W537" t="s">
        <v>10369</v>
      </c>
      <c r="X537" t="s">
        <v>10370</v>
      </c>
      <c r="Y537" t="s">
        <v>10371</v>
      </c>
      <c r="Z537" t="s">
        <v>10372</v>
      </c>
      <c r="AA537" t="s">
        <v>10373</v>
      </c>
      <c r="AB537" t="s">
        <v>10374</v>
      </c>
      <c r="AC537" t="s">
        <v>10375</v>
      </c>
      <c r="AD537" t="s">
        <v>10376</v>
      </c>
      <c r="AE537" t="s">
        <v>10377</v>
      </c>
      <c r="AF537" t="s">
        <v>74</v>
      </c>
      <c r="AG537">
        <v>66</v>
      </c>
      <c r="AH537">
        <v>0</v>
      </c>
      <c r="AI537">
        <v>0</v>
      </c>
      <c r="AJ537">
        <v>0</v>
      </c>
      <c r="AK537">
        <v>0</v>
      </c>
      <c r="AL537" t="s">
        <v>87</v>
      </c>
      <c r="AM537" t="s">
        <v>88</v>
      </c>
      <c r="AN537" t="s">
        <v>89</v>
      </c>
      <c r="AO537" t="s">
        <v>10378</v>
      </c>
      <c r="AP537" t="s">
        <v>74</v>
      </c>
      <c r="AQ537" t="s">
        <v>74</v>
      </c>
      <c r="AR537" t="s">
        <v>10379</v>
      </c>
      <c r="AS537" t="s">
        <v>10380</v>
      </c>
      <c r="AT537" t="s">
        <v>6725</v>
      </c>
      <c r="AU537">
        <v>2023</v>
      </c>
      <c r="AV537">
        <v>15</v>
      </c>
      <c r="AW537">
        <v>3</v>
      </c>
      <c r="AX537" t="s">
        <v>74</v>
      </c>
      <c r="AY537" t="s">
        <v>74</v>
      </c>
      <c r="AZ537" t="s">
        <v>74</v>
      </c>
      <c r="BA537" t="s">
        <v>74</v>
      </c>
      <c r="BB537">
        <v>415</v>
      </c>
      <c r="BC537">
        <v>430</v>
      </c>
      <c r="BD537" t="s">
        <v>74</v>
      </c>
      <c r="BE537" t="s">
        <v>10381</v>
      </c>
      <c r="BF537" t="str">
        <f>HYPERLINK("http://dx.doi.org/10.1002/poi3.355","http://dx.doi.org/10.1002/poi3.355")</f>
        <v>http://dx.doi.org/10.1002/poi3.355</v>
      </c>
      <c r="BG537" t="s">
        <v>74</v>
      </c>
      <c r="BH537" t="s">
        <v>7524</v>
      </c>
      <c r="BI537">
        <v>16</v>
      </c>
      <c r="BJ537" t="s">
        <v>10382</v>
      </c>
      <c r="BK537" t="s">
        <v>546</v>
      </c>
      <c r="BL537" t="s">
        <v>10383</v>
      </c>
      <c r="BM537" t="s">
        <v>10384</v>
      </c>
      <c r="BN537" t="s">
        <v>74</v>
      </c>
      <c r="BO537" t="s">
        <v>74</v>
      </c>
      <c r="BP537" t="s">
        <v>74</v>
      </c>
      <c r="BQ537" t="s">
        <v>74</v>
      </c>
      <c r="BR537" t="s">
        <v>99</v>
      </c>
      <c r="BS537" t="s">
        <v>10385</v>
      </c>
      <c r="BT537" t="str">
        <f>HYPERLINK("https%3A%2F%2Fwww.webofscience.com%2Fwos%2Fwoscc%2Ffull-record%2FWOS:001051037300001","View Full Record in Web of Science")</f>
        <v>View Full Record in Web of Science</v>
      </c>
    </row>
    <row r="538" spans="1:72" x14ac:dyDescent="0.15">
      <c r="A538" t="s">
        <v>72</v>
      </c>
      <c r="B538" t="s">
        <v>10386</v>
      </c>
      <c r="C538" t="s">
        <v>74</v>
      </c>
      <c r="D538" t="s">
        <v>74</v>
      </c>
      <c r="E538" t="s">
        <v>74</v>
      </c>
      <c r="F538" t="s">
        <v>10387</v>
      </c>
      <c r="G538" t="s">
        <v>74</v>
      </c>
      <c r="H538" t="s">
        <v>74</v>
      </c>
      <c r="I538" t="s">
        <v>10388</v>
      </c>
      <c r="J538" t="s">
        <v>10389</v>
      </c>
      <c r="K538" t="s">
        <v>74</v>
      </c>
      <c r="L538" t="s">
        <v>74</v>
      </c>
      <c r="M538" t="s">
        <v>78</v>
      </c>
      <c r="N538" t="s">
        <v>79</v>
      </c>
      <c r="O538" t="s">
        <v>74</v>
      </c>
      <c r="P538" t="s">
        <v>74</v>
      </c>
      <c r="Q538" t="s">
        <v>74</v>
      </c>
      <c r="R538" t="s">
        <v>74</v>
      </c>
      <c r="S538" t="s">
        <v>74</v>
      </c>
      <c r="T538" t="s">
        <v>74</v>
      </c>
      <c r="U538" t="s">
        <v>10390</v>
      </c>
      <c r="V538" t="s">
        <v>10391</v>
      </c>
      <c r="W538" t="s">
        <v>10392</v>
      </c>
      <c r="X538" t="s">
        <v>10393</v>
      </c>
      <c r="Y538" t="s">
        <v>10394</v>
      </c>
      <c r="Z538" t="s">
        <v>10395</v>
      </c>
      <c r="AA538" t="s">
        <v>74</v>
      </c>
      <c r="AB538" t="s">
        <v>10396</v>
      </c>
      <c r="AC538" t="s">
        <v>74</v>
      </c>
      <c r="AD538" t="s">
        <v>74</v>
      </c>
      <c r="AE538" t="s">
        <v>74</v>
      </c>
      <c r="AF538" t="s">
        <v>74</v>
      </c>
      <c r="AG538">
        <v>57</v>
      </c>
      <c r="AH538">
        <v>1</v>
      </c>
      <c r="AI538">
        <v>1</v>
      </c>
      <c r="AJ538">
        <v>3</v>
      </c>
      <c r="AK538">
        <v>3</v>
      </c>
      <c r="AL538" t="s">
        <v>87</v>
      </c>
      <c r="AM538" t="s">
        <v>88</v>
      </c>
      <c r="AN538" t="s">
        <v>89</v>
      </c>
      <c r="AO538" t="s">
        <v>10397</v>
      </c>
      <c r="AP538" t="s">
        <v>10398</v>
      </c>
      <c r="AQ538" t="s">
        <v>74</v>
      </c>
      <c r="AR538" t="s">
        <v>10399</v>
      </c>
      <c r="AS538" t="s">
        <v>10400</v>
      </c>
      <c r="AT538" t="s">
        <v>6725</v>
      </c>
      <c r="AU538">
        <v>2023</v>
      </c>
      <c r="AV538">
        <v>94</v>
      </c>
      <c r="AW538">
        <v>5</v>
      </c>
      <c r="AX538" t="s">
        <v>74</v>
      </c>
      <c r="AY538" t="s">
        <v>74</v>
      </c>
      <c r="AZ538" t="s">
        <v>74</v>
      </c>
      <c r="BA538" t="s">
        <v>74</v>
      </c>
      <c r="BB538">
        <v>1222</v>
      </c>
      <c r="BC538">
        <v>1238</v>
      </c>
      <c r="BD538" t="s">
        <v>74</v>
      </c>
      <c r="BE538" t="s">
        <v>10401</v>
      </c>
      <c r="BF538" t="str">
        <f>HYPERLINK("http://dx.doi.org/10.1111/cdev.13991","http://dx.doi.org/10.1111/cdev.13991")</f>
        <v>http://dx.doi.org/10.1111/cdev.13991</v>
      </c>
      <c r="BG538" t="s">
        <v>74</v>
      </c>
      <c r="BH538" t="s">
        <v>7524</v>
      </c>
      <c r="BI538">
        <v>17</v>
      </c>
      <c r="BJ538" t="s">
        <v>10402</v>
      </c>
      <c r="BK538" t="s">
        <v>546</v>
      </c>
      <c r="BL538" t="s">
        <v>1210</v>
      </c>
      <c r="BM538" t="s">
        <v>10403</v>
      </c>
      <c r="BN538">
        <v>37593969</v>
      </c>
      <c r="BO538" t="s">
        <v>74</v>
      </c>
      <c r="BP538" t="s">
        <v>74</v>
      </c>
      <c r="BQ538" t="s">
        <v>74</v>
      </c>
      <c r="BR538" t="s">
        <v>99</v>
      </c>
      <c r="BS538" t="s">
        <v>10404</v>
      </c>
      <c r="BT538" t="str">
        <f>HYPERLINK("https%3A%2F%2Fwww.webofscience.com%2Fwos%2Fwoscc%2Ffull-record%2FWOS:001050480200001","View Full Record in Web of Science")</f>
        <v>View Full Record in Web of Science</v>
      </c>
    </row>
    <row r="539" spans="1:72" x14ac:dyDescent="0.15">
      <c r="A539" t="s">
        <v>72</v>
      </c>
      <c r="B539" t="s">
        <v>10405</v>
      </c>
      <c r="C539" t="s">
        <v>74</v>
      </c>
      <c r="D539" t="s">
        <v>74</v>
      </c>
      <c r="E539" t="s">
        <v>74</v>
      </c>
      <c r="F539" t="s">
        <v>10406</v>
      </c>
      <c r="G539" t="s">
        <v>74</v>
      </c>
      <c r="H539" t="s">
        <v>74</v>
      </c>
      <c r="I539" t="s">
        <v>10407</v>
      </c>
      <c r="J539" t="s">
        <v>2028</v>
      </c>
      <c r="K539" t="s">
        <v>74</v>
      </c>
      <c r="L539" t="s">
        <v>74</v>
      </c>
      <c r="M539" t="s">
        <v>78</v>
      </c>
      <c r="N539" t="s">
        <v>79</v>
      </c>
      <c r="O539" t="s">
        <v>74</v>
      </c>
      <c r="P539" t="s">
        <v>74</v>
      </c>
      <c r="Q539" t="s">
        <v>74</v>
      </c>
      <c r="R539" t="s">
        <v>74</v>
      </c>
      <c r="S539" t="s">
        <v>74</v>
      </c>
      <c r="T539" t="s">
        <v>10408</v>
      </c>
      <c r="U539" t="s">
        <v>74</v>
      </c>
      <c r="V539" t="s">
        <v>10409</v>
      </c>
      <c r="W539" t="s">
        <v>10410</v>
      </c>
      <c r="X539" t="s">
        <v>10411</v>
      </c>
      <c r="Y539" t="s">
        <v>10412</v>
      </c>
      <c r="Z539" t="s">
        <v>10413</v>
      </c>
      <c r="AA539" t="s">
        <v>74</v>
      </c>
      <c r="AB539" t="s">
        <v>74</v>
      </c>
      <c r="AC539" t="s">
        <v>10414</v>
      </c>
      <c r="AD539" t="s">
        <v>10415</v>
      </c>
      <c r="AE539" t="s">
        <v>10416</v>
      </c>
      <c r="AF539" t="s">
        <v>74</v>
      </c>
      <c r="AG539">
        <v>37</v>
      </c>
      <c r="AH539">
        <v>0</v>
      </c>
      <c r="AI539">
        <v>0</v>
      </c>
      <c r="AJ539">
        <v>2</v>
      </c>
      <c r="AK539">
        <v>2</v>
      </c>
      <c r="AL539" t="s">
        <v>426</v>
      </c>
      <c r="AM539" t="s">
        <v>427</v>
      </c>
      <c r="AN539" t="s">
        <v>428</v>
      </c>
      <c r="AO539" t="s">
        <v>2037</v>
      </c>
      <c r="AP539" t="s">
        <v>74</v>
      </c>
      <c r="AQ539" t="s">
        <v>74</v>
      </c>
      <c r="AR539" t="s">
        <v>2028</v>
      </c>
      <c r="AS539" t="s">
        <v>2038</v>
      </c>
      <c r="AT539" t="s">
        <v>10417</v>
      </c>
      <c r="AU539">
        <v>2023</v>
      </c>
      <c r="AV539">
        <v>8</v>
      </c>
      <c r="AW539">
        <v>31</v>
      </c>
      <c r="AX539" t="s">
        <v>74</v>
      </c>
      <c r="AY539" t="s">
        <v>74</v>
      </c>
      <c r="AZ539" t="s">
        <v>74</v>
      </c>
      <c r="BA539" t="s">
        <v>74</v>
      </c>
      <c r="BB539" t="s">
        <v>74</v>
      </c>
      <c r="BC539" t="s">
        <v>74</v>
      </c>
      <c r="BD539" t="s">
        <v>10418</v>
      </c>
      <c r="BE539" t="s">
        <v>10419</v>
      </c>
      <c r="BF539" t="str">
        <f>HYPERLINK("http://dx.doi.org/10.1002/slct.202301774","http://dx.doi.org/10.1002/slct.202301774")</f>
        <v>http://dx.doi.org/10.1002/slct.202301774</v>
      </c>
      <c r="BG539" t="s">
        <v>74</v>
      </c>
      <c r="BH539" t="s">
        <v>74</v>
      </c>
      <c r="BI539">
        <v>8</v>
      </c>
      <c r="BJ539" t="s">
        <v>523</v>
      </c>
      <c r="BK539" t="s">
        <v>119</v>
      </c>
      <c r="BL539" t="s">
        <v>524</v>
      </c>
      <c r="BM539" t="s">
        <v>10420</v>
      </c>
      <c r="BN539" t="s">
        <v>74</v>
      </c>
      <c r="BO539" t="s">
        <v>74</v>
      </c>
      <c r="BP539" t="s">
        <v>74</v>
      </c>
      <c r="BQ539" t="s">
        <v>74</v>
      </c>
      <c r="BR539" t="s">
        <v>99</v>
      </c>
      <c r="BS539" t="s">
        <v>10421</v>
      </c>
      <c r="BT539" t="str">
        <f>HYPERLINK("https%3A%2F%2Fwww.webofscience.com%2Fwos%2Fwoscc%2Ffull-record%2FWOS:001047772000001","View Full Record in Web of Science")</f>
        <v>View Full Record in Web of Science</v>
      </c>
    </row>
    <row r="540" spans="1:72" x14ac:dyDescent="0.15">
      <c r="A540" t="s">
        <v>72</v>
      </c>
      <c r="B540" t="s">
        <v>10422</v>
      </c>
      <c r="C540" t="s">
        <v>74</v>
      </c>
      <c r="D540" t="s">
        <v>74</v>
      </c>
      <c r="E540" t="s">
        <v>74</v>
      </c>
      <c r="F540" t="s">
        <v>10423</v>
      </c>
      <c r="G540" t="s">
        <v>74</v>
      </c>
      <c r="H540" t="s">
        <v>74</v>
      </c>
      <c r="I540" t="s">
        <v>10424</v>
      </c>
      <c r="J540" t="s">
        <v>10425</v>
      </c>
      <c r="K540" t="s">
        <v>74</v>
      </c>
      <c r="L540" t="s">
        <v>74</v>
      </c>
      <c r="M540" t="s">
        <v>78</v>
      </c>
      <c r="N540" t="s">
        <v>10426</v>
      </c>
      <c r="O540" t="s">
        <v>74</v>
      </c>
      <c r="P540" t="s">
        <v>74</v>
      </c>
      <c r="Q540" t="s">
        <v>74</v>
      </c>
      <c r="R540" t="s">
        <v>74</v>
      </c>
      <c r="S540" t="s">
        <v>74</v>
      </c>
      <c r="T540" t="s">
        <v>74</v>
      </c>
      <c r="U540" t="s">
        <v>74</v>
      </c>
      <c r="V540" t="s">
        <v>10427</v>
      </c>
      <c r="W540" t="s">
        <v>74</v>
      </c>
      <c r="X540" t="s">
        <v>74</v>
      </c>
      <c r="Y540" t="s">
        <v>74</v>
      </c>
      <c r="Z540" t="s">
        <v>74</v>
      </c>
      <c r="AA540" t="s">
        <v>74</v>
      </c>
      <c r="AB540" t="s">
        <v>74</v>
      </c>
      <c r="AC540" t="s">
        <v>74</v>
      </c>
      <c r="AD540" t="s">
        <v>74</v>
      </c>
      <c r="AE540" t="s">
        <v>74</v>
      </c>
      <c r="AF540" t="s">
        <v>74</v>
      </c>
      <c r="AG540">
        <v>1</v>
      </c>
      <c r="AH540">
        <v>0</v>
      </c>
      <c r="AI540">
        <v>0</v>
      </c>
      <c r="AJ540">
        <v>0</v>
      </c>
      <c r="AK540">
        <v>0</v>
      </c>
      <c r="AL540" t="s">
        <v>87</v>
      </c>
      <c r="AM540" t="s">
        <v>88</v>
      </c>
      <c r="AN540" t="s">
        <v>89</v>
      </c>
      <c r="AO540" t="s">
        <v>10428</v>
      </c>
      <c r="AP540" t="s">
        <v>10429</v>
      </c>
      <c r="AQ540" t="s">
        <v>74</v>
      </c>
      <c r="AR540" t="s">
        <v>10430</v>
      </c>
      <c r="AS540" t="s">
        <v>10431</v>
      </c>
      <c r="AT540" t="s">
        <v>10262</v>
      </c>
      <c r="AU540">
        <v>2023</v>
      </c>
      <c r="AV540" t="s">
        <v>74</v>
      </c>
      <c r="AW540" t="s">
        <v>74</v>
      </c>
      <c r="AX540" t="s">
        <v>74</v>
      </c>
      <c r="AY540" t="s">
        <v>74</v>
      </c>
      <c r="AZ540" t="s">
        <v>74</v>
      </c>
      <c r="BA540" t="s">
        <v>74</v>
      </c>
      <c r="BB540" t="s">
        <v>74</v>
      </c>
      <c r="BC540" t="s">
        <v>74</v>
      </c>
      <c r="BD540" t="s">
        <v>74</v>
      </c>
      <c r="BE540" t="s">
        <v>10432</v>
      </c>
      <c r="BF540" t="str">
        <f>HYPERLINK("http://dx.doi.org/10.1111/jch.14718","http://dx.doi.org/10.1111/jch.14718")</f>
        <v>http://dx.doi.org/10.1111/jch.14718</v>
      </c>
      <c r="BG540" t="s">
        <v>74</v>
      </c>
      <c r="BH540" t="s">
        <v>7524</v>
      </c>
      <c r="BI540">
        <v>1</v>
      </c>
      <c r="BJ540" t="s">
        <v>10433</v>
      </c>
      <c r="BK540" t="s">
        <v>119</v>
      </c>
      <c r="BL540" t="s">
        <v>1850</v>
      </c>
      <c r="BM540" t="s">
        <v>10434</v>
      </c>
      <c r="BN540" t="s">
        <v>74</v>
      </c>
      <c r="BO540" t="s">
        <v>234</v>
      </c>
      <c r="BP540" t="s">
        <v>74</v>
      </c>
      <c r="BQ540" t="s">
        <v>74</v>
      </c>
      <c r="BR540" t="s">
        <v>99</v>
      </c>
      <c r="BS540" t="s">
        <v>10435</v>
      </c>
      <c r="BT540" t="str">
        <f>HYPERLINK("https%3A%2F%2Fwww.webofscience.com%2Fwos%2Fwoscc%2Ffull-record%2FWOS:001050520000001","View Full Record in Web of Science")</f>
        <v>View Full Record in Web of Science</v>
      </c>
    </row>
    <row r="541" spans="1:72" x14ac:dyDescent="0.15">
      <c r="A541" t="s">
        <v>72</v>
      </c>
      <c r="B541" t="s">
        <v>10436</v>
      </c>
      <c r="C541" t="s">
        <v>74</v>
      </c>
      <c r="D541" t="s">
        <v>74</v>
      </c>
      <c r="E541" t="s">
        <v>74</v>
      </c>
      <c r="F541" t="s">
        <v>10437</v>
      </c>
      <c r="G541" t="s">
        <v>74</v>
      </c>
      <c r="H541" t="s">
        <v>74</v>
      </c>
      <c r="I541" t="s">
        <v>10438</v>
      </c>
      <c r="J541" t="s">
        <v>10439</v>
      </c>
      <c r="K541" t="s">
        <v>74</v>
      </c>
      <c r="L541" t="s">
        <v>74</v>
      </c>
      <c r="M541" t="s">
        <v>78</v>
      </c>
      <c r="N541" t="s">
        <v>10440</v>
      </c>
      <c r="O541" t="s">
        <v>74</v>
      </c>
      <c r="P541" t="s">
        <v>74</v>
      </c>
      <c r="Q541" t="s">
        <v>74</v>
      </c>
      <c r="R541" t="s">
        <v>74</v>
      </c>
      <c r="S541" t="s">
        <v>74</v>
      </c>
      <c r="T541" t="s">
        <v>74</v>
      </c>
      <c r="U541" t="s">
        <v>74</v>
      </c>
      <c r="V541" t="s">
        <v>74</v>
      </c>
      <c r="W541" t="s">
        <v>74</v>
      </c>
      <c r="X541" t="s">
        <v>74</v>
      </c>
      <c r="Y541" t="s">
        <v>74</v>
      </c>
      <c r="Z541" t="s">
        <v>74</v>
      </c>
      <c r="AA541" t="s">
        <v>74</v>
      </c>
      <c r="AB541" t="s">
        <v>74</v>
      </c>
      <c r="AC541" t="s">
        <v>74</v>
      </c>
      <c r="AD541" t="s">
        <v>74</v>
      </c>
      <c r="AE541" t="s">
        <v>74</v>
      </c>
      <c r="AF541" t="s">
        <v>74</v>
      </c>
      <c r="AG541">
        <v>1</v>
      </c>
      <c r="AH541">
        <v>0</v>
      </c>
      <c r="AI541">
        <v>0</v>
      </c>
      <c r="AJ541">
        <v>0</v>
      </c>
      <c r="AK541">
        <v>0</v>
      </c>
      <c r="AL541" t="s">
        <v>87</v>
      </c>
      <c r="AM541" t="s">
        <v>88</v>
      </c>
      <c r="AN541" t="s">
        <v>89</v>
      </c>
      <c r="AO541" t="s">
        <v>10441</v>
      </c>
      <c r="AP541" t="s">
        <v>10442</v>
      </c>
      <c r="AQ541" t="s">
        <v>74</v>
      </c>
      <c r="AR541" t="s">
        <v>10443</v>
      </c>
      <c r="AS541" t="s">
        <v>10444</v>
      </c>
      <c r="AT541" t="s">
        <v>10262</v>
      </c>
      <c r="AU541">
        <v>2023</v>
      </c>
      <c r="AV541" t="s">
        <v>74</v>
      </c>
      <c r="AW541" t="s">
        <v>74</v>
      </c>
      <c r="AX541" t="s">
        <v>74</v>
      </c>
      <c r="AY541" t="s">
        <v>74</v>
      </c>
      <c r="AZ541" t="s">
        <v>74</v>
      </c>
      <c r="BA541" t="s">
        <v>74</v>
      </c>
      <c r="BB541" t="s">
        <v>74</v>
      </c>
      <c r="BC541" t="s">
        <v>74</v>
      </c>
      <c r="BD541" t="s">
        <v>74</v>
      </c>
      <c r="BE541" t="s">
        <v>10445</v>
      </c>
      <c r="BF541" t="str">
        <f>HYPERLINK("http://dx.doi.org/10.1049/rsn2.12450","http://dx.doi.org/10.1049/rsn2.12450")</f>
        <v>http://dx.doi.org/10.1049/rsn2.12450</v>
      </c>
      <c r="BG541" t="s">
        <v>74</v>
      </c>
      <c r="BH541" t="s">
        <v>7524</v>
      </c>
      <c r="BI541">
        <v>1</v>
      </c>
      <c r="BJ541" t="s">
        <v>3889</v>
      </c>
      <c r="BK541" t="s">
        <v>119</v>
      </c>
      <c r="BL541" t="s">
        <v>3890</v>
      </c>
      <c r="BM541" t="s">
        <v>10446</v>
      </c>
      <c r="BN541" t="s">
        <v>74</v>
      </c>
      <c r="BO541" t="s">
        <v>234</v>
      </c>
      <c r="BP541" t="s">
        <v>74</v>
      </c>
      <c r="BQ541" t="s">
        <v>74</v>
      </c>
      <c r="BR541" t="s">
        <v>99</v>
      </c>
      <c r="BS541" t="s">
        <v>10447</v>
      </c>
      <c r="BT541" t="str">
        <f>HYPERLINK("https%3A%2F%2Fwww.webofscience.com%2Fwos%2Fwoscc%2Ffull-record%2FWOS:001050936200001","View Full Record in Web of Science")</f>
        <v>View Full Record in Web of Science</v>
      </c>
    </row>
    <row r="542" spans="1:72" x14ac:dyDescent="0.15">
      <c r="A542" t="s">
        <v>72</v>
      </c>
      <c r="B542" t="s">
        <v>10448</v>
      </c>
      <c r="C542" t="s">
        <v>74</v>
      </c>
      <c r="D542" t="s">
        <v>74</v>
      </c>
      <c r="E542" t="s">
        <v>74</v>
      </c>
      <c r="F542" t="s">
        <v>10449</v>
      </c>
      <c r="G542" t="s">
        <v>74</v>
      </c>
      <c r="H542" t="s">
        <v>74</v>
      </c>
      <c r="I542" t="s">
        <v>10450</v>
      </c>
      <c r="J542" t="s">
        <v>10451</v>
      </c>
      <c r="K542" t="s">
        <v>74</v>
      </c>
      <c r="L542" t="s">
        <v>74</v>
      </c>
      <c r="M542" t="s">
        <v>78</v>
      </c>
      <c r="N542" t="s">
        <v>338</v>
      </c>
      <c r="O542" t="s">
        <v>74</v>
      </c>
      <c r="P542" t="s">
        <v>74</v>
      </c>
      <c r="Q542" t="s">
        <v>74</v>
      </c>
      <c r="R542" t="s">
        <v>74</v>
      </c>
      <c r="S542" t="s">
        <v>74</v>
      </c>
      <c r="T542" t="s">
        <v>10452</v>
      </c>
      <c r="U542" t="s">
        <v>10453</v>
      </c>
      <c r="V542" t="s">
        <v>10454</v>
      </c>
      <c r="W542" t="s">
        <v>10455</v>
      </c>
      <c r="X542" t="s">
        <v>10456</v>
      </c>
      <c r="Y542" t="s">
        <v>10457</v>
      </c>
      <c r="Z542" t="s">
        <v>10458</v>
      </c>
      <c r="AA542" t="s">
        <v>74</v>
      </c>
      <c r="AB542" t="s">
        <v>10459</v>
      </c>
      <c r="AC542" t="s">
        <v>74</v>
      </c>
      <c r="AD542" t="s">
        <v>74</v>
      </c>
      <c r="AE542" t="s">
        <v>74</v>
      </c>
      <c r="AF542" t="s">
        <v>74</v>
      </c>
      <c r="AG542">
        <v>49</v>
      </c>
      <c r="AH542">
        <v>0</v>
      </c>
      <c r="AI542">
        <v>0</v>
      </c>
      <c r="AJ542">
        <v>0</v>
      </c>
      <c r="AK542">
        <v>0</v>
      </c>
      <c r="AL542" t="s">
        <v>87</v>
      </c>
      <c r="AM542" t="s">
        <v>88</v>
      </c>
      <c r="AN542" t="s">
        <v>89</v>
      </c>
      <c r="AO542" t="s">
        <v>10460</v>
      </c>
      <c r="AP542" t="s">
        <v>10461</v>
      </c>
      <c r="AQ542" t="s">
        <v>74</v>
      </c>
      <c r="AR542" t="s">
        <v>10462</v>
      </c>
      <c r="AS542" t="s">
        <v>10463</v>
      </c>
      <c r="AT542" t="s">
        <v>10262</v>
      </c>
      <c r="AU542">
        <v>2023</v>
      </c>
      <c r="AV542" t="s">
        <v>74</v>
      </c>
      <c r="AW542" t="s">
        <v>74</v>
      </c>
      <c r="AX542" t="s">
        <v>74</v>
      </c>
      <c r="AY542" t="s">
        <v>74</v>
      </c>
      <c r="AZ542" t="s">
        <v>74</v>
      </c>
      <c r="BA542" t="s">
        <v>74</v>
      </c>
      <c r="BB542" t="s">
        <v>74</v>
      </c>
      <c r="BC542" t="s">
        <v>74</v>
      </c>
      <c r="BD542" t="s">
        <v>74</v>
      </c>
      <c r="BE542" t="s">
        <v>10464</v>
      </c>
      <c r="BF542" t="str">
        <f>HYPERLINK("http://dx.doi.org/10.1111/birt.12757","http://dx.doi.org/10.1111/birt.12757")</f>
        <v>http://dx.doi.org/10.1111/birt.12757</v>
      </c>
      <c r="BG542" t="s">
        <v>74</v>
      </c>
      <c r="BH542" t="s">
        <v>7524</v>
      </c>
      <c r="BI542">
        <v>13</v>
      </c>
      <c r="BJ542" t="s">
        <v>10465</v>
      </c>
      <c r="BK542" t="s">
        <v>409</v>
      </c>
      <c r="BL542" t="s">
        <v>10465</v>
      </c>
      <c r="BM542" t="s">
        <v>10466</v>
      </c>
      <c r="BN542">
        <v>37593797</v>
      </c>
      <c r="BO542" t="s">
        <v>122</v>
      </c>
      <c r="BP542" t="s">
        <v>74</v>
      </c>
      <c r="BQ542" t="s">
        <v>74</v>
      </c>
      <c r="BR542" t="s">
        <v>99</v>
      </c>
      <c r="BS542" t="s">
        <v>10467</v>
      </c>
      <c r="BT542" t="str">
        <f>HYPERLINK("https%3A%2F%2Fwww.webofscience.com%2Fwos%2Fwoscc%2Ffull-record%2FWOS:001049454900001","View Full Record in Web of Science")</f>
        <v>View Full Record in Web of Science</v>
      </c>
    </row>
    <row r="543" spans="1:72" x14ac:dyDescent="0.15">
      <c r="A543" t="s">
        <v>72</v>
      </c>
      <c r="B543" t="s">
        <v>10468</v>
      </c>
      <c r="C543" t="s">
        <v>74</v>
      </c>
      <c r="D543" t="s">
        <v>74</v>
      </c>
      <c r="E543" t="s">
        <v>74</v>
      </c>
      <c r="F543" t="s">
        <v>10469</v>
      </c>
      <c r="G543" t="s">
        <v>74</v>
      </c>
      <c r="H543" t="s">
        <v>74</v>
      </c>
      <c r="I543" t="s">
        <v>10470</v>
      </c>
      <c r="J543" t="s">
        <v>8708</v>
      </c>
      <c r="K543" t="s">
        <v>74</v>
      </c>
      <c r="L543" t="s">
        <v>74</v>
      </c>
      <c r="M543" t="s">
        <v>78</v>
      </c>
      <c r="N543" t="s">
        <v>594</v>
      </c>
      <c r="O543" t="s">
        <v>74</v>
      </c>
      <c r="P543" t="s">
        <v>74</v>
      </c>
      <c r="Q543" t="s">
        <v>74</v>
      </c>
      <c r="R543" t="s">
        <v>74</v>
      </c>
      <c r="S543" t="s">
        <v>74</v>
      </c>
      <c r="T543" t="s">
        <v>10471</v>
      </c>
      <c r="U543" t="s">
        <v>10472</v>
      </c>
      <c r="V543" t="s">
        <v>10473</v>
      </c>
      <c r="W543" t="s">
        <v>10474</v>
      </c>
      <c r="X543" t="s">
        <v>10475</v>
      </c>
      <c r="Y543" t="s">
        <v>10476</v>
      </c>
      <c r="Z543" t="s">
        <v>10477</v>
      </c>
      <c r="AA543" t="s">
        <v>74</v>
      </c>
      <c r="AB543" t="s">
        <v>10478</v>
      </c>
      <c r="AC543" t="s">
        <v>74</v>
      </c>
      <c r="AD543" t="s">
        <v>74</v>
      </c>
      <c r="AE543" t="s">
        <v>74</v>
      </c>
      <c r="AF543" t="s">
        <v>74</v>
      </c>
      <c r="AG543">
        <v>148</v>
      </c>
      <c r="AH543">
        <v>0</v>
      </c>
      <c r="AI543">
        <v>0</v>
      </c>
      <c r="AJ543">
        <v>0</v>
      </c>
      <c r="AK543">
        <v>0</v>
      </c>
      <c r="AL543" t="s">
        <v>87</v>
      </c>
      <c r="AM543" t="s">
        <v>88</v>
      </c>
      <c r="AN543" t="s">
        <v>89</v>
      </c>
      <c r="AO543" t="s">
        <v>8716</v>
      </c>
      <c r="AP543" t="s">
        <v>8717</v>
      </c>
      <c r="AQ543" t="s">
        <v>74</v>
      </c>
      <c r="AR543" t="s">
        <v>8718</v>
      </c>
      <c r="AS543" t="s">
        <v>8719</v>
      </c>
      <c r="AT543" t="s">
        <v>10262</v>
      </c>
      <c r="AU543">
        <v>2023</v>
      </c>
      <c r="AV543" t="s">
        <v>74</v>
      </c>
      <c r="AW543" t="s">
        <v>74</v>
      </c>
      <c r="AX543" t="s">
        <v>74</v>
      </c>
      <c r="AY543" t="s">
        <v>74</v>
      </c>
      <c r="AZ543" t="s">
        <v>74</v>
      </c>
      <c r="BA543" t="s">
        <v>74</v>
      </c>
      <c r="BB543" t="s">
        <v>74</v>
      </c>
      <c r="BC543" t="s">
        <v>74</v>
      </c>
      <c r="BD543" t="s">
        <v>74</v>
      </c>
      <c r="BE543" t="s">
        <v>10479</v>
      </c>
      <c r="BF543" t="str">
        <f>HYPERLINK("http://dx.doi.org/10.1111/tid.14129","http://dx.doi.org/10.1111/tid.14129")</f>
        <v>http://dx.doi.org/10.1111/tid.14129</v>
      </c>
      <c r="BG543" t="s">
        <v>74</v>
      </c>
      <c r="BH543" t="s">
        <v>7524</v>
      </c>
      <c r="BI543">
        <v>18</v>
      </c>
      <c r="BJ543" t="s">
        <v>8722</v>
      </c>
      <c r="BK543" t="s">
        <v>119</v>
      </c>
      <c r="BL543" t="s">
        <v>8722</v>
      </c>
      <c r="BM543" t="s">
        <v>10480</v>
      </c>
      <c r="BN543">
        <v>37594221</v>
      </c>
      <c r="BO543" t="s">
        <v>74</v>
      </c>
      <c r="BP543" t="s">
        <v>74</v>
      </c>
      <c r="BQ543" t="s">
        <v>74</v>
      </c>
      <c r="BR543" t="s">
        <v>99</v>
      </c>
      <c r="BS543" t="s">
        <v>10481</v>
      </c>
      <c r="BT543" t="str">
        <f>HYPERLINK("https%3A%2F%2Fwww.webofscience.com%2Fwos%2Fwoscc%2Ffull-record%2FWOS:001050557700001","View Full Record in Web of Science")</f>
        <v>View Full Record in Web of Science</v>
      </c>
    </row>
    <row r="544" spans="1:72" x14ac:dyDescent="0.15">
      <c r="A544" t="s">
        <v>72</v>
      </c>
      <c r="B544" t="s">
        <v>10482</v>
      </c>
      <c r="C544" t="s">
        <v>74</v>
      </c>
      <c r="D544" t="s">
        <v>74</v>
      </c>
      <c r="E544" t="s">
        <v>74</v>
      </c>
      <c r="F544" t="s">
        <v>10483</v>
      </c>
      <c r="G544" t="s">
        <v>74</v>
      </c>
      <c r="H544" t="s">
        <v>74</v>
      </c>
      <c r="I544" t="s">
        <v>10484</v>
      </c>
      <c r="J544" t="s">
        <v>1913</v>
      </c>
      <c r="K544" t="s">
        <v>74</v>
      </c>
      <c r="L544" t="s">
        <v>74</v>
      </c>
      <c r="M544" t="s">
        <v>78</v>
      </c>
      <c r="N544" t="s">
        <v>79</v>
      </c>
      <c r="O544" t="s">
        <v>74</v>
      </c>
      <c r="P544" t="s">
        <v>74</v>
      </c>
      <c r="Q544" t="s">
        <v>74</v>
      </c>
      <c r="R544" t="s">
        <v>74</v>
      </c>
      <c r="S544" t="s">
        <v>74</v>
      </c>
      <c r="T544" t="s">
        <v>10485</v>
      </c>
      <c r="U544" t="s">
        <v>10486</v>
      </c>
      <c r="V544" t="s">
        <v>10487</v>
      </c>
      <c r="W544" t="s">
        <v>10488</v>
      </c>
      <c r="X544" t="s">
        <v>74</v>
      </c>
      <c r="Y544" t="s">
        <v>10489</v>
      </c>
      <c r="Z544" t="s">
        <v>10490</v>
      </c>
      <c r="AA544" t="s">
        <v>74</v>
      </c>
      <c r="AB544" t="s">
        <v>74</v>
      </c>
      <c r="AC544" t="s">
        <v>74</v>
      </c>
      <c r="AD544" t="s">
        <v>74</v>
      </c>
      <c r="AE544" t="s">
        <v>74</v>
      </c>
      <c r="AF544" t="s">
        <v>74</v>
      </c>
      <c r="AG544">
        <v>25</v>
      </c>
      <c r="AH544">
        <v>0</v>
      </c>
      <c r="AI544">
        <v>0</v>
      </c>
      <c r="AJ544">
        <v>0</v>
      </c>
      <c r="AK544">
        <v>0</v>
      </c>
      <c r="AL544" t="s">
        <v>87</v>
      </c>
      <c r="AM544" t="s">
        <v>88</v>
      </c>
      <c r="AN544" t="s">
        <v>89</v>
      </c>
      <c r="AO544" t="s">
        <v>1922</v>
      </c>
      <c r="AP544" t="s">
        <v>74</v>
      </c>
      <c r="AQ544" t="s">
        <v>74</v>
      </c>
      <c r="AR544" t="s">
        <v>1923</v>
      </c>
      <c r="AS544" t="s">
        <v>1924</v>
      </c>
      <c r="AT544" t="s">
        <v>6725</v>
      </c>
      <c r="AU544">
        <v>2023</v>
      </c>
      <c r="AV544">
        <v>24</v>
      </c>
      <c r="AW544">
        <v>9</v>
      </c>
      <c r="AX544" t="s">
        <v>74</v>
      </c>
      <c r="AY544" t="s">
        <v>74</v>
      </c>
      <c r="AZ544" t="s">
        <v>74</v>
      </c>
      <c r="BA544" t="s">
        <v>74</v>
      </c>
      <c r="BB544" t="s">
        <v>74</v>
      </c>
      <c r="BC544" t="s">
        <v>74</v>
      </c>
      <c r="BD544" t="s">
        <v>74</v>
      </c>
      <c r="BE544" t="s">
        <v>10491</v>
      </c>
      <c r="BF544" t="str">
        <f>HYPERLINK("http://dx.doi.org/10.1002/acm2.14106","http://dx.doi.org/10.1002/acm2.14106")</f>
        <v>http://dx.doi.org/10.1002/acm2.14106</v>
      </c>
      <c r="BG544" t="s">
        <v>74</v>
      </c>
      <c r="BH544" t="s">
        <v>7524</v>
      </c>
      <c r="BI544">
        <v>10</v>
      </c>
      <c r="BJ544" t="s">
        <v>1290</v>
      </c>
      <c r="BK544" t="s">
        <v>119</v>
      </c>
      <c r="BL544" t="s">
        <v>1290</v>
      </c>
      <c r="BM544" t="s">
        <v>10492</v>
      </c>
      <c r="BN544">
        <v>37593989</v>
      </c>
      <c r="BO544" t="s">
        <v>234</v>
      </c>
      <c r="BP544" t="s">
        <v>74</v>
      </c>
      <c r="BQ544" t="s">
        <v>74</v>
      </c>
      <c r="BR544" t="s">
        <v>99</v>
      </c>
      <c r="BS544" t="s">
        <v>10493</v>
      </c>
      <c r="BT544" t="str">
        <f>HYPERLINK("https%3A%2F%2Fwww.webofscience.com%2Fwos%2Fwoscc%2Ffull-record%2FWOS:001049516300001","View Full Record in Web of Science")</f>
        <v>View Full Record in Web of Science</v>
      </c>
    </row>
    <row r="545" spans="1:72" x14ac:dyDescent="0.15">
      <c r="A545" t="s">
        <v>72</v>
      </c>
      <c r="B545" t="s">
        <v>10494</v>
      </c>
      <c r="C545" t="s">
        <v>74</v>
      </c>
      <c r="D545" t="s">
        <v>74</v>
      </c>
      <c r="E545" t="s">
        <v>74</v>
      </c>
      <c r="F545" t="s">
        <v>10495</v>
      </c>
      <c r="G545" t="s">
        <v>74</v>
      </c>
      <c r="H545" t="s">
        <v>74</v>
      </c>
      <c r="I545" t="s">
        <v>10496</v>
      </c>
      <c r="J545" t="s">
        <v>2028</v>
      </c>
      <c r="K545" t="s">
        <v>74</v>
      </c>
      <c r="L545" t="s">
        <v>74</v>
      </c>
      <c r="M545" t="s">
        <v>78</v>
      </c>
      <c r="N545" t="s">
        <v>3392</v>
      </c>
      <c r="O545" t="s">
        <v>74</v>
      </c>
      <c r="P545" t="s">
        <v>74</v>
      </c>
      <c r="Q545" t="s">
        <v>74</v>
      </c>
      <c r="R545" t="s">
        <v>74</v>
      </c>
      <c r="S545" t="s">
        <v>74</v>
      </c>
      <c r="T545" t="s">
        <v>10497</v>
      </c>
      <c r="U545" t="s">
        <v>10498</v>
      </c>
      <c r="V545" t="s">
        <v>10499</v>
      </c>
      <c r="W545" t="s">
        <v>10500</v>
      </c>
      <c r="X545" t="s">
        <v>10501</v>
      </c>
      <c r="Y545" t="s">
        <v>10502</v>
      </c>
      <c r="Z545" t="s">
        <v>10503</v>
      </c>
      <c r="AA545" t="s">
        <v>74</v>
      </c>
      <c r="AB545" t="s">
        <v>10504</v>
      </c>
      <c r="AC545" t="s">
        <v>10505</v>
      </c>
      <c r="AD545" t="s">
        <v>10506</v>
      </c>
      <c r="AE545" t="s">
        <v>10507</v>
      </c>
      <c r="AF545" t="s">
        <v>74</v>
      </c>
      <c r="AG545">
        <v>350</v>
      </c>
      <c r="AH545">
        <v>0</v>
      </c>
      <c r="AI545">
        <v>0</v>
      </c>
      <c r="AJ545">
        <v>14</v>
      </c>
      <c r="AK545">
        <v>14</v>
      </c>
      <c r="AL545" t="s">
        <v>426</v>
      </c>
      <c r="AM545" t="s">
        <v>427</v>
      </c>
      <c r="AN545" t="s">
        <v>428</v>
      </c>
      <c r="AO545" t="s">
        <v>2037</v>
      </c>
      <c r="AP545" t="s">
        <v>74</v>
      </c>
      <c r="AQ545" t="s">
        <v>74</v>
      </c>
      <c r="AR545" t="s">
        <v>2028</v>
      </c>
      <c r="AS545" t="s">
        <v>2038</v>
      </c>
      <c r="AT545" t="s">
        <v>10417</v>
      </c>
      <c r="AU545">
        <v>2023</v>
      </c>
      <c r="AV545">
        <v>8</v>
      </c>
      <c r="AW545">
        <v>31</v>
      </c>
      <c r="AX545" t="s">
        <v>74</v>
      </c>
      <c r="AY545" t="s">
        <v>74</v>
      </c>
      <c r="AZ545" t="s">
        <v>74</v>
      </c>
      <c r="BA545" t="s">
        <v>74</v>
      </c>
      <c r="BB545" t="s">
        <v>74</v>
      </c>
      <c r="BC545" t="s">
        <v>74</v>
      </c>
      <c r="BD545" t="s">
        <v>10508</v>
      </c>
      <c r="BE545" t="s">
        <v>10509</v>
      </c>
      <c r="BF545" t="str">
        <f>HYPERLINK("http://dx.doi.org/10.1002/slct.202301828","http://dx.doi.org/10.1002/slct.202301828")</f>
        <v>http://dx.doi.org/10.1002/slct.202301828</v>
      </c>
      <c r="BG545" t="s">
        <v>74</v>
      </c>
      <c r="BH545" t="s">
        <v>74</v>
      </c>
      <c r="BI545">
        <v>40</v>
      </c>
      <c r="BJ545" t="s">
        <v>523</v>
      </c>
      <c r="BK545" t="s">
        <v>119</v>
      </c>
      <c r="BL545" t="s">
        <v>524</v>
      </c>
      <c r="BM545" t="s">
        <v>10510</v>
      </c>
      <c r="BN545" t="s">
        <v>74</v>
      </c>
      <c r="BO545" t="s">
        <v>74</v>
      </c>
      <c r="BP545" t="s">
        <v>74</v>
      </c>
      <c r="BQ545" t="s">
        <v>74</v>
      </c>
      <c r="BR545" t="s">
        <v>99</v>
      </c>
      <c r="BS545" t="s">
        <v>10511</v>
      </c>
      <c r="BT545" t="str">
        <f>HYPERLINK("https%3A%2F%2Fwww.webofscience.com%2Fwos%2Fwoscc%2Ffull-record%2FWOS:001049106400001","View Full Record in Web of Science")</f>
        <v>View Full Record in Web of Science</v>
      </c>
    </row>
    <row r="546" spans="1:72" x14ac:dyDescent="0.15">
      <c r="A546" t="s">
        <v>72</v>
      </c>
      <c r="B546" t="s">
        <v>10512</v>
      </c>
      <c r="C546" t="s">
        <v>74</v>
      </c>
      <c r="D546" t="s">
        <v>74</v>
      </c>
      <c r="E546" t="s">
        <v>74</v>
      </c>
      <c r="F546" t="s">
        <v>10513</v>
      </c>
      <c r="G546" t="s">
        <v>74</v>
      </c>
      <c r="H546" t="s">
        <v>74</v>
      </c>
      <c r="I546" t="s">
        <v>10514</v>
      </c>
      <c r="J546" t="s">
        <v>10515</v>
      </c>
      <c r="K546" t="s">
        <v>74</v>
      </c>
      <c r="L546" t="s">
        <v>74</v>
      </c>
      <c r="M546" t="s">
        <v>78</v>
      </c>
      <c r="N546" t="s">
        <v>338</v>
      </c>
      <c r="O546" t="s">
        <v>74</v>
      </c>
      <c r="P546" t="s">
        <v>74</v>
      </c>
      <c r="Q546" t="s">
        <v>74</v>
      </c>
      <c r="R546" t="s">
        <v>74</v>
      </c>
      <c r="S546" t="s">
        <v>74</v>
      </c>
      <c r="T546" t="s">
        <v>10516</v>
      </c>
      <c r="U546" t="s">
        <v>10517</v>
      </c>
      <c r="V546" t="s">
        <v>10518</v>
      </c>
      <c r="W546" t="s">
        <v>10519</v>
      </c>
      <c r="X546" t="s">
        <v>10520</v>
      </c>
      <c r="Y546" t="s">
        <v>10521</v>
      </c>
      <c r="Z546" t="s">
        <v>10522</v>
      </c>
      <c r="AA546" t="s">
        <v>74</v>
      </c>
      <c r="AB546" t="s">
        <v>10523</v>
      </c>
      <c r="AC546" t="s">
        <v>10524</v>
      </c>
      <c r="AD546" t="s">
        <v>10524</v>
      </c>
      <c r="AE546" t="s">
        <v>10524</v>
      </c>
      <c r="AF546" t="s">
        <v>74</v>
      </c>
      <c r="AG546">
        <v>91</v>
      </c>
      <c r="AH546">
        <v>0</v>
      </c>
      <c r="AI546">
        <v>0</v>
      </c>
      <c r="AJ546">
        <v>0</v>
      </c>
      <c r="AK546">
        <v>0</v>
      </c>
      <c r="AL546" t="s">
        <v>87</v>
      </c>
      <c r="AM546" t="s">
        <v>88</v>
      </c>
      <c r="AN546" t="s">
        <v>89</v>
      </c>
      <c r="AO546" t="s">
        <v>10525</v>
      </c>
      <c r="AP546" t="s">
        <v>10526</v>
      </c>
      <c r="AQ546" t="s">
        <v>74</v>
      </c>
      <c r="AR546" t="s">
        <v>10527</v>
      </c>
      <c r="AS546" t="s">
        <v>10528</v>
      </c>
      <c r="AT546" t="s">
        <v>10529</v>
      </c>
      <c r="AU546">
        <v>2023</v>
      </c>
      <c r="AV546" t="s">
        <v>74</v>
      </c>
      <c r="AW546" t="s">
        <v>74</v>
      </c>
      <c r="AX546" t="s">
        <v>74</v>
      </c>
      <c r="AY546" t="s">
        <v>74</v>
      </c>
      <c r="AZ546" t="s">
        <v>74</v>
      </c>
      <c r="BA546" t="s">
        <v>74</v>
      </c>
      <c r="BB546" t="s">
        <v>74</v>
      </c>
      <c r="BC546" t="s">
        <v>74</v>
      </c>
      <c r="BD546" t="s">
        <v>74</v>
      </c>
      <c r="BE546" t="s">
        <v>10530</v>
      </c>
      <c r="BF546" t="str">
        <f>HYPERLINK("http://dx.doi.org/10.1111/afe.12589","http://dx.doi.org/10.1111/afe.12589")</f>
        <v>http://dx.doi.org/10.1111/afe.12589</v>
      </c>
      <c r="BG546" t="s">
        <v>74</v>
      </c>
      <c r="BH546" t="s">
        <v>7524</v>
      </c>
      <c r="BI546">
        <v>12</v>
      </c>
      <c r="BJ546" t="s">
        <v>10531</v>
      </c>
      <c r="BK546" t="s">
        <v>119</v>
      </c>
      <c r="BL546" t="s">
        <v>10531</v>
      </c>
      <c r="BM546" t="s">
        <v>10532</v>
      </c>
      <c r="BN546" t="s">
        <v>74</v>
      </c>
      <c r="BO546" t="s">
        <v>122</v>
      </c>
      <c r="BP546" t="s">
        <v>74</v>
      </c>
      <c r="BQ546" t="s">
        <v>74</v>
      </c>
      <c r="BR546" t="s">
        <v>99</v>
      </c>
      <c r="BS546" t="s">
        <v>10533</v>
      </c>
      <c r="BT546" t="str">
        <f>HYPERLINK("https%3A%2F%2Fwww.webofscience.com%2Fwos%2Fwoscc%2Ffull-record%2FWOS:001049991800001","View Full Record in Web of Science")</f>
        <v>View Full Record in Web of Science</v>
      </c>
    </row>
    <row r="547" spans="1:72" x14ac:dyDescent="0.15">
      <c r="A547" t="s">
        <v>72</v>
      </c>
      <c r="B547" t="s">
        <v>10534</v>
      </c>
      <c r="C547" t="s">
        <v>74</v>
      </c>
      <c r="D547" t="s">
        <v>74</v>
      </c>
      <c r="E547" t="s">
        <v>74</v>
      </c>
      <c r="F547" t="s">
        <v>10535</v>
      </c>
      <c r="G547" t="s">
        <v>74</v>
      </c>
      <c r="H547" t="s">
        <v>74</v>
      </c>
      <c r="I547" t="s">
        <v>10536</v>
      </c>
      <c r="J547" t="s">
        <v>10537</v>
      </c>
      <c r="K547" t="s">
        <v>74</v>
      </c>
      <c r="L547" t="s">
        <v>74</v>
      </c>
      <c r="M547" t="s">
        <v>78</v>
      </c>
      <c r="N547" t="s">
        <v>338</v>
      </c>
      <c r="O547" t="s">
        <v>74</v>
      </c>
      <c r="P547" t="s">
        <v>74</v>
      </c>
      <c r="Q547" t="s">
        <v>74</v>
      </c>
      <c r="R547" t="s">
        <v>74</v>
      </c>
      <c r="S547" t="s">
        <v>74</v>
      </c>
      <c r="T547" t="s">
        <v>10538</v>
      </c>
      <c r="U547" t="s">
        <v>10539</v>
      </c>
      <c r="V547" t="s">
        <v>10540</v>
      </c>
      <c r="W547" t="s">
        <v>10541</v>
      </c>
      <c r="X547" t="s">
        <v>10542</v>
      </c>
      <c r="Y547" t="s">
        <v>10543</v>
      </c>
      <c r="Z547" t="s">
        <v>10544</v>
      </c>
      <c r="AA547" t="s">
        <v>74</v>
      </c>
      <c r="AB547" t="s">
        <v>10545</v>
      </c>
      <c r="AC547" t="s">
        <v>74</v>
      </c>
      <c r="AD547" t="s">
        <v>74</v>
      </c>
      <c r="AE547" t="s">
        <v>74</v>
      </c>
      <c r="AF547" t="s">
        <v>74</v>
      </c>
      <c r="AG547">
        <v>43</v>
      </c>
      <c r="AH547">
        <v>0</v>
      </c>
      <c r="AI547">
        <v>0</v>
      </c>
      <c r="AJ547">
        <v>0</v>
      </c>
      <c r="AK547">
        <v>0</v>
      </c>
      <c r="AL547" t="s">
        <v>87</v>
      </c>
      <c r="AM547" t="s">
        <v>88</v>
      </c>
      <c r="AN547" t="s">
        <v>89</v>
      </c>
      <c r="AO547" t="s">
        <v>10546</v>
      </c>
      <c r="AP547" t="s">
        <v>10547</v>
      </c>
      <c r="AQ547" t="s">
        <v>74</v>
      </c>
      <c r="AR547" t="s">
        <v>10548</v>
      </c>
      <c r="AS547" t="s">
        <v>10549</v>
      </c>
      <c r="AT547" t="s">
        <v>10529</v>
      </c>
      <c r="AU547">
        <v>2023</v>
      </c>
      <c r="AV547" t="s">
        <v>74</v>
      </c>
      <c r="AW547" t="s">
        <v>74</v>
      </c>
      <c r="AX547" t="s">
        <v>74</v>
      </c>
      <c r="AY547" t="s">
        <v>74</v>
      </c>
      <c r="AZ547" t="s">
        <v>74</v>
      </c>
      <c r="BA547" t="s">
        <v>74</v>
      </c>
      <c r="BB547" t="s">
        <v>74</v>
      </c>
      <c r="BC547" t="s">
        <v>74</v>
      </c>
      <c r="BD547" t="s">
        <v>74</v>
      </c>
      <c r="BE547" t="s">
        <v>10550</v>
      </c>
      <c r="BF547" t="str">
        <f>HYPERLINK("http://dx.doi.org/10.1111/jjns.12555","http://dx.doi.org/10.1111/jjns.12555")</f>
        <v>http://dx.doi.org/10.1111/jjns.12555</v>
      </c>
      <c r="BG547" t="s">
        <v>74</v>
      </c>
      <c r="BH547" t="s">
        <v>7524</v>
      </c>
      <c r="BI547">
        <v>15</v>
      </c>
      <c r="BJ547" t="s">
        <v>5811</v>
      </c>
      <c r="BK547" t="s">
        <v>409</v>
      </c>
      <c r="BL547" t="s">
        <v>5811</v>
      </c>
      <c r="BM547" t="s">
        <v>10551</v>
      </c>
      <c r="BN547">
        <v>37589209</v>
      </c>
      <c r="BO547" t="s">
        <v>74</v>
      </c>
      <c r="BP547" t="s">
        <v>74</v>
      </c>
      <c r="BQ547" t="s">
        <v>74</v>
      </c>
      <c r="BR547" t="s">
        <v>99</v>
      </c>
      <c r="BS547" t="s">
        <v>10552</v>
      </c>
      <c r="BT547" t="str">
        <f>HYPERLINK("https%3A%2F%2Fwww.webofscience.com%2Fwos%2Fwoscc%2Ffull-record%2FWOS:001049961800001","View Full Record in Web of Science")</f>
        <v>View Full Record in Web of Science</v>
      </c>
    </row>
    <row r="548" spans="1:72" x14ac:dyDescent="0.15">
      <c r="A548" t="s">
        <v>72</v>
      </c>
      <c r="B548" t="s">
        <v>10553</v>
      </c>
      <c r="C548" t="s">
        <v>74</v>
      </c>
      <c r="D548" t="s">
        <v>74</v>
      </c>
      <c r="E548" t="s">
        <v>74</v>
      </c>
      <c r="F548" t="s">
        <v>10554</v>
      </c>
      <c r="G548" t="s">
        <v>74</v>
      </c>
      <c r="H548" t="s">
        <v>74</v>
      </c>
      <c r="I548" t="s">
        <v>10555</v>
      </c>
      <c r="J548" t="s">
        <v>10556</v>
      </c>
      <c r="K548" t="s">
        <v>74</v>
      </c>
      <c r="L548" t="s">
        <v>74</v>
      </c>
      <c r="M548" t="s">
        <v>78</v>
      </c>
      <c r="N548" t="s">
        <v>594</v>
      </c>
      <c r="O548" t="s">
        <v>74</v>
      </c>
      <c r="P548" t="s">
        <v>74</v>
      </c>
      <c r="Q548" t="s">
        <v>74</v>
      </c>
      <c r="R548" t="s">
        <v>74</v>
      </c>
      <c r="S548" t="s">
        <v>74</v>
      </c>
      <c r="T548" t="s">
        <v>10557</v>
      </c>
      <c r="U548" t="s">
        <v>10558</v>
      </c>
      <c r="V548" t="s">
        <v>10559</v>
      </c>
      <c r="W548" t="s">
        <v>10560</v>
      </c>
      <c r="X548" t="s">
        <v>10561</v>
      </c>
      <c r="Y548" t="s">
        <v>10562</v>
      </c>
      <c r="Z548" t="s">
        <v>10563</v>
      </c>
      <c r="AA548" t="s">
        <v>10564</v>
      </c>
      <c r="AB548" t="s">
        <v>10565</v>
      </c>
      <c r="AC548" t="s">
        <v>74</v>
      </c>
      <c r="AD548" t="s">
        <v>74</v>
      </c>
      <c r="AE548" t="s">
        <v>74</v>
      </c>
      <c r="AF548" t="s">
        <v>74</v>
      </c>
      <c r="AG548">
        <v>38</v>
      </c>
      <c r="AH548">
        <v>0</v>
      </c>
      <c r="AI548">
        <v>0</v>
      </c>
      <c r="AJ548">
        <v>2</v>
      </c>
      <c r="AK548">
        <v>2</v>
      </c>
      <c r="AL548" t="s">
        <v>87</v>
      </c>
      <c r="AM548" t="s">
        <v>88</v>
      </c>
      <c r="AN548" t="s">
        <v>89</v>
      </c>
      <c r="AO548" t="s">
        <v>10566</v>
      </c>
      <c r="AP548" t="s">
        <v>10567</v>
      </c>
      <c r="AQ548" t="s">
        <v>74</v>
      </c>
      <c r="AR548" t="s">
        <v>10556</v>
      </c>
      <c r="AS548" t="s">
        <v>10568</v>
      </c>
      <c r="AT548" t="s">
        <v>10529</v>
      </c>
      <c r="AU548">
        <v>2023</v>
      </c>
      <c r="AV548" t="s">
        <v>74</v>
      </c>
      <c r="AW548" t="s">
        <v>74</v>
      </c>
      <c r="AX548" t="s">
        <v>74</v>
      </c>
      <c r="AY548" t="s">
        <v>74</v>
      </c>
      <c r="AZ548" t="s">
        <v>74</v>
      </c>
      <c r="BA548" t="s">
        <v>74</v>
      </c>
      <c r="BB548" t="s">
        <v>74</v>
      </c>
      <c r="BC548" t="s">
        <v>74</v>
      </c>
      <c r="BD548" t="s">
        <v>74</v>
      </c>
      <c r="BE548" t="s">
        <v>10569</v>
      </c>
      <c r="BF548" t="str">
        <f>HYPERLINK("http://dx.doi.org/10.1111/epi.17742","http://dx.doi.org/10.1111/epi.17742")</f>
        <v>http://dx.doi.org/10.1111/epi.17742</v>
      </c>
      <c r="BG548" t="s">
        <v>74</v>
      </c>
      <c r="BH548" t="s">
        <v>7524</v>
      </c>
      <c r="BI548">
        <v>17</v>
      </c>
      <c r="BJ548" t="s">
        <v>1561</v>
      </c>
      <c r="BK548" t="s">
        <v>119</v>
      </c>
      <c r="BL548" t="s">
        <v>1562</v>
      </c>
      <c r="BM548" t="s">
        <v>10570</v>
      </c>
      <c r="BN548">
        <v>37545415</v>
      </c>
      <c r="BO548" t="s">
        <v>122</v>
      </c>
      <c r="BP548" t="s">
        <v>74</v>
      </c>
      <c r="BQ548" t="s">
        <v>74</v>
      </c>
      <c r="BR548" t="s">
        <v>99</v>
      </c>
      <c r="BS548" t="s">
        <v>10571</v>
      </c>
      <c r="BT548" t="str">
        <f>HYPERLINK("https%3A%2F%2Fwww.webofscience.com%2Fwos%2Fwoscc%2Ffull-record%2FWOS:001048913800001","View Full Record in Web of Science")</f>
        <v>View Full Record in Web of Science</v>
      </c>
    </row>
    <row r="549" spans="1:72" x14ac:dyDescent="0.15">
      <c r="A549" t="s">
        <v>72</v>
      </c>
      <c r="B549" t="s">
        <v>10572</v>
      </c>
      <c r="C549" t="s">
        <v>74</v>
      </c>
      <c r="D549" t="s">
        <v>74</v>
      </c>
      <c r="E549" t="s">
        <v>74</v>
      </c>
      <c r="F549" t="s">
        <v>10573</v>
      </c>
      <c r="G549" t="s">
        <v>74</v>
      </c>
      <c r="H549" t="s">
        <v>74</v>
      </c>
      <c r="I549" t="s">
        <v>10574</v>
      </c>
      <c r="J549" t="s">
        <v>10575</v>
      </c>
      <c r="K549" t="s">
        <v>74</v>
      </c>
      <c r="L549" t="s">
        <v>74</v>
      </c>
      <c r="M549" t="s">
        <v>78</v>
      </c>
      <c r="N549" t="s">
        <v>338</v>
      </c>
      <c r="O549" t="s">
        <v>74</v>
      </c>
      <c r="P549" t="s">
        <v>74</v>
      </c>
      <c r="Q549" t="s">
        <v>74</v>
      </c>
      <c r="R549" t="s">
        <v>74</v>
      </c>
      <c r="S549" t="s">
        <v>74</v>
      </c>
      <c r="T549" t="s">
        <v>10576</v>
      </c>
      <c r="U549" t="s">
        <v>10577</v>
      </c>
      <c r="V549" t="s">
        <v>10578</v>
      </c>
      <c r="W549" t="s">
        <v>10579</v>
      </c>
      <c r="X549" t="s">
        <v>10580</v>
      </c>
      <c r="Y549" t="s">
        <v>10581</v>
      </c>
      <c r="Z549" t="s">
        <v>10582</v>
      </c>
      <c r="AA549" t="s">
        <v>74</v>
      </c>
      <c r="AB549" t="s">
        <v>74</v>
      </c>
      <c r="AC549" t="s">
        <v>74</v>
      </c>
      <c r="AD549" t="s">
        <v>74</v>
      </c>
      <c r="AE549" t="s">
        <v>74</v>
      </c>
      <c r="AF549" t="s">
        <v>74</v>
      </c>
      <c r="AG549">
        <v>42</v>
      </c>
      <c r="AH549">
        <v>0</v>
      </c>
      <c r="AI549">
        <v>0</v>
      </c>
      <c r="AJ549">
        <v>0</v>
      </c>
      <c r="AK549">
        <v>0</v>
      </c>
      <c r="AL549" t="s">
        <v>87</v>
      </c>
      <c r="AM549" t="s">
        <v>88</v>
      </c>
      <c r="AN549" t="s">
        <v>89</v>
      </c>
      <c r="AO549" t="s">
        <v>10583</v>
      </c>
      <c r="AP549" t="s">
        <v>10584</v>
      </c>
      <c r="AQ549" t="s">
        <v>74</v>
      </c>
      <c r="AR549" t="s">
        <v>10585</v>
      </c>
      <c r="AS549" t="s">
        <v>10586</v>
      </c>
      <c r="AT549" t="s">
        <v>10529</v>
      </c>
      <c r="AU549">
        <v>2023</v>
      </c>
      <c r="AV549" t="s">
        <v>74</v>
      </c>
      <c r="AW549" t="s">
        <v>74</v>
      </c>
      <c r="AX549" t="s">
        <v>74</v>
      </c>
      <c r="AY549" t="s">
        <v>74</v>
      </c>
      <c r="AZ549" t="s">
        <v>74</v>
      </c>
      <c r="BA549" t="s">
        <v>74</v>
      </c>
      <c r="BB549" t="s">
        <v>74</v>
      </c>
      <c r="BC549" t="s">
        <v>74</v>
      </c>
      <c r="BD549" t="s">
        <v>74</v>
      </c>
      <c r="BE549" t="s">
        <v>10587</v>
      </c>
      <c r="BF549" t="str">
        <f>HYPERLINK("http://dx.doi.org/10.1002/ptr.7978","http://dx.doi.org/10.1002/ptr.7978")</f>
        <v>http://dx.doi.org/10.1002/ptr.7978</v>
      </c>
      <c r="BG549" t="s">
        <v>74</v>
      </c>
      <c r="BH549" t="s">
        <v>7524</v>
      </c>
      <c r="BI549">
        <v>16</v>
      </c>
      <c r="BJ549" t="s">
        <v>9982</v>
      </c>
      <c r="BK549" t="s">
        <v>119</v>
      </c>
      <c r="BL549" t="s">
        <v>299</v>
      </c>
      <c r="BM549" t="s">
        <v>10588</v>
      </c>
      <c r="BN549">
        <v>37589332</v>
      </c>
      <c r="BO549" t="s">
        <v>122</v>
      </c>
      <c r="BP549" t="s">
        <v>74</v>
      </c>
      <c r="BQ549" t="s">
        <v>74</v>
      </c>
      <c r="BR549" t="s">
        <v>99</v>
      </c>
      <c r="BS549" t="s">
        <v>10589</v>
      </c>
      <c r="BT549" t="str">
        <f>HYPERLINK("https%3A%2F%2Fwww.webofscience.com%2Fwos%2Fwoscc%2Ffull-record%2FWOS:001048802700001","View Full Record in Web of Science")</f>
        <v>View Full Record in Web of Science</v>
      </c>
    </row>
    <row r="550" spans="1:72" x14ac:dyDescent="0.15">
      <c r="A550" t="s">
        <v>72</v>
      </c>
      <c r="B550" t="s">
        <v>10590</v>
      </c>
      <c r="C550" t="s">
        <v>74</v>
      </c>
      <c r="D550" t="s">
        <v>74</v>
      </c>
      <c r="E550" t="s">
        <v>74</v>
      </c>
      <c r="F550" t="s">
        <v>10591</v>
      </c>
      <c r="G550" t="s">
        <v>74</v>
      </c>
      <c r="H550" t="s">
        <v>74</v>
      </c>
      <c r="I550" t="s">
        <v>10592</v>
      </c>
      <c r="J550" t="s">
        <v>3915</v>
      </c>
      <c r="K550" t="s">
        <v>74</v>
      </c>
      <c r="L550" t="s">
        <v>74</v>
      </c>
      <c r="M550" t="s">
        <v>78</v>
      </c>
      <c r="N550" t="s">
        <v>338</v>
      </c>
      <c r="O550" t="s">
        <v>74</v>
      </c>
      <c r="P550" t="s">
        <v>74</v>
      </c>
      <c r="Q550" t="s">
        <v>74</v>
      </c>
      <c r="R550" t="s">
        <v>74</v>
      </c>
      <c r="S550" t="s">
        <v>74</v>
      </c>
      <c r="T550" t="s">
        <v>10593</v>
      </c>
      <c r="U550" t="s">
        <v>10594</v>
      </c>
      <c r="V550" t="s">
        <v>10595</v>
      </c>
      <c r="W550" t="s">
        <v>10596</v>
      </c>
      <c r="X550" t="s">
        <v>10597</v>
      </c>
      <c r="Y550" t="s">
        <v>10598</v>
      </c>
      <c r="Z550" t="s">
        <v>10599</v>
      </c>
      <c r="AA550" t="s">
        <v>74</v>
      </c>
      <c r="AB550" t="s">
        <v>10600</v>
      </c>
      <c r="AC550" t="s">
        <v>10601</v>
      </c>
      <c r="AD550" t="s">
        <v>10602</v>
      </c>
      <c r="AE550" t="s">
        <v>10601</v>
      </c>
      <c r="AF550" t="s">
        <v>74</v>
      </c>
      <c r="AG550">
        <v>35</v>
      </c>
      <c r="AH550">
        <v>0</v>
      </c>
      <c r="AI550">
        <v>0</v>
      </c>
      <c r="AJ550">
        <v>48</v>
      </c>
      <c r="AK550">
        <v>48</v>
      </c>
      <c r="AL550" t="s">
        <v>87</v>
      </c>
      <c r="AM550" t="s">
        <v>88</v>
      </c>
      <c r="AN550" t="s">
        <v>89</v>
      </c>
      <c r="AO550" t="s">
        <v>3926</v>
      </c>
      <c r="AP550" t="s">
        <v>3927</v>
      </c>
      <c r="AQ550" t="s">
        <v>74</v>
      </c>
      <c r="AR550" t="s">
        <v>3928</v>
      </c>
      <c r="AS550" t="s">
        <v>3929</v>
      </c>
      <c r="AT550" t="s">
        <v>10529</v>
      </c>
      <c r="AU550">
        <v>2023</v>
      </c>
      <c r="AV550" t="s">
        <v>74</v>
      </c>
      <c r="AW550" t="s">
        <v>74</v>
      </c>
      <c r="AX550" t="s">
        <v>74</v>
      </c>
      <c r="AY550" t="s">
        <v>74</v>
      </c>
      <c r="AZ550" t="s">
        <v>74</v>
      </c>
      <c r="BA550" t="s">
        <v>74</v>
      </c>
      <c r="BB550" t="s">
        <v>74</v>
      </c>
      <c r="BC550" t="s">
        <v>74</v>
      </c>
      <c r="BD550" t="s">
        <v>74</v>
      </c>
      <c r="BE550" t="s">
        <v>10603</v>
      </c>
      <c r="BF550" t="str">
        <f>HYPERLINK("http://dx.doi.org/10.1111/dom.15238","http://dx.doi.org/10.1111/dom.15238")</f>
        <v>http://dx.doi.org/10.1111/dom.15238</v>
      </c>
      <c r="BG550" t="s">
        <v>74</v>
      </c>
      <c r="BH550" t="s">
        <v>7524</v>
      </c>
      <c r="BI550">
        <v>10</v>
      </c>
      <c r="BJ550" t="s">
        <v>2313</v>
      </c>
      <c r="BK550" t="s">
        <v>119</v>
      </c>
      <c r="BL550" t="s">
        <v>2313</v>
      </c>
      <c r="BM550" t="s">
        <v>10604</v>
      </c>
      <c r="BN550">
        <v>37589256</v>
      </c>
      <c r="BO550" t="s">
        <v>74</v>
      </c>
      <c r="BP550" t="s">
        <v>74</v>
      </c>
      <c r="BQ550" t="s">
        <v>74</v>
      </c>
      <c r="BR550" t="s">
        <v>99</v>
      </c>
      <c r="BS550" t="s">
        <v>10605</v>
      </c>
      <c r="BT550" t="str">
        <f>HYPERLINK("https%3A%2F%2Fwww.webofscience.com%2Fwos%2Fwoscc%2Ffull-record%2FWOS:001049952100001","View Full Record in Web of Science")</f>
        <v>View Full Record in Web of Science</v>
      </c>
    </row>
    <row r="551" spans="1:72" x14ac:dyDescent="0.15">
      <c r="A551" t="s">
        <v>72</v>
      </c>
      <c r="B551" t="s">
        <v>10606</v>
      </c>
      <c r="C551" t="s">
        <v>74</v>
      </c>
      <c r="D551" t="s">
        <v>74</v>
      </c>
      <c r="E551" t="s">
        <v>74</v>
      </c>
      <c r="F551" t="s">
        <v>10607</v>
      </c>
      <c r="G551" t="s">
        <v>74</v>
      </c>
      <c r="H551" t="s">
        <v>74</v>
      </c>
      <c r="I551" t="s">
        <v>10608</v>
      </c>
      <c r="J551" t="s">
        <v>10609</v>
      </c>
      <c r="K551" t="s">
        <v>74</v>
      </c>
      <c r="L551" t="s">
        <v>74</v>
      </c>
      <c r="M551" t="s">
        <v>78</v>
      </c>
      <c r="N551" t="s">
        <v>594</v>
      </c>
      <c r="O551" t="s">
        <v>74</v>
      </c>
      <c r="P551" t="s">
        <v>74</v>
      </c>
      <c r="Q551" t="s">
        <v>74</v>
      </c>
      <c r="R551" t="s">
        <v>74</v>
      </c>
      <c r="S551" t="s">
        <v>74</v>
      </c>
      <c r="T551" t="s">
        <v>10610</v>
      </c>
      <c r="U551" t="s">
        <v>10611</v>
      </c>
      <c r="V551" t="s">
        <v>10612</v>
      </c>
      <c r="W551" t="s">
        <v>10613</v>
      </c>
      <c r="X551" t="s">
        <v>10614</v>
      </c>
      <c r="Y551" t="s">
        <v>10615</v>
      </c>
      <c r="Z551" t="s">
        <v>10616</v>
      </c>
      <c r="AA551" t="s">
        <v>74</v>
      </c>
      <c r="AB551" t="s">
        <v>10617</v>
      </c>
      <c r="AC551" t="s">
        <v>74</v>
      </c>
      <c r="AD551" t="s">
        <v>74</v>
      </c>
      <c r="AE551" t="s">
        <v>74</v>
      </c>
      <c r="AF551" t="s">
        <v>74</v>
      </c>
      <c r="AG551">
        <v>33</v>
      </c>
      <c r="AH551">
        <v>0</v>
      </c>
      <c r="AI551">
        <v>0</v>
      </c>
      <c r="AJ551">
        <v>0</v>
      </c>
      <c r="AK551">
        <v>0</v>
      </c>
      <c r="AL551" t="s">
        <v>87</v>
      </c>
      <c r="AM551" t="s">
        <v>88</v>
      </c>
      <c r="AN551" t="s">
        <v>89</v>
      </c>
      <c r="AO551" t="s">
        <v>74</v>
      </c>
      <c r="AP551" t="s">
        <v>10618</v>
      </c>
      <c r="AQ551" t="s">
        <v>74</v>
      </c>
      <c r="AR551" t="s">
        <v>10619</v>
      </c>
      <c r="AS551" t="s">
        <v>10620</v>
      </c>
      <c r="AT551" t="s">
        <v>10529</v>
      </c>
      <c r="AU551">
        <v>2023</v>
      </c>
      <c r="AV551" t="s">
        <v>74</v>
      </c>
      <c r="AW551" t="s">
        <v>74</v>
      </c>
      <c r="AX551" t="s">
        <v>74</v>
      </c>
      <c r="AY551" t="s">
        <v>74</v>
      </c>
      <c r="AZ551" t="s">
        <v>74</v>
      </c>
      <c r="BA551" t="s">
        <v>74</v>
      </c>
      <c r="BB551" t="s">
        <v>74</v>
      </c>
      <c r="BC551" t="s">
        <v>74</v>
      </c>
      <c r="BD551" t="s">
        <v>74</v>
      </c>
      <c r="BE551" t="s">
        <v>10621</v>
      </c>
      <c r="BF551" t="str">
        <f>HYPERLINK("http://dx.doi.org/10.1002/cnr2.1891","http://dx.doi.org/10.1002/cnr2.1891")</f>
        <v>http://dx.doi.org/10.1002/cnr2.1891</v>
      </c>
      <c r="BG551" t="s">
        <v>74</v>
      </c>
      <c r="BH551" t="s">
        <v>7524</v>
      </c>
      <c r="BI551">
        <v>5</v>
      </c>
      <c r="BJ551" t="s">
        <v>789</v>
      </c>
      <c r="BK551" t="s">
        <v>96</v>
      </c>
      <c r="BL551" t="s">
        <v>789</v>
      </c>
      <c r="BM551" t="s">
        <v>10622</v>
      </c>
      <c r="BN551">
        <v>37592402</v>
      </c>
      <c r="BO551" t="s">
        <v>234</v>
      </c>
      <c r="BP551" t="s">
        <v>74</v>
      </c>
      <c r="BQ551" t="s">
        <v>74</v>
      </c>
      <c r="BR551" t="s">
        <v>99</v>
      </c>
      <c r="BS551" t="s">
        <v>10623</v>
      </c>
      <c r="BT551" t="str">
        <f>HYPERLINK("https%3A%2F%2Fwww.webofscience.com%2Fwos%2Fwoscc%2Ffull-record%2FWOS:001050977600001","View Full Record in Web of Science")</f>
        <v>View Full Record in Web of Science</v>
      </c>
    </row>
    <row r="552" spans="1:72" x14ac:dyDescent="0.15">
      <c r="A552" t="s">
        <v>72</v>
      </c>
      <c r="B552" t="s">
        <v>10624</v>
      </c>
      <c r="C552" t="s">
        <v>74</v>
      </c>
      <c r="D552" t="s">
        <v>74</v>
      </c>
      <c r="E552" t="s">
        <v>74</v>
      </c>
      <c r="F552" t="s">
        <v>10625</v>
      </c>
      <c r="G552" t="s">
        <v>74</v>
      </c>
      <c r="H552" t="s">
        <v>74</v>
      </c>
      <c r="I552" t="s">
        <v>10626</v>
      </c>
      <c r="J552" t="s">
        <v>10627</v>
      </c>
      <c r="K552" t="s">
        <v>74</v>
      </c>
      <c r="L552" t="s">
        <v>74</v>
      </c>
      <c r="M552" t="s">
        <v>78</v>
      </c>
      <c r="N552" t="s">
        <v>338</v>
      </c>
      <c r="O552" t="s">
        <v>74</v>
      </c>
      <c r="P552" t="s">
        <v>74</v>
      </c>
      <c r="Q552" t="s">
        <v>74</v>
      </c>
      <c r="R552" t="s">
        <v>74</v>
      </c>
      <c r="S552" t="s">
        <v>74</v>
      </c>
      <c r="T552" t="s">
        <v>10628</v>
      </c>
      <c r="U552" t="s">
        <v>10629</v>
      </c>
      <c r="V552" t="s">
        <v>10630</v>
      </c>
      <c r="W552" t="s">
        <v>10631</v>
      </c>
      <c r="X552" t="s">
        <v>10632</v>
      </c>
      <c r="Y552" t="s">
        <v>10633</v>
      </c>
      <c r="Z552" t="s">
        <v>10634</v>
      </c>
      <c r="AA552" t="s">
        <v>10635</v>
      </c>
      <c r="AB552" t="s">
        <v>10636</v>
      </c>
      <c r="AC552" t="s">
        <v>10637</v>
      </c>
      <c r="AD552" t="s">
        <v>10637</v>
      </c>
      <c r="AE552" t="s">
        <v>10638</v>
      </c>
      <c r="AF552" t="s">
        <v>74</v>
      </c>
      <c r="AG552">
        <v>113</v>
      </c>
      <c r="AH552">
        <v>0</v>
      </c>
      <c r="AI552">
        <v>0</v>
      </c>
      <c r="AJ552">
        <v>4</v>
      </c>
      <c r="AK552">
        <v>4</v>
      </c>
      <c r="AL552" t="s">
        <v>87</v>
      </c>
      <c r="AM552" t="s">
        <v>88</v>
      </c>
      <c r="AN552" t="s">
        <v>89</v>
      </c>
      <c r="AO552" t="s">
        <v>10639</v>
      </c>
      <c r="AP552" t="s">
        <v>10640</v>
      </c>
      <c r="AQ552" t="s">
        <v>74</v>
      </c>
      <c r="AR552" t="s">
        <v>10641</v>
      </c>
      <c r="AS552" t="s">
        <v>10642</v>
      </c>
      <c r="AT552" t="s">
        <v>10529</v>
      </c>
      <c r="AU552">
        <v>2023</v>
      </c>
      <c r="AV552" t="s">
        <v>74</v>
      </c>
      <c r="AW552" t="s">
        <v>74</v>
      </c>
      <c r="AX552" t="s">
        <v>74</v>
      </c>
      <c r="AY552" t="s">
        <v>74</v>
      </c>
      <c r="AZ552" t="s">
        <v>74</v>
      </c>
      <c r="BA552" t="s">
        <v>74</v>
      </c>
      <c r="BB552" t="s">
        <v>74</v>
      </c>
      <c r="BC552" t="s">
        <v>74</v>
      </c>
      <c r="BD552" t="s">
        <v>74</v>
      </c>
      <c r="BE552" t="s">
        <v>10643</v>
      </c>
      <c r="BF552" t="str">
        <f>HYPERLINK("http://dx.doi.org/10.1111/faf.12783","http://dx.doi.org/10.1111/faf.12783")</f>
        <v>http://dx.doi.org/10.1111/faf.12783</v>
      </c>
      <c r="BG552" t="s">
        <v>74</v>
      </c>
      <c r="BH552" t="s">
        <v>7524</v>
      </c>
      <c r="BI552">
        <v>14</v>
      </c>
      <c r="BJ552" t="s">
        <v>4422</v>
      </c>
      <c r="BK552" t="s">
        <v>119</v>
      </c>
      <c r="BL552" t="s">
        <v>4422</v>
      </c>
      <c r="BM552" t="s">
        <v>10644</v>
      </c>
      <c r="BN552" t="s">
        <v>74</v>
      </c>
      <c r="BO552" t="s">
        <v>122</v>
      </c>
      <c r="BP552" t="s">
        <v>74</v>
      </c>
      <c r="BQ552" t="s">
        <v>74</v>
      </c>
      <c r="BR552" t="s">
        <v>99</v>
      </c>
      <c r="BS552" t="s">
        <v>10645</v>
      </c>
      <c r="BT552" t="str">
        <f>HYPERLINK("https%3A%2F%2Fwww.webofscience.com%2Fwos%2Fwoscc%2Ffull-record%2FWOS:001049961900001","View Full Record in Web of Science")</f>
        <v>View Full Record in Web of Science</v>
      </c>
    </row>
    <row r="553" spans="1:72" x14ac:dyDescent="0.15">
      <c r="A553" t="s">
        <v>72</v>
      </c>
      <c r="B553" t="s">
        <v>10646</v>
      </c>
      <c r="C553" t="s">
        <v>74</v>
      </c>
      <c r="D553" t="s">
        <v>74</v>
      </c>
      <c r="E553" t="s">
        <v>74</v>
      </c>
      <c r="F553" t="s">
        <v>10647</v>
      </c>
      <c r="G553" t="s">
        <v>74</v>
      </c>
      <c r="H553" t="s">
        <v>74</v>
      </c>
      <c r="I553" t="s">
        <v>10648</v>
      </c>
      <c r="J553" t="s">
        <v>10649</v>
      </c>
      <c r="K553" t="s">
        <v>74</v>
      </c>
      <c r="L553" t="s">
        <v>74</v>
      </c>
      <c r="M553" t="s">
        <v>78</v>
      </c>
      <c r="N553" t="s">
        <v>338</v>
      </c>
      <c r="O553" t="s">
        <v>74</v>
      </c>
      <c r="P553" t="s">
        <v>74</v>
      </c>
      <c r="Q553" t="s">
        <v>74</v>
      </c>
      <c r="R553" t="s">
        <v>74</v>
      </c>
      <c r="S553" t="s">
        <v>74</v>
      </c>
      <c r="T553" t="s">
        <v>10650</v>
      </c>
      <c r="U553" t="s">
        <v>10651</v>
      </c>
      <c r="V553" t="s">
        <v>10652</v>
      </c>
      <c r="W553" t="s">
        <v>10653</v>
      </c>
      <c r="X553" t="s">
        <v>10654</v>
      </c>
      <c r="Y553" t="s">
        <v>10655</v>
      </c>
      <c r="Z553" t="s">
        <v>10656</v>
      </c>
      <c r="AA553" t="s">
        <v>10657</v>
      </c>
      <c r="AB553" t="s">
        <v>10658</v>
      </c>
      <c r="AC553" t="s">
        <v>10659</v>
      </c>
      <c r="AD553" t="s">
        <v>10660</v>
      </c>
      <c r="AE553" t="s">
        <v>10661</v>
      </c>
      <c r="AF553" t="s">
        <v>74</v>
      </c>
      <c r="AG553">
        <v>41</v>
      </c>
      <c r="AH553">
        <v>0</v>
      </c>
      <c r="AI553">
        <v>0</v>
      </c>
      <c r="AJ553">
        <v>4</v>
      </c>
      <c r="AK553">
        <v>4</v>
      </c>
      <c r="AL553" t="s">
        <v>87</v>
      </c>
      <c r="AM553" t="s">
        <v>88</v>
      </c>
      <c r="AN553" t="s">
        <v>89</v>
      </c>
      <c r="AO553" t="s">
        <v>10662</v>
      </c>
      <c r="AP553" t="s">
        <v>10663</v>
      </c>
      <c r="AQ553" t="s">
        <v>74</v>
      </c>
      <c r="AR553" t="s">
        <v>10664</v>
      </c>
      <c r="AS553" t="s">
        <v>10665</v>
      </c>
      <c r="AT553" t="s">
        <v>10529</v>
      </c>
      <c r="AU553">
        <v>2023</v>
      </c>
      <c r="AV553" t="s">
        <v>74</v>
      </c>
      <c r="AW553" t="s">
        <v>74</v>
      </c>
      <c r="AX553" t="s">
        <v>74</v>
      </c>
      <c r="AY553" t="s">
        <v>74</v>
      </c>
      <c r="AZ553" t="s">
        <v>74</v>
      </c>
      <c r="BA553" t="s">
        <v>74</v>
      </c>
      <c r="BB553" t="s">
        <v>74</v>
      </c>
      <c r="BC553" t="s">
        <v>74</v>
      </c>
      <c r="BD553" t="s">
        <v>74</v>
      </c>
      <c r="BE553" t="s">
        <v>10666</v>
      </c>
      <c r="BF553" t="str">
        <f>HYPERLINK("http://dx.doi.org/10.1111/sum.12955","http://dx.doi.org/10.1111/sum.12955")</f>
        <v>http://dx.doi.org/10.1111/sum.12955</v>
      </c>
      <c r="BG553" t="s">
        <v>74</v>
      </c>
      <c r="BH553" t="s">
        <v>7524</v>
      </c>
      <c r="BI553">
        <v>18</v>
      </c>
      <c r="BJ553" t="s">
        <v>9215</v>
      </c>
      <c r="BK553" t="s">
        <v>119</v>
      </c>
      <c r="BL553" t="s">
        <v>1126</v>
      </c>
      <c r="BM553" t="s">
        <v>10667</v>
      </c>
      <c r="BN553" t="s">
        <v>74</v>
      </c>
      <c r="BO553" t="s">
        <v>301</v>
      </c>
      <c r="BP553" t="s">
        <v>74</v>
      </c>
      <c r="BQ553" t="s">
        <v>74</v>
      </c>
      <c r="BR553" t="s">
        <v>99</v>
      </c>
      <c r="BS553" t="s">
        <v>10668</v>
      </c>
      <c r="BT553" t="str">
        <f>HYPERLINK("https%3A%2F%2Fwww.webofscience.com%2Fwos%2Fwoscc%2Ffull-record%2FWOS:001048801500001","View Full Record in Web of Science")</f>
        <v>View Full Record in Web of Science</v>
      </c>
    </row>
    <row r="554" spans="1:72" x14ac:dyDescent="0.15">
      <c r="A554" t="s">
        <v>72</v>
      </c>
      <c r="B554" t="s">
        <v>10669</v>
      </c>
      <c r="C554" t="s">
        <v>74</v>
      </c>
      <c r="D554" t="s">
        <v>74</v>
      </c>
      <c r="E554" t="s">
        <v>74</v>
      </c>
      <c r="F554" t="s">
        <v>10670</v>
      </c>
      <c r="G554" t="s">
        <v>74</v>
      </c>
      <c r="H554" t="s">
        <v>74</v>
      </c>
      <c r="I554" t="s">
        <v>10671</v>
      </c>
      <c r="J554" t="s">
        <v>4626</v>
      </c>
      <c r="K554" t="s">
        <v>74</v>
      </c>
      <c r="L554" t="s">
        <v>74</v>
      </c>
      <c r="M554" t="s">
        <v>78</v>
      </c>
      <c r="N554" t="s">
        <v>338</v>
      </c>
      <c r="O554" t="s">
        <v>74</v>
      </c>
      <c r="P554" t="s">
        <v>74</v>
      </c>
      <c r="Q554" t="s">
        <v>74</v>
      </c>
      <c r="R554" t="s">
        <v>74</v>
      </c>
      <c r="S554" t="s">
        <v>74</v>
      </c>
      <c r="T554" t="s">
        <v>10672</v>
      </c>
      <c r="U554" t="s">
        <v>10673</v>
      </c>
      <c r="V554" t="s">
        <v>10674</v>
      </c>
      <c r="W554" t="s">
        <v>10675</v>
      </c>
      <c r="X554" t="s">
        <v>10676</v>
      </c>
      <c r="Y554" t="s">
        <v>10677</v>
      </c>
      <c r="Z554" t="s">
        <v>10678</v>
      </c>
      <c r="AA554" t="s">
        <v>74</v>
      </c>
      <c r="AB554" t="s">
        <v>74</v>
      </c>
      <c r="AC554" t="s">
        <v>10679</v>
      </c>
      <c r="AD554" t="s">
        <v>10680</v>
      </c>
      <c r="AE554" t="s">
        <v>10681</v>
      </c>
      <c r="AF554" t="s">
        <v>74</v>
      </c>
      <c r="AG554">
        <v>71</v>
      </c>
      <c r="AH554">
        <v>0</v>
      </c>
      <c r="AI554">
        <v>0</v>
      </c>
      <c r="AJ554">
        <v>0</v>
      </c>
      <c r="AK554">
        <v>0</v>
      </c>
      <c r="AL554" t="s">
        <v>87</v>
      </c>
      <c r="AM554" t="s">
        <v>88</v>
      </c>
      <c r="AN554" t="s">
        <v>89</v>
      </c>
      <c r="AO554" t="s">
        <v>4639</v>
      </c>
      <c r="AP554" t="s">
        <v>4640</v>
      </c>
      <c r="AQ554" t="s">
        <v>74</v>
      </c>
      <c r="AR554" t="s">
        <v>4641</v>
      </c>
      <c r="AS554" t="s">
        <v>4642</v>
      </c>
      <c r="AT554" t="s">
        <v>10529</v>
      </c>
      <c r="AU554">
        <v>2023</v>
      </c>
      <c r="AV554" t="s">
        <v>74</v>
      </c>
      <c r="AW554" t="s">
        <v>74</v>
      </c>
      <c r="AX554" t="s">
        <v>74</v>
      </c>
      <c r="AY554" t="s">
        <v>74</v>
      </c>
      <c r="AZ554" t="s">
        <v>74</v>
      </c>
      <c r="BA554" t="s">
        <v>74</v>
      </c>
      <c r="BB554" t="s">
        <v>74</v>
      </c>
      <c r="BC554" t="s">
        <v>74</v>
      </c>
      <c r="BD554" t="s">
        <v>74</v>
      </c>
      <c r="BE554" t="s">
        <v>10682</v>
      </c>
      <c r="BF554" t="str">
        <f>HYPERLINK("http://dx.doi.org/10.1002/adhm.202300528","http://dx.doi.org/10.1002/adhm.202300528")</f>
        <v>http://dx.doi.org/10.1002/adhm.202300528</v>
      </c>
      <c r="BG554" t="s">
        <v>74</v>
      </c>
      <c r="BH554" t="s">
        <v>7524</v>
      </c>
      <c r="BI554">
        <v>14</v>
      </c>
      <c r="BJ554" t="s">
        <v>4644</v>
      </c>
      <c r="BK554" t="s">
        <v>119</v>
      </c>
      <c r="BL554" t="s">
        <v>4645</v>
      </c>
      <c r="BM554" t="s">
        <v>10683</v>
      </c>
      <c r="BN554">
        <v>37536742</v>
      </c>
      <c r="BO554" t="s">
        <v>122</v>
      </c>
      <c r="BP554" t="s">
        <v>74</v>
      </c>
      <c r="BQ554" t="s">
        <v>74</v>
      </c>
      <c r="BR554" t="s">
        <v>99</v>
      </c>
      <c r="BS554" t="s">
        <v>10684</v>
      </c>
      <c r="BT554" t="str">
        <f>HYPERLINK("https%3A%2F%2Fwww.webofscience.com%2Fwos%2Fwoscc%2Ffull-record%2FWOS:001049831900001","View Full Record in Web of Science")</f>
        <v>View Full Record in Web of Science</v>
      </c>
    </row>
    <row r="555" spans="1:72" x14ac:dyDescent="0.15">
      <c r="A555" t="s">
        <v>72</v>
      </c>
      <c r="B555" t="s">
        <v>10685</v>
      </c>
      <c r="C555" t="s">
        <v>74</v>
      </c>
      <c r="D555" t="s">
        <v>74</v>
      </c>
      <c r="E555" t="s">
        <v>74</v>
      </c>
      <c r="F555" t="s">
        <v>10686</v>
      </c>
      <c r="G555" t="s">
        <v>74</v>
      </c>
      <c r="H555" t="s">
        <v>74</v>
      </c>
      <c r="I555" t="s">
        <v>10687</v>
      </c>
      <c r="J555" t="s">
        <v>10688</v>
      </c>
      <c r="K555" t="s">
        <v>74</v>
      </c>
      <c r="L555" t="s">
        <v>74</v>
      </c>
      <c r="M555" t="s">
        <v>78</v>
      </c>
      <c r="N555" t="s">
        <v>338</v>
      </c>
      <c r="O555" t="s">
        <v>74</v>
      </c>
      <c r="P555" t="s">
        <v>74</v>
      </c>
      <c r="Q555" t="s">
        <v>74</v>
      </c>
      <c r="R555" t="s">
        <v>74</v>
      </c>
      <c r="S555" t="s">
        <v>74</v>
      </c>
      <c r="T555" t="s">
        <v>10689</v>
      </c>
      <c r="U555" t="s">
        <v>10690</v>
      </c>
      <c r="V555" t="s">
        <v>10691</v>
      </c>
      <c r="W555" t="s">
        <v>10692</v>
      </c>
      <c r="X555" t="s">
        <v>10693</v>
      </c>
      <c r="Y555" t="s">
        <v>10694</v>
      </c>
      <c r="Z555" t="s">
        <v>10695</v>
      </c>
      <c r="AA555" t="s">
        <v>74</v>
      </c>
      <c r="AB555" t="s">
        <v>74</v>
      </c>
      <c r="AC555" t="s">
        <v>74</v>
      </c>
      <c r="AD555" t="s">
        <v>74</v>
      </c>
      <c r="AE555" t="s">
        <v>74</v>
      </c>
      <c r="AF555" t="s">
        <v>74</v>
      </c>
      <c r="AG555">
        <v>14</v>
      </c>
      <c r="AH555">
        <v>0</v>
      </c>
      <c r="AI555">
        <v>0</v>
      </c>
      <c r="AJ555">
        <v>0</v>
      </c>
      <c r="AK555">
        <v>0</v>
      </c>
      <c r="AL555" t="s">
        <v>87</v>
      </c>
      <c r="AM555" t="s">
        <v>88</v>
      </c>
      <c r="AN555" t="s">
        <v>89</v>
      </c>
      <c r="AO555" t="s">
        <v>10696</v>
      </c>
      <c r="AP555" t="s">
        <v>10697</v>
      </c>
      <c r="AQ555" t="s">
        <v>74</v>
      </c>
      <c r="AR555" t="s">
        <v>10698</v>
      </c>
      <c r="AS555" t="s">
        <v>10699</v>
      </c>
      <c r="AT555" t="s">
        <v>10529</v>
      </c>
      <c r="AU555">
        <v>2023</v>
      </c>
      <c r="AV555" t="s">
        <v>74</v>
      </c>
      <c r="AW555" t="s">
        <v>74</v>
      </c>
      <c r="AX555" t="s">
        <v>74</v>
      </c>
      <c r="AY555" t="s">
        <v>74</v>
      </c>
      <c r="AZ555" t="s">
        <v>74</v>
      </c>
      <c r="BA555" t="s">
        <v>74</v>
      </c>
      <c r="BB555" t="s">
        <v>74</v>
      </c>
      <c r="BC555" t="s">
        <v>74</v>
      </c>
      <c r="BD555" t="s">
        <v>74</v>
      </c>
      <c r="BE555" t="s">
        <v>10700</v>
      </c>
      <c r="BF555" t="str">
        <f>HYPERLINK("http://dx.doi.org/10.1111/1744-9987.14050","http://dx.doi.org/10.1111/1744-9987.14050")</f>
        <v>http://dx.doi.org/10.1111/1744-9987.14050</v>
      </c>
      <c r="BG555" t="s">
        <v>74</v>
      </c>
      <c r="BH555" t="s">
        <v>7524</v>
      </c>
      <c r="BI555">
        <v>6</v>
      </c>
      <c r="BJ555" t="s">
        <v>10701</v>
      </c>
      <c r="BK555" t="s">
        <v>119</v>
      </c>
      <c r="BL555" t="s">
        <v>10701</v>
      </c>
      <c r="BM555" t="s">
        <v>10702</v>
      </c>
      <c r="BN555">
        <v>37589198</v>
      </c>
      <c r="BO555" t="s">
        <v>74</v>
      </c>
      <c r="BP555" t="s">
        <v>74</v>
      </c>
      <c r="BQ555" t="s">
        <v>74</v>
      </c>
      <c r="BR555" t="s">
        <v>99</v>
      </c>
      <c r="BS555" t="s">
        <v>10703</v>
      </c>
      <c r="BT555" t="str">
        <f>HYPERLINK("https%3A%2F%2Fwww.webofscience.com%2Fwos%2Fwoscc%2Ffull-record%2FWOS:001049957200001","View Full Record in Web of Science")</f>
        <v>View Full Record in Web of Science</v>
      </c>
    </row>
    <row r="556" spans="1:72" x14ac:dyDescent="0.15">
      <c r="A556" t="s">
        <v>72</v>
      </c>
      <c r="B556" t="s">
        <v>10704</v>
      </c>
      <c r="C556" t="s">
        <v>74</v>
      </c>
      <c r="D556" t="s">
        <v>74</v>
      </c>
      <c r="E556" t="s">
        <v>74</v>
      </c>
      <c r="F556" t="s">
        <v>10705</v>
      </c>
      <c r="G556" t="s">
        <v>74</v>
      </c>
      <c r="H556" t="s">
        <v>74</v>
      </c>
      <c r="I556" t="s">
        <v>10706</v>
      </c>
      <c r="J556" t="s">
        <v>10707</v>
      </c>
      <c r="K556" t="s">
        <v>74</v>
      </c>
      <c r="L556" t="s">
        <v>74</v>
      </c>
      <c r="M556" t="s">
        <v>78</v>
      </c>
      <c r="N556" t="s">
        <v>594</v>
      </c>
      <c r="O556" t="s">
        <v>74</v>
      </c>
      <c r="P556" t="s">
        <v>74</v>
      </c>
      <c r="Q556" t="s">
        <v>74</v>
      </c>
      <c r="R556" t="s">
        <v>74</v>
      </c>
      <c r="S556" t="s">
        <v>74</v>
      </c>
      <c r="T556" t="s">
        <v>10708</v>
      </c>
      <c r="U556" t="s">
        <v>10709</v>
      </c>
      <c r="V556" t="s">
        <v>10710</v>
      </c>
      <c r="W556" t="s">
        <v>10711</v>
      </c>
      <c r="X556" t="s">
        <v>10712</v>
      </c>
      <c r="Y556" t="s">
        <v>10713</v>
      </c>
      <c r="Z556" t="s">
        <v>10714</v>
      </c>
      <c r="AA556" t="s">
        <v>74</v>
      </c>
      <c r="AB556" t="s">
        <v>74</v>
      </c>
      <c r="AC556" t="s">
        <v>10715</v>
      </c>
      <c r="AD556" t="s">
        <v>10716</v>
      </c>
      <c r="AE556" t="s">
        <v>10717</v>
      </c>
      <c r="AF556" t="s">
        <v>74</v>
      </c>
      <c r="AG556">
        <v>264</v>
      </c>
      <c r="AH556">
        <v>0</v>
      </c>
      <c r="AI556">
        <v>0</v>
      </c>
      <c r="AJ556">
        <v>9</v>
      </c>
      <c r="AK556">
        <v>9</v>
      </c>
      <c r="AL556" t="s">
        <v>426</v>
      </c>
      <c r="AM556" t="s">
        <v>427</v>
      </c>
      <c r="AN556" t="s">
        <v>428</v>
      </c>
      <c r="AO556" t="s">
        <v>10718</v>
      </c>
      <c r="AP556" t="s">
        <v>10719</v>
      </c>
      <c r="AQ556" t="s">
        <v>74</v>
      </c>
      <c r="AR556" t="s">
        <v>10720</v>
      </c>
      <c r="AS556" t="s">
        <v>10721</v>
      </c>
      <c r="AT556" t="s">
        <v>10529</v>
      </c>
      <c r="AU556">
        <v>2023</v>
      </c>
      <c r="AV556" t="s">
        <v>74</v>
      </c>
      <c r="AW556" t="s">
        <v>74</v>
      </c>
      <c r="AX556" t="s">
        <v>74</v>
      </c>
      <c r="AY556" t="s">
        <v>74</v>
      </c>
      <c r="AZ556" t="s">
        <v>74</v>
      </c>
      <c r="BA556" t="s">
        <v>74</v>
      </c>
      <c r="BB556" t="s">
        <v>74</v>
      </c>
      <c r="BC556" t="s">
        <v>74</v>
      </c>
      <c r="BD556" t="s">
        <v>74</v>
      </c>
      <c r="BE556" t="s">
        <v>10722</v>
      </c>
      <c r="BF556" t="str">
        <f>HYPERLINK("http://dx.doi.org/10.1002/tcr.202300242","http://dx.doi.org/10.1002/tcr.202300242")</f>
        <v>http://dx.doi.org/10.1002/tcr.202300242</v>
      </c>
      <c r="BG556" t="s">
        <v>74</v>
      </c>
      <c r="BH556" t="s">
        <v>7524</v>
      </c>
      <c r="BI556">
        <v>20</v>
      </c>
      <c r="BJ556" t="s">
        <v>523</v>
      </c>
      <c r="BK556" t="s">
        <v>119</v>
      </c>
      <c r="BL556" t="s">
        <v>524</v>
      </c>
      <c r="BM556" t="s">
        <v>10723</v>
      </c>
      <c r="BN556">
        <v>37590437</v>
      </c>
      <c r="BO556" t="s">
        <v>74</v>
      </c>
      <c r="BP556" t="s">
        <v>74</v>
      </c>
      <c r="BQ556" t="s">
        <v>74</v>
      </c>
      <c r="BR556" t="s">
        <v>99</v>
      </c>
      <c r="BS556" t="s">
        <v>10724</v>
      </c>
      <c r="BT556" t="str">
        <f>HYPERLINK("https%3A%2F%2Fwww.webofscience.com%2Fwos%2Fwoscc%2Ffull-record%2FWOS:001049679400001","View Full Record in Web of Science")</f>
        <v>View Full Record in Web of Science</v>
      </c>
    </row>
    <row r="557" spans="1:72" x14ac:dyDescent="0.15">
      <c r="A557" t="s">
        <v>72</v>
      </c>
      <c r="B557" t="s">
        <v>10725</v>
      </c>
      <c r="C557" t="s">
        <v>74</v>
      </c>
      <c r="D557" t="s">
        <v>74</v>
      </c>
      <c r="E557" t="s">
        <v>74</v>
      </c>
      <c r="F557" t="s">
        <v>10726</v>
      </c>
      <c r="G557" t="s">
        <v>74</v>
      </c>
      <c r="H557" t="s">
        <v>74</v>
      </c>
      <c r="I557" t="s">
        <v>10727</v>
      </c>
      <c r="J557" t="s">
        <v>10728</v>
      </c>
      <c r="K557" t="s">
        <v>74</v>
      </c>
      <c r="L557" t="s">
        <v>74</v>
      </c>
      <c r="M557" t="s">
        <v>78</v>
      </c>
      <c r="N557" t="s">
        <v>594</v>
      </c>
      <c r="O557" t="s">
        <v>74</v>
      </c>
      <c r="P557" t="s">
        <v>74</v>
      </c>
      <c r="Q557" t="s">
        <v>74</v>
      </c>
      <c r="R557" t="s">
        <v>74</v>
      </c>
      <c r="S557" t="s">
        <v>74</v>
      </c>
      <c r="T557" t="s">
        <v>10729</v>
      </c>
      <c r="U557" t="s">
        <v>10730</v>
      </c>
      <c r="V557" t="s">
        <v>10731</v>
      </c>
      <c r="W557" t="s">
        <v>10732</v>
      </c>
      <c r="X557" t="s">
        <v>10733</v>
      </c>
      <c r="Y557" t="s">
        <v>10734</v>
      </c>
      <c r="Z557" t="s">
        <v>10735</v>
      </c>
      <c r="AA557" t="s">
        <v>10736</v>
      </c>
      <c r="AB557" t="s">
        <v>10737</v>
      </c>
      <c r="AC557" t="s">
        <v>10738</v>
      </c>
      <c r="AD557" t="s">
        <v>74</v>
      </c>
      <c r="AE557" t="s">
        <v>10739</v>
      </c>
      <c r="AF557" t="s">
        <v>74</v>
      </c>
      <c r="AG557">
        <v>92</v>
      </c>
      <c r="AH557">
        <v>0</v>
      </c>
      <c r="AI557">
        <v>0</v>
      </c>
      <c r="AJ557">
        <v>12</v>
      </c>
      <c r="AK557">
        <v>12</v>
      </c>
      <c r="AL557" t="s">
        <v>87</v>
      </c>
      <c r="AM557" t="s">
        <v>88</v>
      </c>
      <c r="AN557" t="s">
        <v>89</v>
      </c>
      <c r="AO557" t="s">
        <v>10740</v>
      </c>
      <c r="AP557" t="s">
        <v>10741</v>
      </c>
      <c r="AQ557" t="s">
        <v>74</v>
      </c>
      <c r="AR557" t="s">
        <v>10742</v>
      </c>
      <c r="AS557" t="s">
        <v>10743</v>
      </c>
      <c r="AT557" t="s">
        <v>10529</v>
      </c>
      <c r="AU557">
        <v>2023</v>
      </c>
      <c r="AV557" t="s">
        <v>74</v>
      </c>
      <c r="AW557" t="s">
        <v>74</v>
      </c>
      <c r="AX557" t="s">
        <v>74</v>
      </c>
      <c r="AY557" t="s">
        <v>74</v>
      </c>
      <c r="AZ557" t="s">
        <v>74</v>
      </c>
      <c r="BA557" t="s">
        <v>74</v>
      </c>
      <c r="BB557" t="s">
        <v>74</v>
      </c>
      <c r="BC557" t="s">
        <v>74</v>
      </c>
      <c r="BD557" t="s">
        <v>74</v>
      </c>
      <c r="BE557" t="s">
        <v>10744</v>
      </c>
      <c r="BF557" t="str">
        <f>HYPERLINK("http://dx.doi.org/10.1111/1365-2664.14496","http://dx.doi.org/10.1111/1365-2664.14496")</f>
        <v>http://dx.doi.org/10.1111/1365-2664.14496</v>
      </c>
      <c r="BG557" t="s">
        <v>74</v>
      </c>
      <c r="BH557" t="s">
        <v>7524</v>
      </c>
      <c r="BI557">
        <v>13</v>
      </c>
      <c r="BJ557" t="s">
        <v>765</v>
      </c>
      <c r="BK557" t="s">
        <v>119</v>
      </c>
      <c r="BL557" t="s">
        <v>766</v>
      </c>
      <c r="BM557" t="s">
        <v>10745</v>
      </c>
      <c r="BN557" t="s">
        <v>74</v>
      </c>
      <c r="BO557" t="s">
        <v>122</v>
      </c>
      <c r="BP557" t="s">
        <v>74</v>
      </c>
      <c r="BQ557" t="s">
        <v>74</v>
      </c>
      <c r="BR557" t="s">
        <v>99</v>
      </c>
      <c r="BS557" t="s">
        <v>10746</v>
      </c>
      <c r="BT557" t="str">
        <f>HYPERLINK("https%3A%2F%2Fwww.webofscience.com%2Fwos%2Fwoscc%2Ffull-record%2FWOS:001048874400001","View Full Record in Web of Science")</f>
        <v>View Full Record in Web of Science</v>
      </c>
    </row>
    <row r="558" spans="1:72" x14ac:dyDescent="0.15">
      <c r="A558" t="s">
        <v>72</v>
      </c>
      <c r="B558" t="s">
        <v>10747</v>
      </c>
      <c r="C558" t="s">
        <v>74</v>
      </c>
      <c r="D558" t="s">
        <v>74</v>
      </c>
      <c r="E558" t="s">
        <v>74</v>
      </c>
      <c r="F558" t="s">
        <v>10748</v>
      </c>
      <c r="G558" t="s">
        <v>74</v>
      </c>
      <c r="H558" t="s">
        <v>74</v>
      </c>
      <c r="I558" t="s">
        <v>10749</v>
      </c>
      <c r="J558" t="s">
        <v>10750</v>
      </c>
      <c r="K558" t="s">
        <v>74</v>
      </c>
      <c r="L558" t="s">
        <v>74</v>
      </c>
      <c r="M558" t="s">
        <v>78</v>
      </c>
      <c r="N558" t="s">
        <v>338</v>
      </c>
      <c r="O558" t="s">
        <v>74</v>
      </c>
      <c r="P558" t="s">
        <v>74</v>
      </c>
      <c r="Q558" t="s">
        <v>74</v>
      </c>
      <c r="R558" t="s">
        <v>74</v>
      </c>
      <c r="S558" t="s">
        <v>74</v>
      </c>
      <c r="T558" t="s">
        <v>10751</v>
      </c>
      <c r="U558" t="s">
        <v>10752</v>
      </c>
      <c r="V558" t="s">
        <v>10753</v>
      </c>
      <c r="W558" t="s">
        <v>10754</v>
      </c>
      <c r="X558" t="s">
        <v>10755</v>
      </c>
      <c r="Y558" t="s">
        <v>10756</v>
      </c>
      <c r="Z558" t="s">
        <v>10757</v>
      </c>
      <c r="AA558" t="s">
        <v>74</v>
      </c>
      <c r="AB558" t="s">
        <v>10758</v>
      </c>
      <c r="AC558" t="s">
        <v>10759</v>
      </c>
      <c r="AD558" t="s">
        <v>10760</v>
      </c>
      <c r="AE558" t="s">
        <v>10761</v>
      </c>
      <c r="AF558" t="s">
        <v>74</v>
      </c>
      <c r="AG558">
        <v>47</v>
      </c>
      <c r="AH558">
        <v>0</v>
      </c>
      <c r="AI558">
        <v>0</v>
      </c>
      <c r="AJ558">
        <v>0</v>
      </c>
      <c r="AK558">
        <v>0</v>
      </c>
      <c r="AL558" t="s">
        <v>87</v>
      </c>
      <c r="AM558" t="s">
        <v>88</v>
      </c>
      <c r="AN558" t="s">
        <v>89</v>
      </c>
      <c r="AO558" t="s">
        <v>10762</v>
      </c>
      <c r="AP558" t="s">
        <v>10763</v>
      </c>
      <c r="AQ558" t="s">
        <v>74</v>
      </c>
      <c r="AR558" t="s">
        <v>10764</v>
      </c>
      <c r="AS558" t="s">
        <v>10765</v>
      </c>
      <c r="AT558" t="s">
        <v>10529</v>
      </c>
      <c r="AU558">
        <v>2023</v>
      </c>
      <c r="AV558" t="s">
        <v>74</v>
      </c>
      <c r="AW558" t="s">
        <v>74</v>
      </c>
      <c r="AX558" t="s">
        <v>74</v>
      </c>
      <c r="AY558" t="s">
        <v>74</v>
      </c>
      <c r="AZ558" t="s">
        <v>74</v>
      </c>
      <c r="BA558" t="s">
        <v>74</v>
      </c>
      <c r="BB558" t="s">
        <v>74</v>
      </c>
      <c r="BC558" t="s">
        <v>74</v>
      </c>
      <c r="BD558" t="s">
        <v>74</v>
      </c>
      <c r="BE558" t="s">
        <v>10766</v>
      </c>
      <c r="BF558" t="str">
        <f>HYPERLINK("http://dx.doi.org/10.1111/vco.12927","http://dx.doi.org/10.1111/vco.12927")</f>
        <v>http://dx.doi.org/10.1111/vco.12927</v>
      </c>
      <c r="BG558" t="s">
        <v>74</v>
      </c>
      <c r="BH558" t="s">
        <v>7524</v>
      </c>
      <c r="BI558">
        <v>10</v>
      </c>
      <c r="BJ558" t="s">
        <v>354</v>
      </c>
      <c r="BK558" t="s">
        <v>119</v>
      </c>
      <c r="BL558" t="s">
        <v>354</v>
      </c>
      <c r="BM558" t="s">
        <v>10767</v>
      </c>
      <c r="BN558">
        <v>37592810</v>
      </c>
      <c r="BO558" t="s">
        <v>122</v>
      </c>
      <c r="BP558" t="s">
        <v>74</v>
      </c>
      <c r="BQ558" t="s">
        <v>74</v>
      </c>
      <c r="BR558" t="s">
        <v>99</v>
      </c>
      <c r="BS558" t="s">
        <v>10768</v>
      </c>
      <c r="BT558" t="str">
        <f>HYPERLINK("https%3A%2F%2Fwww.webofscience.com%2Fwos%2Fwoscc%2Ffull-record%2FWOS:001050323400001","View Full Record in Web of Science")</f>
        <v>View Full Record in Web of Science</v>
      </c>
    </row>
    <row r="559" spans="1:72" x14ac:dyDescent="0.15">
      <c r="A559" t="s">
        <v>72</v>
      </c>
      <c r="B559" t="s">
        <v>10769</v>
      </c>
      <c r="C559" t="s">
        <v>74</v>
      </c>
      <c r="D559" t="s">
        <v>74</v>
      </c>
      <c r="E559" t="s">
        <v>74</v>
      </c>
      <c r="F559" t="s">
        <v>10770</v>
      </c>
      <c r="G559" t="s">
        <v>74</v>
      </c>
      <c r="H559" t="s">
        <v>74</v>
      </c>
      <c r="I559" t="s">
        <v>10771</v>
      </c>
      <c r="J559" t="s">
        <v>7806</v>
      </c>
      <c r="K559" t="s">
        <v>74</v>
      </c>
      <c r="L559" t="s">
        <v>74</v>
      </c>
      <c r="M559" t="s">
        <v>78</v>
      </c>
      <c r="N559" t="s">
        <v>338</v>
      </c>
      <c r="O559" t="s">
        <v>74</v>
      </c>
      <c r="P559" t="s">
        <v>74</v>
      </c>
      <c r="Q559" t="s">
        <v>74</v>
      </c>
      <c r="R559" t="s">
        <v>74</v>
      </c>
      <c r="S559" t="s">
        <v>74</v>
      </c>
      <c r="T559" t="s">
        <v>10772</v>
      </c>
      <c r="U559" t="s">
        <v>10773</v>
      </c>
      <c r="V559" t="s">
        <v>10774</v>
      </c>
      <c r="W559" t="s">
        <v>10775</v>
      </c>
      <c r="X559" t="s">
        <v>10776</v>
      </c>
      <c r="Y559" t="s">
        <v>10777</v>
      </c>
      <c r="Z559" t="s">
        <v>10778</v>
      </c>
      <c r="AA559" t="s">
        <v>74</v>
      </c>
      <c r="AB559" t="s">
        <v>10779</v>
      </c>
      <c r="AC559" t="s">
        <v>74</v>
      </c>
      <c r="AD559" t="s">
        <v>74</v>
      </c>
      <c r="AE559" t="s">
        <v>74</v>
      </c>
      <c r="AF559" t="s">
        <v>74</v>
      </c>
      <c r="AG559">
        <v>41</v>
      </c>
      <c r="AH559">
        <v>0</v>
      </c>
      <c r="AI559">
        <v>0</v>
      </c>
      <c r="AJ559">
        <v>0</v>
      </c>
      <c r="AK559">
        <v>0</v>
      </c>
      <c r="AL559" t="s">
        <v>87</v>
      </c>
      <c r="AM559" t="s">
        <v>88</v>
      </c>
      <c r="AN559" t="s">
        <v>89</v>
      </c>
      <c r="AO559" t="s">
        <v>7816</v>
      </c>
      <c r="AP559" t="s">
        <v>7817</v>
      </c>
      <c r="AQ559" t="s">
        <v>74</v>
      </c>
      <c r="AR559" t="s">
        <v>7818</v>
      </c>
      <c r="AS559" t="s">
        <v>7819</v>
      </c>
      <c r="AT559" t="s">
        <v>10529</v>
      </c>
      <c r="AU559">
        <v>2023</v>
      </c>
      <c r="AV559" t="s">
        <v>74</v>
      </c>
      <c r="AW559" t="s">
        <v>74</v>
      </c>
      <c r="AX559" t="s">
        <v>74</v>
      </c>
      <c r="AY559" t="s">
        <v>74</v>
      </c>
      <c r="AZ559" t="s">
        <v>74</v>
      </c>
      <c r="BA559" t="s">
        <v>74</v>
      </c>
      <c r="BB559" t="s">
        <v>74</v>
      </c>
      <c r="BC559" t="s">
        <v>74</v>
      </c>
      <c r="BD559" t="s">
        <v>74</v>
      </c>
      <c r="BE559" t="s">
        <v>10780</v>
      </c>
      <c r="BF559" t="str">
        <f>HYPERLINK("http://dx.doi.org/10.1002/csr.2580","http://dx.doi.org/10.1002/csr.2580")</f>
        <v>http://dx.doi.org/10.1002/csr.2580</v>
      </c>
      <c r="BG559" t="s">
        <v>74</v>
      </c>
      <c r="BH559" t="s">
        <v>7524</v>
      </c>
      <c r="BI559">
        <v>21</v>
      </c>
      <c r="BJ559" t="s">
        <v>6615</v>
      </c>
      <c r="BK559" t="s">
        <v>546</v>
      </c>
      <c r="BL559" t="s">
        <v>6616</v>
      </c>
      <c r="BM559" t="s">
        <v>10781</v>
      </c>
      <c r="BN559" t="s">
        <v>74</v>
      </c>
      <c r="BO559" t="s">
        <v>122</v>
      </c>
      <c r="BP559" t="s">
        <v>74</v>
      </c>
      <c r="BQ559" t="s">
        <v>74</v>
      </c>
      <c r="BR559" t="s">
        <v>99</v>
      </c>
      <c r="BS559" t="s">
        <v>10782</v>
      </c>
      <c r="BT559" t="str">
        <f>HYPERLINK("https%3A%2F%2Fwww.webofscience.com%2Fwos%2Fwoscc%2Ffull-record%2FWOS:001049893400001","View Full Record in Web of Science")</f>
        <v>View Full Record in Web of Science</v>
      </c>
    </row>
    <row r="560" spans="1:72" x14ac:dyDescent="0.15">
      <c r="A560" t="s">
        <v>72</v>
      </c>
      <c r="B560" t="s">
        <v>10783</v>
      </c>
      <c r="C560" t="s">
        <v>74</v>
      </c>
      <c r="D560" t="s">
        <v>74</v>
      </c>
      <c r="E560" t="s">
        <v>74</v>
      </c>
      <c r="F560" t="s">
        <v>10784</v>
      </c>
      <c r="G560" t="s">
        <v>74</v>
      </c>
      <c r="H560" t="s">
        <v>74</v>
      </c>
      <c r="I560" t="s">
        <v>10785</v>
      </c>
      <c r="J560" t="s">
        <v>10786</v>
      </c>
      <c r="K560" t="s">
        <v>74</v>
      </c>
      <c r="L560" t="s">
        <v>74</v>
      </c>
      <c r="M560" t="s">
        <v>78</v>
      </c>
      <c r="N560" t="s">
        <v>338</v>
      </c>
      <c r="O560" t="s">
        <v>74</v>
      </c>
      <c r="P560" t="s">
        <v>74</v>
      </c>
      <c r="Q560" t="s">
        <v>74</v>
      </c>
      <c r="R560" t="s">
        <v>74</v>
      </c>
      <c r="S560" t="s">
        <v>74</v>
      </c>
      <c r="T560" t="s">
        <v>10787</v>
      </c>
      <c r="U560" t="s">
        <v>10788</v>
      </c>
      <c r="V560" t="s">
        <v>10789</v>
      </c>
      <c r="W560" t="s">
        <v>10790</v>
      </c>
      <c r="X560" t="s">
        <v>10791</v>
      </c>
      <c r="Y560" t="s">
        <v>10792</v>
      </c>
      <c r="Z560" t="s">
        <v>10793</v>
      </c>
      <c r="AA560" t="s">
        <v>74</v>
      </c>
      <c r="AB560" t="s">
        <v>10794</v>
      </c>
      <c r="AC560" t="s">
        <v>10795</v>
      </c>
      <c r="AD560" t="s">
        <v>10796</v>
      </c>
      <c r="AE560" t="s">
        <v>10797</v>
      </c>
      <c r="AF560" t="s">
        <v>74</v>
      </c>
      <c r="AG560">
        <v>40</v>
      </c>
      <c r="AH560">
        <v>0</v>
      </c>
      <c r="AI560">
        <v>0</v>
      </c>
      <c r="AJ560">
        <v>4</v>
      </c>
      <c r="AK560">
        <v>4</v>
      </c>
      <c r="AL560" t="s">
        <v>87</v>
      </c>
      <c r="AM560" t="s">
        <v>88</v>
      </c>
      <c r="AN560" t="s">
        <v>89</v>
      </c>
      <c r="AO560" t="s">
        <v>10798</v>
      </c>
      <c r="AP560" t="s">
        <v>10799</v>
      </c>
      <c r="AQ560" t="s">
        <v>74</v>
      </c>
      <c r="AR560" t="s">
        <v>10800</v>
      </c>
      <c r="AS560" t="s">
        <v>10801</v>
      </c>
      <c r="AT560" t="s">
        <v>10529</v>
      </c>
      <c r="AU560">
        <v>2023</v>
      </c>
      <c r="AV560" t="s">
        <v>74</v>
      </c>
      <c r="AW560" t="s">
        <v>74</v>
      </c>
      <c r="AX560" t="s">
        <v>74</v>
      </c>
      <c r="AY560" t="s">
        <v>74</v>
      </c>
      <c r="AZ560" t="s">
        <v>74</v>
      </c>
      <c r="BA560" t="s">
        <v>74</v>
      </c>
      <c r="BB560" t="s">
        <v>74</v>
      </c>
      <c r="BC560" t="s">
        <v>74</v>
      </c>
      <c r="BD560" t="s">
        <v>74</v>
      </c>
      <c r="BE560" t="s">
        <v>10802</v>
      </c>
      <c r="BF560" t="str">
        <f>HYPERLINK("http://dx.doi.org/10.1111/ijfs.16622","http://dx.doi.org/10.1111/ijfs.16622")</f>
        <v>http://dx.doi.org/10.1111/ijfs.16622</v>
      </c>
      <c r="BG560" t="s">
        <v>74</v>
      </c>
      <c r="BH560" t="s">
        <v>7524</v>
      </c>
      <c r="BI560">
        <v>11</v>
      </c>
      <c r="BJ560" t="s">
        <v>433</v>
      </c>
      <c r="BK560" t="s">
        <v>119</v>
      </c>
      <c r="BL560" t="s">
        <v>433</v>
      </c>
      <c r="BM560" t="s">
        <v>10803</v>
      </c>
      <c r="BN560" t="s">
        <v>74</v>
      </c>
      <c r="BO560" t="s">
        <v>301</v>
      </c>
      <c r="BP560" t="s">
        <v>74</v>
      </c>
      <c r="BQ560" t="s">
        <v>74</v>
      </c>
      <c r="BR560" t="s">
        <v>99</v>
      </c>
      <c r="BS560" t="s">
        <v>10804</v>
      </c>
      <c r="BT560" t="str">
        <f>HYPERLINK("https%3A%2F%2Fwww.webofscience.com%2Fwos%2Fwoscc%2Ffull-record%2FWOS:001049153100001","View Full Record in Web of Science")</f>
        <v>View Full Record in Web of Science</v>
      </c>
    </row>
    <row r="561" spans="1:72" x14ac:dyDescent="0.15">
      <c r="A561" t="s">
        <v>72</v>
      </c>
      <c r="B561" t="s">
        <v>10805</v>
      </c>
      <c r="C561" t="s">
        <v>74</v>
      </c>
      <c r="D561" t="s">
        <v>74</v>
      </c>
      <c r="E561" t="s">
        <v>74</v>
      </c>
      <c r="F561" t="s">
        <v>10806</v>
      </c>
      <c r="G561" t="s">
        <v>74</v>
      </c>
      <c r="H561" t="s">
        <v>74</v>
      </c>
      <c r="I561" t="s">
        <v>10807</v>
      </c>
      <c r="J561" t="s">
        <v>3936</v>
      </c>
      <c r="K561" t="s">
        <v>74</v>
      </c>
      <c r="L561" t="s">
        <v>74</v>
      </c>
      <c r="M561" t="s">
        <v>78</v>
      </c>
      <c r="N561" t="s">
        <v>338</v>
      </c>
      <c r="O561" t="s">
        <v>74</v>
      </c>
      <c r="P561" t="s">
        <v>74</v>
      </c>
      <c r="Q561" t="s">
        <v>74</v>
      </c>
      <c r="R561" t="s">
        <v>74</v>
      </c>
      <c r="S561" t="s">
        <v>74</v>
      </c>
      <c r="T561" t="s">
        <v>10808</v>
      </c>
      <c r="U561" t="s">
        <v>10809</v>
      </c>
      <c r="V561" t="s">
        <v>10810</v>
      </c>
      <c r="W561" t="s">
        <v>10811</v>
      </c>
      <c r="X561" t="s">
        <v>10812</v>
      </c>
      <c r="Y561" t="s">
        <v>10813</v>
      </c>
      <c r="Z561" t="s">
        <v>10814</v>
      </c>
      <c r="AA561" t="s">
        <v>10815</v>
      </c>
      <c r="AB561" t="s">
        <v>10816</v>
      </c>
      <c r="AC561" t="s">
        <v>10817</v>
      </c>
      <c r="AD561" t="s">
        <v>10818</v>
      </c>
      <c r="AE561" t="s">
        <v>10819</v>
      </c>
      <c r="AF561" t="s">
        <v>74</v>
      </c>
      <c r="AG561">
        <v>47</v>
      </c>
      <c r="AH561">
        <v>0</v>
      </c>
      <c r="AI561">
        <v>0</v>
      </c>
      <c r="AJ561">
        <v>2</v>
      </c>
      <c r="AK561">
        <v>2</v>
      </c>
      <c r="AL561" t="s">
        <v>87</v>
      </c>
      <c r="AM561" t="s">
        <v>88</v>
      </c>
      <c r="AN561" t="s">
        <v>89</v>
      </c>
      <c r="AO561" t="s">
        <v>3947</v>
      </c>
      <c r="AP561" t="s">
        <v>3948</v>
      </c>
      <c r="AQ561" t="s">
        <v>74</v>
      </c>
      <c r="AR561" t="s">
        <v>3949</v>
      </c>
      <c r="AS561" t="s">
        <v>3950</v>
      </c>
      <c r="AT561" t="s">
        <v>10529</v>
      </c>
      <c r="AU561">
        <v>2023</v>
      </c>
      <c r="AV561" t="s">
        <v>74</v>
      </c>
      <c r="AW561" t="s">
        <v>74</v>
      </c>
      <c r="AX561" t="s">
        <v>74</v>
      </c>
      <c r="AY561" t="s">
        <v>74</v>
      </c>
      <c r="AZ561" t="s">
        <v>74</v>
      </c>
      <c r="BA561" t="s">
        <v>74</v>
      </c>
      <c r="BB561" t="s">
        <v>74</v>
      </c>
      <c r="BC561" t="s">
        <v>74</v>
      </c>
      <c r="BD561" t="s">
        <v>74</v>
      </c>
      <c r="BE561" t="s">
        <v>10820</v>
      </c>
      <c r="BF561" t="str">
        <f>HYPERLINK("http://dx.doi.org/10.1002/pc.27632","http://dx.doi.org/10.1002/pc.27632")</f>
        <v>http://dx.doi.org/10.1002/pc.27632</v>
      </c>
      <c r="BG561" t="s">
        <v>74</v>
      </c>
      <c r="BH561" t="s">
        <v>7524</v>
      </c>
      <c r="BI561">
        <v>34</v>
      </c>
      <c r="BJ561" t="s">
        <v>3952</v>
      </c>
      <c r="BK561" t="s">
        <v>119</v>
      </c>
      <c r="BL561" t="s">
        <v>3953</v>
      </c>
      <c r="BM561" t="s">
        <v>10821</v>
      </c>
      <c r="BN561" t="s">
        <v>74</v>
      </c>
      <c r="BO561" t="s">
        <v>301</v>
      </c>
      <c r="BP561" t="s">
        <v>74</v>
      </c>
      <c r="BQ561" t="s">
        <v>74</v>
      </c>
      <c r="BR561" t="s">
        <v>99</v>
      </c>
      <c r="BS561" t="s">
        <v>10822</v>
      </c>
      <c r="BT561" t="str">
        <f>HYPERLINK("https%3A%2F%2Fwww.webofscience.com%2Fwos%2Fwoscc%2Ffull-record%2FWOS:001049284500001","View Full Record in Web of Science")</f>
        <v>View Full Record in Web of Science</v>
      </c>
    </row>
    <row r="562" spans="1:72" x14ac:dyDescent="0.15">
      <c r="A562" t="s">
        <v>72</v>
      </c>
      <c r="B562" t="s">
        <v>10823</v>
      </c>
      <c r="C562" t="s">
        <v>74</v>
      </c>
      <c r="D562" t="s">
        <v>74</v>
      </c>
      <c r="E562" t="s">
        <v>74</v>
      </c>
      <c r="F562" t="s">
        <v>10824</v>
      </c>
      <c r="G562" t="s">
        <v>74</v>
      </c>
      <c r="H562" t="s">
        <v>74</v>
      </c>
      <c r="I562" t="s">
        <v>10825</v>
      </c>
      <c r="J562" t="s">
        <v>1001</v>
      </c>
      <c r="K562" t="s">
        <v>74</v>
      </c>
      <c r="L562" t="s">
        <v>74</v>
      </c>
      <c r="M562" t="s">
        <v>78</v>
      </c>
      <c r="N562" t="s">
        <v>338</v>
      </c>
      <c r="O562" t="s">
        <v>74</v>
      </c>
      <c r="P562" t="s">
        <v>74</v>
      </c>
      <c r="Q562" t="s">
        <v>74</v>
      </c>
      <c r="R562" t="s">
        <v>74</v>
      </c>
      <c r="S562" t="s">
        <v>74</v>
      </c>
      <c r="T562" t="s">
        <v>10826</v>
      </c>
      <c r="U562" t="s">
        <v>10827</v>
      </c>
      <c r="V562" t="s">
        <v>10828</v>
      </c>
      <c r="W562" t="s">
        <v>10829</v>
      </c>
      <c r="X562" t="s">
        <v>10830</v>
      </c>
      <c r="Y562" t="s">
        <v>10831</v>
      </c>
      <c r="Z562" t="s">
        <v>10832</v>
      </c>
      <c r="AA562" t="s">
        <v>74</v>
      </c>
      <c r="AB562" t="s">
        <v>74</v>
      </c>
      <c r="AC562" t="s">
        <v>10833</v>
      </c>
      <c r="AD562" t="s">
        <v>3742</v>
      </c>
      <c r="AE562" t="s">
        <v>10834</v>
      </c>
      <c r="AF562" t="s">
        <v>74</v>
      </c>
      <c r="AG562">
        <v>41</v>
      </c>
      <c r="AH562">
        <v>0</v>
      </c>
      <c r="AI562">
        <v>0</v>
      </c>
      <c r="AJ562">
        <v>47</v>
      </c>
      <c r="AK562">
        <v>47</v>
      </c>
      <c r="AL562" t="s">
        <v>426</v>
      </c>
      <c r="AM562" t="s">
        <v>427</v>
      </c>
      <c r="AN562" t="s">
        <v>428</v>
      </c>
      <c r="AO562" t="s">
        <v>1014</v>
      </c>
      <c r="AP562" t="s">
        <v>1015</v>
      </c>
      <c r="AQ562" t="s">
        <v>74</v>
      </c>
      <c r="AR562" t="s">
        <v>1016</v>
      </c>
      <c r="AS562" t="s">
        <v>1017</v>
      </c>
      <c r="AT562" t="s">
        <v>10529</v>
      </c>
      <c r="AU562">
        <v>2023</v>
      </c>
      <c r="AV562" t="s">
        <v>74</v>
      </c>
      <c r="AW562" t="s">
        <v>74</v>
      </c>
      <c r="AX562" t="s">
        <v>74</v>
      </c>
      <c r="AY562" t="s">
        <v>74</v>
      </c>
      <c r="AZ562" t="s">
        <v>74</v>
      </c>
      <c r="BA562" t="s">
        <v>74</v>
      </c>
      <c r="BB562" t="s">
        <v>74</v>
      </c>
      <c r="BC562" t="s">
        <v>74</v>
      </c>
      <c r="BD562" t="s">
        <v>74</v>
      </c>
      <c r="BE562" t="s">
        <v>10835</v>
      </c>
      <c r="BF562" t="str">
        <f>HYPERLINK("http://dx.doi.org/10.1002/anie.202310505","http://dx.doi.org/10.1002/anie.202310505")</f>
        <v>http://dx.doi.org/10.1002/anie.202310505</v>
      </c>
      <c r="BG562" t="s">
        <v>74</v>
      </c>
      <c r="BH562" t="s">
        <v>7524</v>
      </c>
      <c r="BI562">
        <v>14</v>
      </c>
      <c r="BJ562" t="s">
        <v>523</v>
      </c>
      <c r="BK562" t="s">
        <v>119</v>
      </c>
      <c r="BL562" t="s">
        <v>524</v>
      </c>
      <c r="BM562" t="s">
        <v>10836</v>
      </c>
      <c r="BN562">
        <v>37534570</v>
      </c>
      <c r="BO562" t="s">
        <v>74</v>
      </c>
      <c r="BP562" t="s">
        <v>74</v>
      </c>
      <c r="BQ562" t="s">
        <v>74</v>
      </c>
      <c r="BR562" t="s">
        <v>99</v>
      </c>
      <c r="BS562" t="s">
        <v>10837</v>
      </c>
      <c r="BT562" t="str">
        <f>HYPERLINK("https%3A%2F%2Fwww.webofscience.com%2Fwos%2Fwoscc%2Ffull-record%2FWOS:001048913600001","View Full Record in Web of Science")</f>
        <v>View Full Record in Web of Science</v>
      </c>
    </row>
    <row r="563" spans="1:72" x14ac:dyDescent="0.15">
      <c r="A563" t="s">
        <v>72</v>
      </c>
      <c r="B563" t="s">
        <v>10838</v>
      </c>
      <c r="C563" t="s">
        <v>74</v>
      </c>
      <c r="D563" t="s">
        <v>74</v>
      </c>
      <c r="E563" t="s">
        <v>74</v>
      </c>
      <c r="F563" t="s">
        <v>10839</v>
      </c>
      <c r="G563" t="s">
        <v>74</v>
      </c>
      <c r="H563" t="s">
        <v>74</v>
      </c>
      <c r="I563" t="s">
        <v>10840</v>
      </c>
      <c r="J563" t="s">
        <v>875</v>
      </c>
      <c r="K563" t="s">
        <v>74</v>
      </c>
      <c r="L563" t="s">
        <v>74</v>
      </c>
      <c r="M563" t="s">
        <v>78</v>
      </c>
      <c r="N563" t="s">
        <v>338</v>
      </c>
      <c r="O563" t="s">
        <v>74</v>
      </c>
      <c r="P563" t="s">
        <v>74</v>
      </c>
      <c r="Q563" t="s">
        <v>74</v>
      </c>
      <c r="R563" t="s">
        <v>74</v>
      </c>
      <c r="S563" t="s">
        <v>74</v>
      </c>
      <c r="T563" t="s">
        <v>10841</v>
      </c>
      <c r="U563" t="s">
        <v>10842</v>
      </c>
      <c r="V563" t="s">
        <v>10843</v>
      </c>
      <c r="W563" t="s">
        <v>10844</v>
      </c>
      <c r="X563" t="s">
        <v>10845</v>
      </c>
      <c r="Y563" t="s">
        <v>10846</v>
      </c>
      <c r="Z563" t="s">
        <v>10847</v>
      </c>
      <c r="AA563" t="s">
        <v>74</v>
      </c>
      <c r="AB563" t="s">
        <v>10848</v>
      </c>
      <c r="AC563" t="s">
        <v>10849</v>
      </c>
      <c r="AD563" t="s">
        <v>10850</v>
      </c>
      <c r="AE563" t="s">
        <v>10851</v>
      </c>
      <c r="AF563" t="s">
        <v>74</v>
      </c>
      <c r="AG563">
        <v>59</v>
      </c>
      <c r="AH563">
        <v>0</v>
      </c>
      <c r="AI563">
        <v>0</v>
      </c>
      <c r="AJ563">
        <v>3</v>
      </c>
      <c r="AK563">
        <v>3</v>
      </c>
      <c r="AL563" t="s">
        <v>426</v>
      </c>
      <c r="AM563" t="s">
        <v>427</v>
      </c>
      <c r="AN563" t="s">
        <v>428</v>
      </c>
      <c r="AO563" t="s">
        <v>886</v>
      </c>
      <c r="AP563" t="s">
        <v>887</v>
      </c>
      <c r="AQ563" t="s">
        <v>74</v>
      </c>
      <c r="AR563" t="s">
        <v>888</v>
      </c>
      <c r="AS563" t="s">
        <v>889</v>
      </c>
      <c r="AT563" t="s">
        <v>10529</v>
      </c>
      <c r="AU563">
        <v>2023</v>
      </c>
      <c r="AV563" t="s">
        <v>74</v>
      </c>
      <c r="AW563" t="s">
        <v>74</v>
      </c>
      <c r="AX563" t="s">
        <v>74</v>
      </c>
      <c r="AY563" t="s">
        <v>74</v>
      </c>
      <c r="AZ563" t="s">
        <v>74</v>
      </c>
      <c r="BA563" t="s">
        <v>74</v>
      </c>
      <c r="BB563" t="s">
        <v>74</v>
      </c>
      <c r="BC563" t="s">
        <v>74</v>
      </c>
      <c r="BD563" t="s">
        <v>74</v>
      </c>
      <c r="BE563" t="s">
        <v>10852</v>
      </c>
      <c r="BF563" t="str">
        <f>HYPERLINK("http://dx.doi.org/10.1002/adfm.202305519","http://dx.doi.org/10.1002/adfm.202305519")</f>
        <v>http://dx.doi.org/10.1002/adfm.202305519</v>
      </c>
      <c r="BG563" t="s">
        <v>74</v>
      </c>
      <c r="BH563" t="s">
        <v>7524</v>
      </c>
      <c r="BI563">
        <v>15</v>
      </c>
      <c r="BJ563" t="s">
        <v>609</v>
      </c>
      <c r="BK563" t="s">
        <v>119</v>
      </c>
      <c r="BL563" t="s">
        <v>610</v>
      </c>
      <c r="BM563" t="s">
        <v>10853</v>
      </c>
      <c r="BN563" t="s">
        <v>74</v>
      </c>
      <c r="BO563" t="s">
        <v>74</v>
      </c>
      <c r="BP563" t="s">
        <v>74</v>
      </c>
      <c r="BQ563" t="s">
        <v>74</v>
      </c>
      <c r="BR563" t="s">
        <v>99</v>
      </c>
      <c r="BS563" t="s">
        <v>10854</v>
      </c>
      <c r="BT563" t="str">
        <f>HYPERLINK("https%3A%2F%2Fwww.webofscience.com%2Fwos%2Fwoscc%2Ffull-record%2FWOS:001049834000001","View Full Record in Web of Science")</f>
        <v>View Full Record in Web of Science</v>
      </c>
    </row>
    <row r="564" spans="1:72" x14ac:dyDescent="0.15">
      <c r="A564" t="s">
        <v>72</v>
      </c>
      <c r="B564" t="s">
        <v>10855</v>
      </c>
      <c r="C564" t="s">
        <v>74</v>
      </c>
      <c r="D564" t="s">
        <v>74</v>
      </c>
      <c r="E564" t="s">
        <v>74</v>
      </c>
      <c r="F564" t="s">
        <v>10856</v>
      </c>
      <c r="G564" t="s">
        <v>74</v>
      </c>
      <c r="H564" t="s">
        <v>74</v>
      </c>
      <c r="I564" t="s">
        <v>10857</v>
      </c>
      <c r="J564" t="s">
        <v>9527</v>
      </c>
      <c r="K564" t="s">
        <v>74</v>
      </c>
      <c r="L564" t="s">
        <v>74</v>
      </c>
      <c r="M564" t="s">
        <v>78</v>
      </c>
      <c r="N564" t="s">
        <v>338</v>
      </c>
      <c r="O564" t="s">
        <v>74</v>
      </c>
      <c r="P564" t="s">
        <v>74</v>
      </c>
      <c r="Q564" t="s">
        <v>74</v>
      </c>
      <c r="R564" t="s">
        <v>74</v>
      </c>
      <c r="S564" t="s">
        <v>74</v>
      </c>
      <c r="T564" t="s">
        <v>10858</v>
      </c>
      <c r="U564" t="s">
        <v>10859</v>
      </c>
      <c r="V564" t="s">
        <v>10860</v>
      </c>
      <c r="W564" t="s">
        <v>10861</v>
      </c>
      <c r="X564" t="s">
        <v>10862</v>
      </c>
      <c r="Y564" t="s">
        <v>10863</v>
      </c>
      <c r="Z564" t="s">
        <v>10864</v>
      </c>
      <c r="AA564" t="s">
        <v>10865</v>
      </c>
      <c r="AB564" t="s">
        <v>10866</v>
      </c>
      <c r="AC564" t="s">
        <v>74</v>
      </c>
      <c r="AD564" t="s">
        <v>74</v>
      </c>
      <c r="AE564" t="s">
        <v>74</v>
      </c>
      <c r="AF564" t="s">
        <v>74</v>
      </c>
      <c r="AG564">
        <v>22</v>
      </c>
      <c r="AH564">
        <v>1</v>
      </c>
      <c r="AI564">
        <v>1</v>
      </c>
      <c r="AJ564">
        <v>1</v>
      </c>
      <c r="AK564">
        <v>1</v>
      </c>
      <c r="AL564" t="s">
        <v>87</v>
      </c>
      <c r="AM564" t="s">
        <v>88</v>
      </c>
      <c r="AN564" t="s">
        <v>89</v>
      </c>
      <c r="AO564" t="s">
        <v>9534</v>
      </c>
      <c r="AP564" t="s">
        <v>9535</v>
      </c>
      <c r="AQ564" t="s">
        <v>74</v>
      </c>
      <c r="AR564" t="s">
        <v>9536</v>
      </c>
      <c r="AS564" t="s">
        <v>9537</v>
      </c>
      <c r="AT564" t="s">
        <v>10529</v>
      </c>
      <c r="AU564">
        <v>2023</v>
      </c>
      <c r="AV564" t="s">
        <v>74</v>
      </c>
      <c r="AW564" t="s">
        <v>74</v>
      </c>
      <c r="AX564" t="s">
        <v>74</v>
      </c>
      <c r="AY564" t="s">
        <v>74</v>
      </c>
      <c r="AZ564" t="s">
        <v>74</v>
      </c>
      <c r="BA564" t="s">
        <v>74</v>
      </c>
      <c r="BB564" t="s">
        <v>74</v>
      </c>
      <c r="BC564" t="s">
        <v>74</v>
      </c>
      <c r="BD564" t="s">
        <v>74</v>
      </c>
      <c r="BE564" t="s">
        <v>10867</v>
      </c>
      <c r="BF564" t="str">
        <f>HYPERLINK("http://dx.doi.org/10.1111/pin.13364","http://dx.doi.org/10.1111/pin.13364")</f>
        <v>http://dx.doi.org/10.1111/pin.13364</v>
      </c>
      <c r="BG564" t="s">
        <v>74</v>
      </c>
      <c r="BH564" t="s">
        <v>7524</v>
      </c>
      <c r="BI564">
        <v>7</v>
      </c>
      <c r="BJ564" t="s">
        <v>9539</v>
      </c>
      <c r="BK564" t="s">
        <v>119</v>
      </c>
      <c r="BL564" t="s">
        <v>9539</v>
      </c>
      <c r="BM564" t="s">
        <v>10868</v>
      </c>
      <c r="BN564">
        <v>37589439</v>
      </c>
      <c r="BO564" t="s">
        <v>74</v>
      </c>
      <c r="BP564" t="s">
        <v>74</v>
      </c>
      <c r="BQ564" t="s">
        <v>74</v>
      </c>
      <c r="BR564" t="s">
        <v>99</v>
      </c>
      <c r="BS564" t="s">
        <v>10869</v>
      </c>
      <c r="BT564" t="str">
        <f>HYPERLINK("https%3A%2F%2Fwww.webofscience.com%2Fwos%2Fwoscc%2Ffull-record%2FWOS:001048846900001","View Full Record in Web of Science")</f>
        <v>View Full Record in Web of Science</v>
      </c>
    </row>
    <row r="565" spans="1:72" x14ac:dyDescent="0.15">
      <c r="A565" t="s">
        <v>72</v>
      </c>
      <c r="B565" t="s">
        <v>10870</v>
      </c>
      <c r="C565" t="s">
        <v>74</v>
      </c>
      <c r="D565" t="s">
        <v>74</v>
      </c>
      <c r="E565" t="s">
        <v>74</v>
      </c>
      <c r="F565" t="s">
        <v>10871</v>
      </c>
      <c r="G565" t="s">
        <v>74</v>
      </c>
      <c r="H565" t="s">
        <v>74</v>
      </c>
      <c r="I565" t="s">
        <v>10872</v>
      </c>
      <c r="J565" t="s">
        <v>10873</v>
      </c>
      <c r="K565" t="s">
        <v>74</v>
      </c>
      <c r="L565" t="s">
        <v>74</v>
      </c>
      <c r="M565" t="s">
        <v>78</v>
      </c>
      <c r="N565" t="s">
        <v>338</v>
      </c>
      <c r="O565" t="s">
        <v>74</v>
      </c>
      <c r="P565" t="s">
        <v>74</v>
      </c>
      <c r="Q565" t="s">
        <v>74</v>
      </c>
      <c r="R565" t="s">
        <v>74</v>
      </c>
      <c r="S565" t="s">
        <v>74</v>
      </c>
      <c r="T565" t="s">
        <v>10874</v>
      </c>
      <c r="U565" t="s">
        <v>74</v>
      </c>
      <c r="V565" t="s">
        <v>10875</v>
      </c>
      <c r="W565" t="s">
        <v>10876</v>
      </c>
      <c r="X565" t="s">
        <v>10877</v>
      </c>
      <c r="Y565" t="s">
        <v>10878</v>
      </c>
      <c r="Z565" t="s">
        <v>10879</v>
      </c>
      <c r="AA565" t="s">
        <v>74</v>
      </c>
      <c r="AB565" t="s">
        <v>74</v>
      </c>
      <c r="AC565" t="s">
        <v>10880</v>
      </c>
      <c r="AD565" t="s">
        <v>10881</v>
      </c>
      <c r="AE565" t="s">
        <v>10882</v>
      </c>
      <c r="AF565" t="s">
        <v>74</v>
      </c>
      <c r="AG565">
        <v>47</v>
      </c>
      <c r="AH565">
        <v>0</v>
      </c>
      <c r="AI565">
        <v>0</v>
      </c>
      <c r="AJ565">
        <v>1</v>
      </c>
      <c r="AK565">
        <v>1</v>
      </c>
      <c r="AL565" t="s">
        <v>87</v>
      </c>
      <c r="AM565" t="s">
        <v>88</v>
      </c>
      <c r="AN565" t="s">
        <v>89</v>
      </c>
      <c r="AO565" t="s">
        <v>10883</v>
      </c>
      <c r="AP565" t="s">
        <v>10884</v>
      </c>
      <c r="AQ565" t="s">
        <v>74</v>
      </c>
      <c r="AR565" t="s">
        <v>10885</v>
      </c>
      <c r="AS565" t="s">
        <v>10886</v>
      </c>
      <c r="AT565" t="s">
        <v>10529</v>
      </c>
      <c r="AU565">
        <v>2023</v>
      </c>
      <c r="AV565" t="s">
        <v>74</v>
      </c>
      <c r="AW565" t="s">
        <v>74</v>
      </c>
      <c r="AX565" t="s">
        <v>74</v>
      </c>
      <c r="AY565" t="s">
        <v>74</v>
      </c>
      <c r="AZ565" t="s">
        <v>74</v>
      </c>
      <c r="BA565" t="s">
        <v>74</v>
      </c>
      <c r="BB565" t="s">
        <v>74</v>
      </c>
      <c r="BC565" t="s">
        <v>74</v>
      </c>
      <c r="BD565" t="s">
        <v>74</v>
      </c>
      <c r="BE565" t="s">
        <v>10887</v>
      </c>
      <c r="BF565" t="str">
        <f>HYPERLINK("http://dx.doi.org/10.1002/mc.23620","http://dx.doi.org/10.1002/mc.23620")</f>
        <v>http://dx.doi.org/10.1002/mc.23620</v>
      </c>
      <c r="BG565" t="s">
        <v>74</v>
      </c>
      <c r="BH565" t="s">
        <v>7524</v>
      </c>
      <c r="BI565">
        <v>17</v>
      </c>
      <c r="BJ565" t="s">
        <v>10888</v>
      </c>
      <c r="BK565" t="s">
        <v>119</v>
      </c>
      <c r="BL565" t="s">
        <v>10888</v>
      </c>
      <c r="BM565" t="s">
        <v>10889</v>
      </c>
      <c r="BN565">
        <v>37589417</v>
      </c>
      <c r="BO565" t="s">
        <v>74</v>
      </c>
      <c r="BP565" t="s">
        <v>74</v>
      </c>
      <c r="BQ565" t="s">
        <v>74</v>
      </c>
      <c r="BR565" t="s">
        <v>99</v>
      </c>
      <c r="BS565" t="s">
        <v>10890</v>
      </c>
      <c r="BT565" t="str">
        <f>HYPERLINK("https%3A%2F%2Fwww.webofscience.com%2Fwos%2Fwoscc%2Ffull-record%2FWOS:001048841700001","View Full Record in Web of Science")</f>
        <v>View Full Record in Web of Science</v>
      </c>
    </row>
    <row r="566" spans="1:72" x14ac:dyDescent="0.15">
      <c r="A566" t="s">
        <v>72</v>
      </c>
      <c r="B566" t="s">
        <v>10891</v>
      </c>
      <c r="C566" t="s">
        <v>74</v>
      </c>
      <c r="D566" t="s">
        <v>74</v>
      </c>
      <c r="E566" t="s">
        <v>74</v>
      </c>
      <c r="F566" t="s">
        <v>10892</v>
      </c>
      <c r="G566" t="s">
        <v>74</v>
      </c>
      <c r="H566" t="s">
        <v>74</v>
      </c>
      <c r="I566" t="s">
        <v>10893</v>
      </c>
      <c r="J566" t="s">
        <v>10894</v>
      </c>
      <c r="K566" t="s">
        <v>74</v>
      </c>
      <c r="L566" t="s">
        <v>74</v>
      </c>
      <c r="M566" t="s">
        <v>78</v>
      </c>
      <c r="N566" t="s">
        <v>338</v>
      </c>
      <c r="O566" t="s">
        <v>74</v>
      </c>
      <c r="P566" t="s">
        <v>74</v>
      </c>
      <c r="Q566" t="s">
        <v>74</v>
      </c>
      <c r="R566" t="s">
        <v>74</v>
      </c>
      <c r="S566" t="s">
        <v>74</v>
      </c>
      <c r="T566" t="s">
        <v>10895</v>
      </c>
      <c r="U566" t="s">
        <v>10896</v>
      </c>
      <c r="V566" t="s">
        <v>10897</v>
      </c>
      <c r="W566" t="s">
        <v>10898</v>
      </c>
      <c r="X566" t="s">
        <v>10899</v>
      </c>
      <c r="Y566" t="s">
        <v>10900</v>
      </c>
      <c r="Z566" t="s">
        <v>10901</v>
      </c>
      <c r="AA566" t="s">
        <v>74</v>
      </c>
      <c r="AB566" t="s">
        <v>74</v>
      </c>
      <c r="AC566" t="s">
        <v>10902</v>
      </c>
      <c r="AD566" t="s">
        <v>10902</v>
      </c>
      <c r="AE566" t="s">
        <v>10902</v>
      </c>
      <c r="AF566" t="s">
        <v>74</v>
      </c>
      <c r="AG566">
        <v>35</v>
      </c>
      <c r="AH566">
        <v>0</v>
      </c>
      <c r="AI566">
        <v>0</v>
      </c>
      <c r="AJ566">
        <v>2</v>
      </c>
      <c r="AK566">
        <v>2</v>
      </c>
      <c r="AL566" t="s">
        <v>87</v>
      </c>
      <c r="AM566" t="s">
        <v>88</v>
      </c>
      <c r="AN566" t="s">
        <v>89</v>
      </c>
      <c r="AO566" t="s">
        <v>10903</v>
      </c>
      <c r="AP566" t="s">
        <v>10904</v>
      </c>
      <c r="AQ566" t="s">
        <v>74</v>
      </c>
      <c r="AR566" t="s">
        <v>10905</v>
      </c>
      <c r="AS566" t="s">
        <v>10906</v>
      </c>
      <c r="AT566" t="s">
        <v>10529</v>
      </c>
      <c r="AU566">
        <v>2023</v>
      </c>
      <c r="AV566" t="s">
        <v>74</v>
      </c>
      <c r="AW566" t="s">
        <v>74</v>
      </c>
      <c r="AX566" t="s">
        <v>74</v>
      </c>
      <c r="AY566" t="s">
        <v>74</v>
      </c>
      <c r="AZ566" t="s">
        <v>74</v>
      </c>
      <c r="BA566" t="s">
        <v>74</v>
      </c>
      <c r="BB566" t="s">
        <v>74</v>
      </c>
      <c r="BC566" t="s">
        <v>74</v>
      </c>
      <c r="BD566" t="s">
        <v>74</v>
      </c>
      <c r="BE566" t="s">
        <v>10907</v>
      </c>
      <c r="BF566" t="str">
        <f>HYPERLINK("http://dx.doi.org/10.1002/app.54566","http://dx.doi.org/10.1002/app.54566")</f>
        <v>http://dx.doi.org/10.1002/app.54566</v>
      </c>
      <c r="BG566" t="s">
        <v>74</v>
      </c>
      <c r="BH566" t="s">
        <v>7524</v>
      </c>
      <c r="BI566">
        <v>8</v>
      </c>
      <c r="BJ566" t="s">
        <v>1418</v>
      </c>
      <c r="BK566" t="s">
        <v>119</v>
      </c>
      <c r="BL566" t="s">
        <v>1418</v>
      </c>
      <c r="BM566" t="s">
        <v>10908</v>
      </c>
      <c r="BN566" t="s">
        <v>74</v>
      </c>
      <c r="BO566" t="s">
        <v>122</v>
      </c>
      <c r="BP566" t="s">
        <v>74</v>
      </c>
      <c r="BQ566" t="s">
        <v>74</v>
      </c>
      <c r="BR566" t="s">
        <v>99</v>
      </c>
      <c r="BS566" t="s">
        <v>10909</v>
      </c>
      <c r="BT566" t="str">
        <f>HYPERLINK("https%3A%2F%2Fwww.webofscience.com%2Fwos%2Fwoscc%2Ffull-record%2FWOS:001049882000001","View Full Record in Web of Science")</f>
        <v>View Full Record in Web of Science</v>
      </c>
    </row>
    <row r="567" spans="1:72" x14ac:dyDescent="0.15">
      <c r="A567" t="s">
        <v>72</v>
      </c>
      <c r="B567" t="s">
        <v>10910</v>
      </c>
      <c r="C567" t="s">
        <v>74</v>
      </c>
      <c r="D567" t="s">
        <v>74</v>
      </c>
      <c r="E567" t="s">
        <v>74</v>
      </c>
      <c r="F567" t="s">
        <v>10911</v>
      </c>
      <c r="G567" t="s">
        <v>74</v>
      </c>
      <c r="H567" t="s">
        <v>74</v>
      </c>
      <c r="I567" t="s">
        <v>10912</v>
      </c>
      <c r="J567" t="s">
        <v>10913</v>
      </c>
      <c r="K567" t="s">
        <v>74</v>
      </c>
      <c r="L567" t="s">
        <v>74</v>
      </c>
      <c r="M567" t="s">
        <v>78</v>
      </c>
      <c r="N567" t="s">
        <v>338</v>
      </c>
      <c r="O567" t="s">
        <v>74</v>
      </c>
      <c r="P567" t="s">
        <v>74</v>
      </c>
      <c r="Q567" t="s">
        <v>74</v>
      </c>
      <c r="R567" t="s">
        <v>74</v>
      </c>
      <c r="S567" t="s">
        <v>74</v>
      </c>
      <c r="T567" t="s">
        <v>10914</v>
      </c>
      <c r="U567" t="s">
        <v>10915</v>
      </c>
      <c r="V567" t="s">
        <v>10916</v>
      </c>
      <c r="W567" t="s">
        <v>10917</v>
      </c>
      <c r="X567" t="s">
        <v>10918</v>
      </c>
      <c r="Y567" t="s">
        <v>10919</v>
      </c>
      <c r="Z567" t="s">
        <v>10920</v>
      </c>
      <c r="AA567" t="s">
        <v>74</v>
      </c>
      <c r="AB567" t="s">
        <v>74</v>
      </c>
      <c r="AC567" t="s">
        <v>10921</v>
      </c>
      <c r="AD567" t="s">
        <v>10922</v>
      </c>
      <c r="AE567" t="s">
        <v>10923</v>
      </c>
      <c r="AF567" t="s">
        <v>74</v>
      </c>
      <c r="AG567">
        <v>24</v>
      </c>
      <c r="AH567">
        <v>0</v>
      </c>
      <c r="AI567">
        <v>0</v>
      </c>
      <c r="AJ567">
        <v>1</v>
      </c>
      <c r="AK567">
        <v>1</v>
      </c>
      <c r="AL567" t="s">
        <v>87</v>
      </c>
      <c r="AM567" t="s">
        <v>88</v>
      </c>
      <c r="AN567" t="s">
        <v>89</v>
      </c>
      <c r="AO567" t="s">
        <v>10924</v>
      </c>
      <c r="AP567" t="s">
        <v>10925</v>
      </c>
      <c r="AQ567" t="s">
        <v>74</v>
      </c>
      <c r="AR567" t="s">
        <v>10926</v>
      </c>
      <c r="AS567" t="s">
        <v>10927</v>
      </c>
      <c r="AT567" t="s">
        <v>10529</v>
      </c>
      <c r="AU567">
        <v>2023</v>
      </c>
      <c r="AV567" t="s">
        <v>74</v>
      </c>
      <c r="AW567" t="s">
        <v>74</v>
      </c>
      <c r="AX567" t="s">
        <v>74</v>
      </c>
      <c r="AY567" t="s">
        <v>74</v>
      </c>
      <c r="AZ567" t="s">
        <v>74</v>
      </c>
      <c r="BA567" t="s">
        <v>74</v>
      </c>
      <c r="BB567" t="s">
        <v>74</v>
      </c>
      <c r="BC567" t="s">
        <v>74</v>
      </c>
      <c r="BD567" t="s">
        <v>74</v>
      </c>
      <c r="BE567" t="s">
        <v>10928</v>
      </c>
      <c r="BF567" t="str">
        <f>HYPERLINK("http://dx.doi.org/10.1111/nrm.12384","http://dx.doi.org/10.1111/nrm.12384")</f>
        <v>http://dx.doi.org/10.1111/nrm.12384</v>
      </c>
      <c r="BG567" t="s">
        <v>74</v>
      </c>
      <c r="BH567" t="s">
        <v>7524</v>
      </c>
      <c r="BI567">
        <v>16</v>
      </c>
      <c r="BJ567" t="s">
        <v>10929</v>
      </c>
      <c r="BK567" t="s">
        <v>119</v>
      </c>
      <c r="BL567" t="s">
        <v>10930</v>
      </c>
      <c r="BM567" t="s">
        <v>10931</v>
      </c>
      <c r="BN567" t="s">
        <v>74</v>
      </c>
      <c r="BO567" t="s">
        <v>234</v>
      </c>
      <c r="BP567" t="s">
        <v>74</v>
      </c>
      <c r="BQ567" t="s">
        <v>74</v>
      </c>
      <c r="BR567" t="s">
        <v>99</v>
      </c>
      <c r="BS567" t="s">
        <v>10932</v>
      </c>
      <c r="BT567" t="str">
        <f>HYPERLINK("https%3A%2F%2Fwww.webofscience.com%2Fwos%2Fwoscc%2Ffull-record%2FWOS:001049785100001","View Full Record in Web of Science")</f>
        <v>View Full Record in Web of Science</v>
      </c>
    </row>
    <row r="568" spans="1:72" x14ac:dyDescent="0.15">
      <c r="A568" t="s">
        <v>72</v>
      </c>
      <c r="B568" t="s">
        <v>10933</v>
      </c>
      <c r="C568" t="s">
        <v>74</v>
      </c>
      <c r="D568" t="s">
        <v>74</v>
      </c>
      <c r="E568" t="s">
        <v>74</v>
      </c>
      <c r="F568" t="s">
        <v>10934</v>
      </c>
      <c r="G568" t="s">
        <v>74</v>
      </c>
      <c r="H568" t="s">
        <v>74</v>
      </c>
      <c r="I568" t="s">
        <v>10935</v>
      </c>
      <c r="J568" t="s">
        <v>10936</v>
      </c>
      <c r="K568" t="s">
        <v>74</v>
      </c>
      <c r="L568" t="s">
        <v>74</v>
      </c>
      <c r="M568" t="s">
        <v>78</v>
      </c>
      <c r="N568" t="s">
        <v>338</v>
      </c>
      <c r="O568" t="s">
        <v>74</v>
      </c>
      <c r="P568" t="s">
        <v>74</v>
      </c>
      <c r="Q568" t="s">
        <v>74</v>
      </c>
      <c r="R568" t="s">
        <v>74</v>
      </c>
      <c r="S568" t="s">
        <v>74</v>
      </c>
      <c r="T568" t="s">
        <v>10937</v>
      </c>
      <c r="U568" t="s">
        <v>10938</v>
      </c>
      <c r="V568" t="s">
        <v>10939</v>
      </c>
      <c r="W568" t="s">
        <v>10940</v>
      </c>
      <c r="X568" t="s">
        <v>10941</v>
      </c>
      <c r="Y568" t="s">
        <v>10942</v>
      </c>
      <c r="Z568" t="s">
        <v>10943</v>
      </c>
      <c r="AA568" t="s">
        <v>74</v>
      </c>
      <c r="AB568" t="s">
        <v>10944</v>
      </c>
      <c r="AC568" t="s">
        <v>10945</v>
      </c>
      <c r="AD568" t="s">
        <v>10946</v>
      </c>
      <c r="AE568" t="s">
        <v>10947</v>
      </c>
      <c r="AF568" t="s">
        <v>74</v>
      </c>
      <c r="AG568">
        <v>65</v>
      </c>
      <c r="AH568">
        <v>0</v>
      </c>
      <c r="AI568">
        <v>0</v>
      </c>
      <c r="AJ568">
        <v>0</v>
      </c>
      <c r="AK568">
        <v>0</v>
      </c>
      <c r="AL568" t="s">
        <v>426</v>
      </c>
      <c r="AM568" t="s">
        <v>427</v>
      </c>
      <c r="AN568" t="s">
        <v>428</v>
      </c>
      <c r="AO568" t="s">
        <v>10948</v>
      </c>
      <c r="AP568" t="s">
        <v>10949</v>
      </c>
      <c r="AQ568" t="s">
        <v>74</v>
      </c>
      <c r="AR568" t="s">
        <v>10950</v>
      </c>
      <c r="AS568" t="s">
        <v>10951</v>
      </c>
      <c r="AT568" t="s">
        <v>10952</v>
      </c>
      <c r="AU568">
        <v>2023</v>
      </c>
      <c r="AV568" t="s">
        <v>74</v>
      </c>
      <c r="AW568" t="s">
        <v>74</v>
      </c>
      <c r="AX568" t="s">
        <v>74</v>
      </c>
      <c r="AY568" t="s">
        <v>74</v>
      </c>
      <c r="AZ568" t="s">
        <v>74</v>
      </c>
      <c r="BA568" t="s">
        <v>74</v>
      </c>
      <c r="BB568" t="s">
        <v>74</v>
      </c>
      <c r="BC568" t="s">
        <v>74</v>
      </c>
      <c r="BD568" t="s">
        <v>74</v>
      </c>
      <c r="BE568" t="s">
        <v>10953</v>
      </c>
      <c r="BF568" t="str">
        <f>HYPERLINK("http://dx.doi.org/10.1002/mana.202200480","http://dx.doi.org/10.1002/mana.202200480")</f>
        <v>http://dx.doi.org/10.1002/mana.202200480</v>
      </c>
      <c r="BG568" t="s">
        <v>74</v>
      </c>
      <c r="BH568" t="s">
        <v>7524</v>
      </c>
      <c r="BI568">
        <v>20</v>
      </c>
      <c r="BJ568" t="s">
        <v>120</v>
      </c>
      <c r="BK568" t="s">
        <v>119</v>
      </c>
      <c r="BL568" t="s">
        <v>120</v>
      </c>
      <c r="BM568" t="s">
        <v>10954</v>
      </c>
      <c r="BN568" t="s">
        <v>74</v>
      </c>
      <c r="BO568" t="s">
        <v>7073</v>
      </c>
      <c r="BP568" t="s">
        <v>74</v>
      </c>
      <c r="BQ568" t="s">
        <v>74</v>
      </c>
      <c r="BR568" t="s">
        <v>99</v>
      </c>
      <c r="BS568" t="s">
        <v>10955</v>
      </c>
      <c r="BT568" t="str">
        <f>HYPERLINK("https%3A%2F%2Fwww.webofscience.com%2Fwos%2Fwoscc%2Ffull-record%2FWOS:001049284200001","View Full Record in Web of Science")</f>
        <v>View Full Record in Web of Science</v>
      </c>
    </row>
    <row r="569" spans="1:72" x14ac:dyDescent="0.15">
      <c r="A569" t="s">
        <v>72</v>
      </c>
      <c r="B569" t="s">
        <v>10956</v>
      </c>
      <c r="C569" t="s">
        <v>74</v>
      </c>
      <c r="D569" t="s">
        <v>74</v>
      </c>
      <c r="E569" t="s">
        <v>74</v>
      </c>
      <c r="F569" t="s">
        <v>10957</v>
      </c>
      <c r="G569" t="s">
        <v>74</v>
      </c>
      <c r="H569" t="s">
        <v>74</v>
      </c>
      <c r="I569" t="s">
        <v>10958</v>
      </c>
      <c r="J569" t="s">
        <v>3936</v>
      </c>
      <c r="K569" t="s">
        <v>74</v>
      </c>
      <c r="L569" t="s">
        <v>74</v>
      </c>
      <c r="M569" t="s">
        <v>78</v>
      </c>
      <c r="N569" t="s">
        <v>338</v>
      </c>
      <c r="O569" t="s">
        <v>74</v>
      </c>
      <c r="P569" t="s">
        <v>74</v>
      </c>
      <c r="Q569" t="s">
        <v>74</v>
      </c>
      <c r="R569" t="s">
        <v>74</v>
      </c>
      <c r="S569" t="s">
        <v>74</v>
      </c>
      <c r="T569" t="s">
        <v>10959</v>
      </c>
      <c r="U569" t="s">
        <v>10960</v>
      </c>
      <c r="V569" t="s">
        <v>10961</v>
      </c>
      <c r="W569" t="s">
        <v>10962</v>
      </c>
      <c r="X569" t="s">
        <v>10963</v>
      </c>
      <c r="Y569" t="s">
        <v>10964</v>
      </c>
      <c r="Z569" t="s">
        <v>10965</v>
      </c>
      <c r="AA569" t="s">
        <v>74</v>
      </c>
      <c r="AB569" t="s">
        <v>10966</v>
      </c>
      <c r="AC569" t="s">
        <v>74</v>
      </c>
      <c r="AD569" t="s">
        <v>74</v>
      </c>
      <c r="AE569" t="s">
        <v>74</v>
      </c>
      <c r="AF569" t="s">
        <v>74</v>
      </c>
      <c r="AG569">
        <v>39</v>
      </c>
      <c r="AH569">
        <v>0</v>
      </c>
      <c r="AI569">
        <v>0</v>
      </c>
      <c r="AJ569">
        <v>0</v>
      </c>
      <c r="AK569">
        <v>0</v>
      </c>
      <c r="AL569" t="s">
        <v>87</v>
      </c>
      <c r="AM569" t="s">
        <v>88</v>
      </c>
      <c r="AN569" t="s">
        <v>89</v>
      </c>
      <c r="AO569" t="s">
        <v>3947</v>
      </c>
      <c r="AP569" t="s">
        <v>3948</v>
      </c>
      <c r="AQ569" t="s">
        <v>74</v>
      </c>
      <c r="AR569" t="s">
        <v>3949</v>
      </c>
      <c r="AS569" t="s">
        <v>3950</v>
      </c>
      <c r="AT569" t="s">
        <v>10952</v>
      </c>
      <c r="AU569">
        <v>2023</v>
      </c>
      <c r="AV569" t="s">
        <v>74</v>
      </c>
      <c r="AW569" t="s">
        <v>74</v>
      </c>
      <c r="AX569" t="s">
        <v>74</v>
      </c>
      <c r="AY569" t="s">
        <v>74</v>
      </c>
      <c r="AZ569" t="s">
        <v>74</v>
      </c>
      <c r="BA569" t="s">
        <v>74</v>
      </c>
      <c r="BB569" t="s">
        <v>74</v>
      </c>
      <c r="BC569" t="s">
        <v>74</v>
      </c>
      <c r="BD569" t="s">
        <v>74</v>
      </c>
      <c r="BE569" t="s">
        <v>10967</v>
      </c>
      <c r="BF569" t="str">
        <f>HYPERLINK("http://dx.doi.org/10.1002/pc.27654","http://dx.doi.org/10.1002/pc.27654")</f>
        <v>http://dx.doi.org/10.1002/pc.27654</v>
      </c>
      <c r="BG569" t="s">
        <v>74</v>
      </c>
      <c r="BH569" t="s">
        <v>7524</v>
      </c>
      <c r="BI569">
        <v>17</v>
      </c>
      <c r="BJ569" t="s">
        <v>3952</v>
      </c>
      <c r="BK569" t="s">
        <v>119</v>
      </c>
      <c r="BL569" t="s">
        <v>3953</v>
      </c>
      <c r="BM569" t="s">
        <v>10968</v>
      </c>
      <c r="BN569" t="s">
        <v>74</v>
      </c>
      <c r="BO569" t="s">
        <v>122</v>
      </c>
      <c r="BP569" t="s">
        <v>74</v>
      </c>
      <c r="BQ569" t="s">
        <v>74</v>
      </c>
      <c r="BR569" t="s">
        <v>99</v>
      </c>
      <c r="BS569" t="s">
        <v>10969</v>
      </c>
      <c r="BT569" t="str">
        <f>HYPERLINK("https%3A%2F%2Fwww.webofscience.com%2Fwos%2Fwoscc%2Ffull-record%2FWOS:001049879400001","View Full Record in Web of Science")</f>
        <v>View Full Record in Web of Science</v>
      </c>
    </row>
    <row r="570" spans="1:72" x14ac:dyDescent="0.15">
      <c r="A570" t="s">
        <v>72</v>
      </c>
      <c r="B570" t="s">
        <v>10970</v>
      </c>
      <c r="C570" t="s">
        <v>74</v>
      </c>
      <c r="D570" t="s">
        <v>74</v>
      </c>
      <c r="E570" t="s">
        <v>74</v>
      </c>
      <c r="F570" t="s">
        <v>10971</v>
      </c>
      <c r="G570" t="s">
        <v>74</v>
      </c>
      <c r="H570" t="s">
        <v>74</v>
      </c>
      <c r="I570" t="s">
        <v>10972</v>
      </c>
      <c r="J570" t="s">
        <v>6599</v>
      </c>
      <c r="K570" t="s">
        <v>74</v>
      </c>
      <c r="L570" t="s">
        <v>74</v>
      </c>
      <c r="M570" t="s">
        <v>78</v>
      </c>
      <c r="N570" t="s">
        <v>338</v>
      </c>
      <c r="O570" t="s">
        <v>74</v>
      </c>
      <c r="P570" t="s">
        <v>74</v>
      </c>
      <c r="Q570" t="s">
        <v>74</v>
      </c>
      <c r="R570" t="s">
        <v>74</v>
      </c>
      <c r="S570" t="s">
        <v>74</v>
      </c>
      <c r="T570" t="s">
        <v>10973</v>
      </c>
      <c r="U570" t="s">
        <v>10974</v>
      </c>
      <c r="V570" t="s">
        <v>10975</v>
      </c>
      <c r="W570" t="s">
        <v>10976</v>
      </c>
      <c r="X570" t="s">
        <v>10977</v>
      </c>
      <c r="Y570" t="s">
        <v>10978</v>
      </c>
      <c r="Z570" t="s">
        <v>10979</v>
      </c>
      <c r="AA570" t="s">
        <v>10980</v>
      </c>
      <c r="AB570" t="s">
        <v>10981</v>
      </c>
      <c r="AC570" t="s">
        <v>10982</v>
      </c>
      <c r="AD570" t="s">
        <v>10983</v>
      </c>
      <c r="AE570" t="s">
        <v>10984</v>
      </c>
      <c r="AF570" t="s">
        <v>74</v>
      </c>
      <c r="AG570">
        <v>109</v>
      </c>
      <c r="AH570">
        <v>0</v>
      </c>
      <c r="AI570">
        <v>0</v>
      </c>
      <c r="AJ570">
        <v>4</v>
      </c>
      <c r="AK570">
        <v>4</v>
      </c>
      <c r="AL570" t="s">
        <v>87</v>
      </c>
      <c r="AM570" t="s">
        <v>88</v>
      </c>
      <c r="AN570" t="s">
        <v>89</v>
      </c>
      <c r="AO570" t="s">
        <v>6610</v>
      </c>
      <c r="AP570" t="s">
        <v>6611</v>
      </c>
      <c r="AQ570" t="s">
        <v>74</v>
      </c>
      <c r="AR570" t="s">
        <v>6612</v>
      </c>
      <c r="AS570" t="s">
        <v>6613</v>
      </c>
      <c r="AT570" t="s">
        <v>10952</v>
      </c>
      <c r="AU570">
        <v>2023</v>
      </c>
      <c r="AV570" t="s">
        <v>74</v>
      </c>
      <c r="AW570" t="s">
        <v>74</v>
      </c>
      <c r="AX570" t="s">
        <v>74</v>
      </c>
      <c r="AY570" t="s">
        <v>74</v>
      </c>
      <c r="AZ570" t="s">
        <v>74</v>
      </c>
      <c r="BA570" t="s">
        <v>74</v>
      </c>
      <c r="BB570" t="s">
        <v>74</v>
      </c>
      <c r="BC570" t="s">
        <v>74</v>
      </c>
      <c r="BD570" t="s">
        <v>74</v>
      </c>
      <c r="BE570" t="s">
        <v>10985</v>
      </c>
      <c r="BF570" t="str">
        <f>HYPERLINK("http://dx.doi.org/10.1002/bse.3533","http://dx.doi.org/10.1002/bse.3533")</f>
        <v>http://dx.doi.org/10.1002/bse.3533</v>
      </c>
      <c r="BG570" t="s">
        <v>74</v>
      </c>
      <c r="BH570" t="s">
        <v>7524</v>
      </c>
      <c r="BI570">
        <v>20</v>
      </c>
      <c r="BJ570" t="s">
        <v>6615</v>
      </c>
      <c r="BK570" t="s">
        <v>546</v>
      </c>
      <c r="BL570" t="s">
        <v>6616</v>
      </c>
      <c r="BM570" t="s">
        <v>10986</v>
      </c>
      <c r="BN570" t="s">
        <v>74</v>
      </c>
      <c r="BO570" t="s">
        <v>122</v>
      </c>
      <c r="BP570" t="s">
        <v>74</v>
      </c>
      <c r="BQ570" t="s">
        <v>74</v>
      </c>
      <c r="BR570" t="s">
        <v>99</v>
      </c>
      <c r="BS570" t="s">
        <v>10987</v>
      </c>
      <c r="BT570" t="str">
        <f>HYPERLINK("https%3A%2F%2Fwww.webofscience.com%2Fwos%2Fwoscc%2Ffull-record%2FWOS:001049320500001","View Full Record in Web of Science")</f>
        <v>View Full Record in Web of Science</v>
      </c>
    </row>
    <row r="571" spans="1:72" x14ac:dyDescent="0.15">
      <c r="A571" t="s">
        <v>72</v>
      </c>
      <c r="B571" t="s">
        <v>10988</v>
      </c>
      <c r="C571" t="s">
        <v>74</v>
      </c>
      <c r="D571" t="s">
        <v>74</v>
      </c>
      <c r="E571" t="s">
        <v>74</v>
      </c>
      <c r="F571" t="s">
        <v>10989</v>
      </c>
      <c r="G571" t="s">
        <v>74</v>
      </c>
      <c r="H571" t="s">
        <v>74</v>
      </c>
      <c r="I571" t="s">
        <v>10990</v>
      </c>
      <c r="J571" t="s">
        <v>10991</v>
      </c>
      <c r="K571" t="s">
        <v>74</v>
      </c>
      <c r="L571" t="s">
        <v>74</v>
      </c>
      <c r="M571" t="s">
        <v>78</v>
      </c>
      <c r="N571" t="s">
        <v>338</v>
      </c>
      <c r="O571" t="s">
        <v>74</v>
      </c>
      <c r="P571" t="s">
        <v>74</v>
      </c>
      <c r="Q571" t="s">
        <v>74</v>
      </c>
      <c r="R571" t="s">
        <v>74</v>
      </c>
      <c r="S571" t="s">
        <v>74</v>
      </c>
      <c r="T571" t="s">
        <v>10992</v>
      </c>
      <c r="U571" t="s">
        <v>10993</v>
      </c>
      <c r="V571" t="s">
        <v>10994</v>
      </c>
      <c r="W571" t="s">
        <v>10995</v>
      </c>
      <c r="X571" t="s">
        <v>10996</v>
      </c>
      <c r="Y571" t="s">
        <v>10997</v>
      </c>
      <c r="Z571" t="s">
        <v>10998</v>
      </c>
      <c r="AA571" t="s">
        <v>74</v>
      </c>
      <c r="AB571" t="s">
        <v>74</v>
      </c>
      <c r="AC571" t="s">
        <v>74</v>
      </c>
      <c r="AD571" t="s">
        <v>74</v>
      </c>
      <c r="AE571" t="s">
        <v>74</v>
      </c>
      <c r="AF571" t="s">
        <v>74</v>
      </c>
      <c r="AG571">
        <v>25</v>
      </c>
      <c r="AH571">
        <v>1</v>
      </c>
      <c r="AI571">
        <v>1</v>
      </c>
      <c r="AJ571">
        <v>0</v>
      </c>
      <c r="AK571">
        <v>0</v>
      </c>
      <c r="AL571" t="s">
        <v>87</v>
      </c>
      <c r="AM571" t="s">
        <v>88</v>
      </c>
      <c r="AN571" t="s">
        <v>89</v>
      </c>
      <c r="AO571" t="s">
        <v>10999</v>
      </c>
      <c r="AP571" t="s">
        <v>11000</v>
      </c>
      <c r="AQ571" t="s">
        <v>74</v>
      </c>
      <c r="AR571" t="s">
        <v>10991</v>
      </c>
      <c r="AS571" t="s">
        <v>11001</v>
      </c>
      <c r="AT571" t="s">
        <v>10952</v>
      </c>
      <c r="AU571">
        <v>2023</v>
      </c>
      <c r="AV571" t="s">
        <v>74</v>
      </c>
      <c r="AW571" t="s">
        <v>74</v>
      </c>
      <c r="AX571" t="s">
        <v>74</v>
      </c>
      <c r="AY571" t="s">
        <v>74</v>
      </c>
      <c r="AZ571" t="s">
        <v>74</v>
      </c>
      <c r="BA571" t="s">
        <v>74</v>
      </c>
      <c r="BB571" t="s">
        <v>74</v>
      </c>
      <c r="BC571" t="s">
        <v>74</v>
      </c>
      <c r="BD571" t="s">
        <v>74</v>
      </c>
      <c r="BE571" t="s">
        <v>11002</v>
      </c>
      <c r="BF571" t="str">
        <f>HYPERLINK("http://dx.doi.org/10.1111/resp.14569","http://dx.doi.org/10.1111/resp.14569")</f>
        <v>http://dx.doi.org/10.1111/resp.14569</v>
      </c>
      <c r="BG571" t="s">
        <v>74</v>
      </c>
      <c r="BH571" t="s">
        <v>7524</v>
      </c>
      <c r="BI571">
        <v>9</v>
      </c>
      <c r="BJ571" t="s">
        <v>11003</v>
      </c>
      <c r="BK571" t="s">
        <v>119</v>
      </c>
      <c r="BL571" t="s">
        <v>11003</v>
      </c>
      <c r="BM571" t="s">
        <v>11004</v>
      </c>
      <c r="BN571">
        <v>37587548</v>
      </c>
      <c r="BO571" t="s">
        <v>74</v>
      </c>
      <c r="BP571" t="s">
        <v>74</v>
      </c>
      <c r="BQ571" t="s">
        <v>74</v>
      </c>
      <c r="BR571" t="s">
        <v>99</v>
      </c>
      <c r="BS571" t="s">
        <v>11005</v>
      </c>
      <c r="BT571" t="str">
        <f>HYPERLINK("https%3A%2F%2Fwww.webofscience.com%2Fwos%2Fwoscc%2Ffull-record%2FWOS:001049890800001","View Full Record in Web of Science")</f>
        <v>View Full Record in Web of Science</v>
      </c>
    </row>
    <row r="572" spans="1:72" x14ac:dyDescent="0.15">
      <c r="A572" t="s">
        <v>72</v>
      </c>
      <c r="B572" t="s">
        <v>11006</v>
      </c>
      <c r="C572" t="s">
        <v>74</v>
      </c>
      <c r="D572" t="s">
        <v>74</v>
      </c>
      <c r="E572" t="s">
        <v>74</v>
      </c>
      <c r="F572" t="s">
        <v>11007</v>
      </c>
      <c r="G572" t="s">
        <v>74</v>
      </c>
      <c r="H572" t="s">
        <v>74</v>
      </c>
      <c r="I572" t="s">
        <v>11008</v>
      </c>
      <c r="J572" t="s">
        <v>1773</v>
      </c>
      <c r="K572" t="s">
        <v>74</v>
      </c>
      <c r="L572" t="s">
        <v>74</v>
      </c>
      <c r="M572" t="s">
        <v>78</v>
      </c>
      <c r="N572" t="s">
        <v>338</v>
      </c>
      <c r="O572" t="s">
        <v>74</v>
      </c>
      <c r="P572" t="s">
        <v>74</v>
      </c>
      <c r="Q572" t="s">
        <v>74</v>
      </c>
      <c r="R572" t="s">
        <v>74</v>
      </c>
      <c r="S572" t="s">
        <v>74</v>
      </c>
      <c r="T572" t="s">
        <v>11009</v>
      </c>
      <c r="U572" t="s">
        <v>11010</v>
      </c>
      <c r="V572" t="s">
        <v>11011</v>
      </c>
      <c r="W572" t="s">
        <v>11012</v>
      </c>
      <c r="X572" t="s">
        <v>11013</v>
      </c>
      <c r="Y572" t="s">
        <v>11014</v>
      </c>
      <c r="Z572" t="s">
        <v>11015</v>
      </c>
      <c r="AA572" t="s">
        <v>11016</v>
      </c>
      <c r="AB572" t="s">
        <v>11017</v>
      </c>
      <c r="AC572" t="s">
        <v>11018</v>
      </c>
      <c r="AD572" t="s">
        <v>11019</v>
      </c>
      <c r="AE572" t="s">
        <v>11020</v>
      </c>
      <c r="AF572" t="s">
        <v>74</v>
      </c>
      <c r="AG572">
        <v>48</v>
      </c>
      <c r="AH572">
        <v>0</v>
      </c>
      <c r="AI572">
        <v>0</v>
      </c>
      <c r="AJ572">
        <v>40</v>
      </c>
      <c r="AK572">
        <v>40</v>
      </c>
      <c r="AL572" t="s">
        <v>426</v>
      </c>
      <c r="AM572" t="s">
        <v>427</v>
      </c>
      <c r="AN572" t="s">
        <v>428</v>
      </c>
      <c r="AO572" t="s">
        <v>1785</v>
      </c>
      <c r="AP572" t="s">
        <v>1786</v>
      </c>
      <c r="AQ572" t="s">
        <v>74</v>
      </c>
      <c r="AR572" t="s">
        <v>1787</v>
      </c>
      <c r="AS572" t="s">
        <v>1788</v>
      </c>
      <c r="AT572" t="s">
        <v>10952</v>
      </c>
      <c r="AU572">
        <v>2023</v>
      </c>
      <c r="AV572" t="s">
        <v>74</v>
      </c>
      <c r="AW572" t="s">
        <v>74</v>
      </c>
      <c r="AX572" t="s">
        <v>74</v>
      </c>
      <c r="AY572" t="s">
        <v>74</v>
      </c>
      <c r="AZ572" t="s">
        <v>74</v>
      </c>
      <c r="BA572" t="s">
        <v>74</v>
      </c>
      <c r="BB572" t="s">
        <v>74</v>
      </c>
      <c r="BC572" t="s">
        <v>74</v>
      </c>
      <c r="BD572" t="s">
        <v>74</v>
      </c>
      <c r="BE572" t="s">
        <v>11021</v>
      </c>
      <c r="BF572" t="str">
        <f>HYPERLINK("http://dx.doi.org/10.1002/adma.202304735","http://dx.doi.org/10.1002/adma.202304735")</f>
        <v>http://dx.doi.org/10.1002/adma.202304735</v>
      </c>
      <c r="BG572" t="s">
        <v>74</v>
      </c>
      <c r="BH572" t="s">
        <v>7524</v>
      </c>
      <c r="BI572">
        <v>13</v>
      </c>
      <c r="BJ572" t="s">
        <v>609</v>
      </c>
      <c r="BK572" t="s">
        <v>119</v>
      </c>
      <c r="BL572" t="s">
        <v>610</v>
      </c>
      <c r="BM572" t="s">
        <v>11022</v>
      </c>
      <c r="BN572">
        <v>37363886</v>
      </c>
      <c r="BO572" t="s">
        <v>74</v>
      </c>
      <c r="BP572" t="s">
        <v>74</v>
      </c>
      <c r="BQ572" t="s">
        <v>74</v>
      </c>
      <c r="BR572" t="s">
        <v>99</v>
      </c>
      <c r="BS572" t="s">
        <v>11023</v>
      </c>
      <c r="BT572" t="str">
        <f>HYPERLINK("https%3A%2F%2Fwww.webofscience.com%2Fwos%2Fwoscc%2Ffull-record%2FWOS:001049316000001","View Full Record in Web of Science")</f>
        <v>View Full Record in Web of Science</v>
      </c>
    </row>
    <row r="573" spans="1:72" x14ac:dyDescent="0.15">
      <c r="A573" t="s">
        <v>72</v>
      </c>
      <c r="B573" t="s">
        <v>11024</v>
      </c>
      <c r="C573" t="s">
        <v>74</v>
      </c>
      <c r="D573" t="s">
        <v>74</v>
      </c>
      <c r="E573" t="s">
        <v>74</v>
      </c>
      <c r="F573" t="s">
        <v>11025</v>
      </c>
      <c r="G573" t="s">
        <v>74</v>
      </c>
      <c r="H573" t="s">
        <v>74</v>
      </c>
      <c r="I573" t="s">
        <v>11026</v>
      </c>
      <c r="J573" t="s">
        <v>11027</v>
      </c>
      <c r="K573" t="s">
        <v>74</v>
      </c>
      <c r="L573" t="s">
        <v>74</v>
      </c>
      <c r="M573" t="s">
        <v>78</v>
      </c>
      <c r="N573" t="s">
        <v>79</v>
      </c>
      <c r="O573" t="s">
        <v>74</v>
      </c>
      <c r="P573" t="s">
        <v>74</v>
      </c>
      <c r="Q573" t="s">
        <v>74</v>
      </c>
      <c r="R573" t="s">
        <v>74</v>
      </c>
      <c r="S573" t="s">
        <v>74</v>
      </c>
      <c r="T573" t="s">
        <v>11028</v>
      </c>
      <c r="U573" t="s">
        <v>11029</v>
      </c>
      <c r="V573" t="s">
        <v>11030</v>
      </c>
      <c r="W573" t="s">
        <v>11031</v>
      </c>
      <c r="X573" t="s">
        <v>11032</v>
      </c>
      <c r="Y573" t="s">
        <v>11033</v>
      </c>
      <c r="Z573" t="s">
        <v>11034</v>
      </c>
      <c r="AA573" t="s">
        <v>11035</v>
      </c>
      <c r="AB573" t="s">
        <v>11036</v>
      </c>
      <c r="AC573" t="s">
        <v>11037</v>
      </c>
      <c r="AD573" t="s">
        <v>11038</v>
      </c>
      <c r="AE573" t="s">
        <v>11039</v>
      </c>
      <c r="AF573" t="s">
        <v>74</v>
      </c>
      <c r="AG573">
        <v>34</v>
      </c>
      <c r="AH573">
        <v>0</v>
      </c>
      <c r="AI573">
        <v>0</v>
      </c>
      <c r="AJ573">
        <v>0</v>
      </c>
      <c r="AK573">
        <v>0</v>
      </c>
      <c r="AL573" t="s">
        <v>87</v>
      </c>
      <c r="AM573" t="s">
        <v>88</v>
      </c>
      <c r="AN573" t="s">
        <v>89</v>
      </c>
      <c r="AO573" t="s">
        <v>11040</v>
      </c>
      <c r="AP573" t="s">
        <v>11041</v>
      </c>
      <c r="AQ573" t="s">
        <v>74</v>
      </c>
      <c r="AR573" t="s">
        <v>11042</v>
      </c>
      <c r="AS573" t="s">
        <v>11043</v>
      </c>
      <c r="AT573" t="s">
        <v>185</v>
      </c>
      <c r="AU573">
        <v>2023</v>
      </c>
      <c r="AV573">
        <v>70</v>
      </c>
      <c r="AW573">
        <v>7</v>
      </c>
      <c r="AX573" t="s">
        <v>74</v>
      </c>
      <c r="AY573" t="s">
        <v>74</v>
      </c>
      <c r="AZ573" t="s">
        <v>74</v>
      </c>
      <c r="BA573" t="s">
        <v>74</v>
      </c>
      <c r="BB573">
        <v>639</v>
      </c>
      <c r="BC573">
        <v>652</v>
      </c>
      <c r="BD573" t="s">
        <v>74</v>
      </c>
      <c r="BE573" t="s">
        <v>11044</v>
      </c>
      <c r="BF573" t="str">
        <f>HYPERLINK("http://dx.doi.org/10.1002/nav.22145","http://dx.doi.org/10.1002/nav.22145")</f>
        <v>http://dx.doi.org/10.1002/nav.22145</v>
      </c>
      <c r="BG573" t="s">
        <v>74</v>
      </c>
      <c r="BH573" t="s">
        <v>7524</v>
      </c>
      <c r="BI573">
        <v>14</v>
      </c>
      <c r="BJ573" t="s">
        <v>11045</v>
      </c>
      <c r="BK573" t="s">
        <v>119</v>
      </c>
      <c r="BL573" t="s">
        <v>11045</v>
      </c>
      <c r="BM573" t="s">
        <v>11046</v>
      </c>
      <c r="BN573" t="s">
        <v>74</v>
      </c>
      <c r="BO573" t="s">
        <v>4768</v>
      </c>
      <c r="BP573" t="s">
        <v>74</v>
      </c>
      <c r="BQ573" t="s">
        <v>74</v>
      </c>
      <c r="BR573" t="s">
        <v>99</v>
      </c>
      <c r="BS573" t="s">
        <v>11047</v>
      </c>
      <c r="BT573" t="str">
        <f>HYPERLINK("https%3A%2F%2Fwww.webofscience.com%2Fwos%2Fwoscc%2Ffull-record%2FWOS:001049873600001","View Full Record in Web of Science")</f>
        <v>View Full Record in Web of Science</v>
      </c>
    </row>
    <row r="574" spans="1:72" x14ac:dyDescent="0.15">
      <c r="A574" t="s">
        <v>72</v>
      </c>
      <c r="B574" t="s">
        <v>11048</v>
      </c>
      <c r="C574" t="s">
        <v>74</v>
      </c>
      <c r="D574" t="s">
        <v>74</v>
      </c>
      <c r="E574" t="s">
        <v>74</v>
      </c>
      <c r="F574" t="s">
        <v>11049</v>
      </c>
      <c r="G574" t="s">
        <v>74</v>
      </c>
      <c r="H574" t="s">
        <v>74</v>
      </c>
      <c r="I574" t="s">
        <v>11050</v>
      </c>
      <c r="J574" t="s">
        <v>7682</v>
      </c>
      <c r="K574" t="s">
        <v>74</v>
      </c>
      <c r="L574" t="s">
        <v>74</v>
      </c>
      <c r="M574" t="s">
        <v>78</v>
      </c>
      <c r="N574" t="s">
        <v>338</v>
      </c>
      <c r="O574" t="s">
        <v>74</v>
      </c>
      <c r="P574" t="s">
        <v>74</v>
      </c>
      <c r="Q574" t="s">
        <v>74</v>
      </c>
      <c r="R574" t="s">
        <v>74</v>
      </c>
      <c r="S574" t="s">
        <v>74</v>
      </c>
      <c r="T574" t="s">
        <v>11051</v>
      </c>
      <c r="U574" t="s">
        <v>11052</v>
      </c>
      <c r="V574" t="s">
        <v>11053</v>
      </c>
      <c r="W574" t="s">
        <v>11054</v>
      </c>
      <c r="X574" t="s">
        <v>11055</v>
      </c>
      <c r="Y574" t="s">
        <v>11056</v>
      </c>
      <c r="Z574" t="s">
        <v>11057</v>
      </c>
      <c r="AA574" t="s">
        <v>11058</v>
      </c>
      <c r="AB574" t="s">
        <v>11059</v>
      </c>
      <c r="AC574" t="s">
        <v>11060</v>
      </c>
      <c r="AD574" t="s">
        <v>3742</v>
      </c>
      <c r="AE574" t="s">
        <v>11061</v>
      </c>
      <c r="AF574" t="s">
        <v>74</v>
      </c>
      <c r="AG574">
        <v>37</v>
      </c>
      <c r="AH574">
        <v>0</v>
      </c>
      <c r="AI574">
        <v>0</v>
      </c>
      <c r="AJ574">
        <v>4</v>
      </c>
      <c r="AK574">
        <v>4</v>
      </c>
      <c r="AL574" t="s">
        <v>87</v>
      </c>
      <c r="AM574" t="s">
        <v>88</v>
      </c>
      <c r="AN574" t="s">
        <v>89</v>
      </c>
      <c r="AO574" t="s">
        <v>74</v>
      </c>
      <c r="AP574" t="s">
        <v>7693</v>
      </c>
      <c r="AQ574" t="s">
        <v>74</v>
      </c>
      <c r="AR574" t="s">
        <v>7694</v>
      </c>
      <c r="AS574" t="s">
        <v>7695</v>
      </c>
      <c r="AT574" t="s">
        <v>10952</v>
      </c>
      <c r="AU574">
        <v>2023</v>
      </c>
      <c r="AV574" t="s">
        <v>74</v>
      </c>
      <c r="AW574" t="s">
        <v>74</v>
      </c>
      <c r="AX574" t="s">
        <v>74</v>
      </c>
      <c r="AY574" t="s">
        <v>74</v>
      </c>
      <c r="AZ574" t="s">
        <v>74</v>
      </c>
      <c r="BA574" t="s">
        <v>74</v>
      </c>
      <c r="BB574" t="s">
        <v>74</v>
      </c>
      <c r="BC574" t="s">
        <v>74</v>
      </c>
      <c r="BD574" t="s">
        <v>74</v>
      </c>
      <c r="BE574" t="s">
        <v>11062</v>
      </c>
      <c r="BF574" t="str">
        <f>HYPERLINK("http://dx.doi.org/10.1002/aisy.202300269","http://dx.doi.org/10.1002/aisy.202300269")</f>
        <v>http://dx.doi.org/10.1002/aisy.202300269</v>
      </c>
      <c r="BG574" t="s">
        <v>74</v>
      </c>
      <c r="BH574" t="s">
        <v>7524</v>
      </c>
      <c r="BI574">
        <v>16</v>
      </c>
      <c r="BJ574" t="s">
        <v>7697</v>
      </c>
      <c r="BK574" t="s">
        <v>119</v>
      </c>
      <c r="BL574" t="s">
        <v>7698</v>
      </c>
      <c r="BM574" t="s">
        <v>11063</v>
      </c>
      <c r="BN574" t="s">
        <v>74</v>
      </c>
      <c r="BO574" t="s">
        <v>234</v>
      </c>
      <c r="BP574" t="s">
        <v>74</v>
      </c>
      <c r="BQ574" t="s">
        <v>74</v>
      </c>
      <c r="BR574" t="s">
        <v>99</v>
      </c>
      <c r="BS574" t="s">
        <v>11064</v>
      </c>
      <c r="BT574" t="str">
        <f>HYPERLINK("https%3A%2F%2Fwww.webofscience.com%2Fwos%2Fwoscc%2Ffull-record%2FWOS:001048736300001","View Full Record in Web of Science")</f>
        <v>View Full Record in Web of Science</v>
      </c>
    </row>
    <row r="575" spans="1:72" x14ac:dyDescent="0.15">
      <c r="A575" t="s">
        <v>72</v>
      </c>
      <c r="B575" t="s">
        <v>11065</v>
      </c>
      <c r="C575" t="s">
        <v>74</v>
      </c>
      <c r="D575" t="s">
        <v>74</v>
      </c>
      <c r="E575" t="s">
        <v>74</v>
      </c>
      <c r="F575" t="s">
        <v>11066</v>
      </c>
      <c r="G575" t="s">
        <v>74</v>
      </c>
      <c r="H575" t="s">
        <v>74</v>
      </c>
      <c r="I575" t="s">
        <v>11067</v>
      </c>
      <c r="J575" t="s">
        <v>11068</v>
      </c>
      <c r="K575" t="s">
        <v>74</v>
      </c>
      <c r="L575" t="s">
        <v>74</v>
      </c>
      <c r="M575" t="s">
        <v>78</v>
      </c>
      <c r="N575" t="s">
        <v>338</v>
      </c>
      <c r="O575" t="s">
        <v>74</v>
      </c>
      <c r="P575" t="s">
        <v>74</v>
      </c>
      <c r="Q575" t="s">
        <v>74</v>
      </c>
      <c r="R575" t="s">
        <v>74</v>
      </c>
      <c r="S575" t="s">
        <v>74</v>
      </c>
      <c r="T575" t="s">
        <v>11069</v>
      </c>
      <c r="U575" t="s">
        <v>11070</v>
      </c>
      <c r="V575" t="s">
        <v>11071</v>
      </c>
      <c r="W575" t="s">
        <v>11072</v>
      </c>
      <c r="X575" t="s">
        <v>11073</v>
      </c>
      <c r="Y575" t="s">
        <v>11074</v>
      </c>
      <c r="Z575" t="s">
        <v>11075</v>
      </c>
      <c r="AA575" t="s">
        <v>11076</v>
      </c>
      <c r="AB575" t="s">
        <v>11077</v>
      </c>
      <c r="AC575" t="s">
        <v>11078</v>
      </c>
      <c r="AD575" t="s">
        <v>11079</v>
      </c>
      <c r="AE575" t="s">
        <v>11080</v>
      </c>
      <c r="AF575" t="s">
        <v>74</v>
      </c>
      <c r="AG575">
        <v>96</v>
      </c>
      <c r="AH575">
        <v>0</v>
      </c>
      <c r="AI575">
        <v>0</v>
      </c>
      <c r="AJ575">
        <v>10</v>
      </c>
      <c r="AK575">
        <v>10</v>
      </c>
      <c r="AL575" t="s">
        <v>426</v>
      </c>
      <c r="AM575" t="s">
        <v>427</v>
      </c>
      <c r="AN575" t="s">
        <v>428</v>
      </c>
      <c r="AO575" t="s">
        <v>11081</v>
      </c>
      <c r="AP575" t="s">
        <v>11082</v>
      </c>
      <c r="AQ575" t="s">
        <v>74</v>
      </c>
      <c r="AR575" t="s">
        <v>11083</v>
      </c>
      <c r="AS575" t="s">
        <v>11084</v>
      </c>
      <c r="AT575" t="s">
        <v>10952</v>
      </c>
      <c r="AU575">
        <v>2023</v>
      </c>
      <c r="AV575" t="s">
        <v>74</v>
      </c>
      <c r="AW575" t="s">
        <v>74</v>
      </c>
      <c r="AX575" t="s">
        <v>74</v>
      </c>
      <c r="AY575" t="s">
        <v>74</v>
      </c>
      <c r="AZ575" t="s">
        <v>74</v>
      </c>
      <c r="BA575" t="s">
        <v>74</v>
      </c>
      <c r="BB575" t="s">
        <v>74</v>
      </c>
      <c r="BC575" t="s">
        <v>74</v>
      </c>
      <c r="BD575" t="s">
        <v>74</v>
      </c>
      <c r="BE575" t="s">
        <v>11085</v>
      </c>
      <c r="BF575" t="str">
        <f>HYPERLINK("http://dx.doi.org/10.1002/jpln.202300100","http://dx.doi.org/10.1002/jpln.202300100")</f>
        <v>http://dx.doi.org/10.1002/jpln.202300100</v>
      </c>
      <c r="BG575" t="s">
        <v>74</v>
      </c>
      <c r="BH575" t="s">
        <v>7524</v>
      </c>
      <c r="BI575">
        <v>14</v>
      </c>
      <c r="BJ575" t="s">
        <v>11086</v>
      </c>
      <c r="BK575" t="s">
        <v>119</v>
      </c>
      <c r="BL575" t="s">
        <v>8142</v>
      </c>
      <c r="BM575" t="s">
        <v>11087</v>
      </c>
      <c r="BN575" t="s">
        <v>74</v>
      </c>
      <c r="BO575" t="s">
        <v>122</v>
      </c>
      <c r="BP575" t="s">
        <v>74</v>
      </c>
      <c r="BQ575" t="s">
        <v>74</v>
      </c>
      <c r="BR575" t="s">
        <v>99</v>
      </c>
      <c r="BS575" t="s">
        <v>11088</v>
      </c>
      <c r="BT575" t="str">
        <f>HYPERLINK("https%3A%2F%2Fwww.webofscience.com%2Fwos%2Fwoscc%2Ffull-record%2FWOS:001048741300001","View Full Record in Web of Science")</f>
        <v>View Full Record in Web of Science</v>
      </c>
    </row>
    <row r="576" spans="1:72" x14ac:dyDescent="0.15">
      <c r="A576" t="s">
        <v>72</v>
      </c>
      <c r="B576" t="s">
        <v>11089</v>
      </c>
      <c r="C576" t="s">
        <v>74</v>
      </c>
      <c r="D576" t="s">
        <v>74</v>
      </c>
      <c r="E576" t="s">
        <v>74</v>
      </c>
      <c r="F576" t="s">
        <v>11090</v>
      </c>
      <c r="G576" t="s">
        <v>74</v>
      </c>
      <c r="H576" t="s">
        <v>74</v>
      </c>
      <c r="I576" t="s">
        <v>11091</v>
      </c>
      <c r="J576" t="s">
        <v>11092</v>
      </c>
      <c r="K576" t="s">
        <v>74</v>
      </c>
      <c r="L576" t="s">
        <v>74</v>
      </c>
      <c r="M576" t="s">
        <v>78</v>
      </c>
      <c r="N576" t="s">
        <v>79</v>
      </c>
      <c r="O576" t="s">
        <v>74</v>
      </c>
      <c r="P576" t="s">
        <v>74</v>
      </c>
      <c r="Q576" t="s">
        <v>74</v>
      </c>
      <c r="R576" t="s">
        <v>74</v>
      </c>
      <c r="S576" t="s">
        <v>74</v>
      </c>
      <c r="T576" t="s">
        <v>11093</v>
      </c>
      <c r="U576" t="s">
        <v>74</v>
      </c>
      <c r="V576" t="s">
        <v>11094</v>
      </c>
      <c r="W576" t="s">
        <v>11095</v>
      </c>
      <c r="X576" t="s">
        <v>11096</v>
      </c>
      <c r="Y576" t="s">
        <v>11097</v>
      </c>
      <c r="Z576" t="s">
        <v>11098</v>
      </c>
      <c r="AA576" t="s">
        <v>74</v>
      </c>
      <c r="AB576" t="s">
        <v>74</v>
      </c>
      <c r="AC576" t="s">
        <v>74</v>
      </c>
      <c r="AD576" t="s">
        <v>74</v>
      </c>
      <c r="AE576" t="s">
        <v>74</v>
      </c>
      <c r="AF576" t="s">
        <v>74</v>
      </c>
      <c r="AG576">
        <v>8</v>
      </c>
      <c r="AH576">
        <v>0</v>
      </c>
      <c r="AI576">
        <v>0</v>
      </c>
      <c r="AJ576">
        <v>0</v>
      </c>
      <c r="AK576">
        <v>0</v>
      </c>
      <c r="AL576" t="s">
        <v>87</v>
      </c>
      <c r="AM576" t="s">
        <v>88</v>
      </c>
      <c r="AN576" t="s">
        <v>89</v>
      </c>
      <c r="AO576" t="s">
        <v>11099</v>
      </c>
      <c r="AP576" t="s">
        <v>11100</v>
      </c>
      <c r="AQ576" t="s">
        <v>74</v>
      </c>
      <c r="AR576" t="s">
        <v>11101</v>
      </c>
      <c r="AS576" t="s">
        <v>11102</v>
      </c>
      <c r="AT576" t="s">
        <v>6725</v>
      </c>
      <c r="AU576">
        <v>2023</v>
      </c>
      <c r="AV576">
        <v>216</v>
      </c>
      <c r="AW576">
        <v>3</v>
      </c>
      <c r="AX576" t="s">
        <v>74</v>
      </c>
      <c r="AY576" t="s">
        <v>74</v>
      </c>
      <c r="AZ576" t="s">
        <v>74</v>
      </c>
      <c r="BA576" t="s">
        <v>74</v>
      </c>
      <c r="BB576" t="s">
        <v>74</v>
      </c>
      <c r="BC576" t="s">
        <v>74</v>
      </c>
      <c r="BD576" t="s">
        <v>74</v>
      </c>
      <c r="BE576" t="s">
        <v>11103</v>
      </c>
      <c r="BF576" t="str">
        <f>HYPERLINK("http://dx.doi.org/10.1002/eej.23446","http://dx.doi.org/10.1002/eej.23446")</f>
        <v>http://dx.doi.org/10.1002/eej.23446</v>
      </c>
      <c r="BG576" t="s">
        <v>74</v>
      </c>
      <c r="BH576" t="s">
        <v>7524</v>
      </c>
      <c r="BI576">
        <v>8</v>
      </c>
      <c r="BJ576" t="s">
        <v>1249</v>
      </c>
      <c r="BK576" t="s">
        <v>119</v>
      </c>
      <c r="BL576" t="s">
        <v>1250</v>
      </c>
      <c r="BM576" t="s">
        <v>11104</v>
      </c>
      <c r="BN576" t="s">
        <v>74</v>
      </c>
      <c r="BO576" t="s">
        <v>301</v>
      </c>
      <c r="BP576" t="s">
        <v>74</v>
      </c>
      <c r="BQ576" t="s">
        <v>74</v>
      </c>
      <c r="BR576" t="s">
        <v>99</v>
      </c>
      <c r="BS576" t="s">
        <v>11105</v>
      </c>
      <c r="BT576" t="str">
        <f>HYPERLINK("https%3A%2F%2Fwww.webofscience.com%2Fwos%2Fwoscc%2Ffull-record%2FWOS:001049311400001","View Full Record in Web of Science")</f>
        <v>View Full Record in Web of Science</v>
      </c>
    </row>
    <row r="577" spans="1:72" x14ac:dyDescent="0.15">
      <c r="A577" t="s">
        <v>72</v>
      </c>
      <c r="B577" t="s">
        <v>11106</v>
      </c>
      <c r="C577" t="s">
        <v>74</v>
      </c>
      <c r="D577" t="s">
        <v>74</v>
      </c>
      <c r="E577" t="s">
        <v>74</v>
      </c>
      <c r="F577" t="s">
        <v>11107</v>
      </c>
      <c r="G577" t="s">
        <v>74</v>
      </c>
      <c r="H577" t="s">
        <v>74</v>
      </c>
      <c r="I577" t="s">
        <v>11108</v>
      </c>
      <c r="J577" t="s">
        <v>11109</v>
      </c>
      <c r="K577" t="s">
        <v>74</v>
      </c>
      <c r="L577" t="s">
        <v>74</v>
      </c>
      <c r="M577" t="s">
        <v>78</v>
      </c>
      <c r="N577" t="s">
        <v>338</v>
      </c>
      <c r="O577" t="s">
        <v>74</v>
      </c>
      <c r="P577" t="s">
        <v>74</v>
      </c>
      <c r="Q577" t="s">
        <v>74</v>
      </c>
      <c r="R577" t="s">
        <v>74</v>
      </c>
      <c r="S577" t="s">
        <v>74</v>
      </c>
      <c r="T577" t="s">
        <v>74</v>
      </c>
      <c r="U577" t="s">
        <v>74</v>
      </c>
      <c r="V577" t="s">
        <v>11110</v>
      </c>
      <c r="W577" t="s">
        <v>11111</v>
      </c>
      <c r="X577" t="s">
        <v>11112</v>
      </c>
      <c r="Y577" t="s">
        <v>11113</v>
      </c>
      <c r="Z577" t="s">
        <v>11114</v>
      </c>
      <c r="AA577" t="s">
        <v>74</v>
      </c>
      <c r="AB577" t="s">
        <v>74</v>
      </c>
      <c r="AC577" t="s">
        <v>11115</v>
      </c>
      <c r="AD577" t="s">
        <v>11116</v>
      </c>
      <c r="AE577" t="s">
        <v>11117</v>
      </c>
      <c r="AF577" t="s">
        <v>74</v>
      </c>
      <c r="AG577">
        <v>27</v>
      </c>
      <c r="AH577">
        <v>0</v>
      </c>
      <c r="AI577">
        <v>0</v>
      </c>
      <c r="AJ577">
        <v>0</v>
      </c>
      <c r="AK577">
        <v>0</v>
      </c>
      <c r="AL577" t="s">
        <v>87</v>
      </c>
      <c r="AM577" t="s">
        <v>88</v>
      </c>
      <c r="AN577" t="s">
        <v>89</v>
      </c>
      <c r="AO577" t="s">
        <v>11118</v>
      </c>
      <c r="AP577" t="s">
        <v>11119</v>
      </c>
      <c r="AQ577" t="s">
        <v>74</v>
      </c>
      <c r="AR577" t="s">
        <v>11120</v>
      </c>
      <c r="AS577" t="s">
        <v>11121</v>
      </c>
      <c r="AT577" t="s">
        <v>10952</v>
      </c>
      <c r="AU577">
        <v>2023</v>
      </c>
      <c r="AV577" t="s">
        <v>74</v>
      </c>
      <c r="AW577" t="s">
        <v>74</v>
      </c>
      <c r="AX577" t="s">
        <v>74</v>
      </c>
      <c r="AY577" t="s">
        <v>74</v>
      </c>
      <c r="AZ577" t="s">
        <v>74</v>
      </c>
      <c r="BA577" t="s">
        <v>74</v>
      </c>
      <c r="BB577" t="s">
        <v>74</v>
      </c>
      <c r="BC577" t="s">
        <v>74</v>
      </c>
      <c r="BD577" t="s">
        <v>74</v>
      </c>
      <c r="BE577" t="s">
        <v>11122</v>
      </c>
      <c r="BF577" t="str">
        <f>HYPERLINK("http://dx.doi.org/10.1112/blms.12906","http://dx.doi.org/10.1112/blms.12906")</f>
        <v>http://dx.doi.org/10.1112/blms.12906</v>
      </c>
      <c r="BG577" t="s">
        <v>74</v>
      </c>
      <c r="BH577" t="s">
        <v>7524</v>
      </c>
      <c r="BI577">
        <v>21</v>
      </c>
      <c r="BJ577" t="s">
        <v>120</v>
      </c>
      <c r="BK577" t="s">
        <v>119</v>
      </c>
      <c r="BL577" t="s">
        <v>120</v>
      </c>
      <c r="BM577" t="s">
        <v>11123</v>
      </c>
      <c r="BN577" t="s">
        <v>74</v>
      </c>
      <c r="BO577" t="s">
        <v>5713</v>
      </c>
      <c r="BP577" t="s">
        <v>74</v>
      </c>
      <c r="BQ577" t="s">
        <v>74</v>
      </c>
      <c r="BR577" t="s">
        <v>99</v>
      </c>
      <c r="BS577" t="s">
        <v>11124</v>
      </c>
      <c r="BT577" t="str">
        <f>HYPERLINK("https%3A%2F%2Fwww.webofscience.com%2Fwos%2Fwoscc%2Ffull-record%2FWOS:001049307100001","View Full Record in Web of Science")</f>
        <v>View Full Record in Web of Science</v>
      </c>
    </row>
    <row r="578" spans="1:72" x14ac:dyDescent="0.15">
      <c r="A578" t="s">
        <v>72</v>
      </c>
      <c r="B578" t="s">
        <v>11125</v>
      </c>
      <c r="C578" t="s">
        <v>74</v>
      </c>
      <c r="D578" t="s">
        <v>74</v>
      </c>
      <c r="E578" t="s">
        <v>74</v>
      </c>
      <c r="F578" t="s">
        <v>11126</v>
      </c>
      <c r="G578" t="s">
        <v>74</v>
      </c>
      <c r="H578" t="s">
        <v>74</v>
      </c>
      <c r="I578" t="s">
        <v>11127</v>
      </c>
      <c r="J578" t="s">
        <v>2358</v>
      </c>
      <c r="K578" t="s">
        <v>74</v>
      </c>
      <c r="L578" t="s">
        <v>74</v>
      </c>
      <c r="M578" t="s">
        <v>78</v>
      </c>
      <c r="N578" t="s">
        <v>338</v>
      </c>
      <c r="O578" t="s">
        <v>74</v>
      </c>
      <c r="P578" t="s">
        <v>74</v>
      </c>
      <c r="Q578" t="s">
        <v>74</v>
      </c>
      <c r="R578" t="s">
        <v>74</v>
      </c>
      <c r="S578" t="s">
        <v>74</v>
      </c>
      <c r="T578" t="s">
        <v>11128</v>
      </c>
      <c r="U578" t="s">
        <v>11129</v>
      </c>
      <c r="V578" t="s">
        <v>11130</v>
      </c>
      <c r="W578" t="s">
        <v>11131</v>
      </c>
      <c r="X578" t="s">
        <v>11132</v>
      </c>
      <c r="Y578" t="s">
        <v>11133</v>
      </c>
      <c r="Z578" t="s">
        <v>11134</v>
      </c>
      <c r="AA578" t="s">
        <v>74</v>
      </c>
      <c r="AB578" t="s">
        <v>74</v>
      </c>
      <c r="AC578" t="s">
        <v>11135</v>
      </c>
      <c r="AD578" t="s">
        <v>11136</v>
      </c>
      <c r="AE578" t="s">
        <v>11137</v>
      </c>
      <c r="AF578" t="s">
        <v>74</v>
      </c>
      <c r="AG578">
        <v>27</v>
      </c>
      <c r="AH578">
        <v>0</v>
      </c>
      <c r="AI578">
        <v>0</v>
      </c>
      <c r="AJ578">
        <v>0</v>
      </c>
      <c r="AK578">
        <v>0</v>
      </c>
      <c r="AL578" t="s">
        <v>87</v>
      </c>
      <c r="AM578" t="s">
        <v>88</v>
      </c>
      <c r="AN578" t="s">
        <v>89</v>
      </c>
      <c r="AO578" t="s">
        <v>2369</v>
      </c>
      <c r="AP578" t="s">
        <v>2370</v>
      </c>
      <c r="AQ578" t="s">
        <v>74</v>
      </c>
      <c r="AR578" t="s">
        <v>2371</v>
      </c>
      <c r="AS578" t="s">
        <v>2372</v>
      </c>
      <c r="AT578" t="s">
        <v>10952</v>
      </c>
      <c r="AU578">
        <v>2023</v>
      </c>
      <c r="AV578" t="s">
        <v>74</v>
      </c>
      <c r="AW578" t="s">
        <v>74</v>
      </c>
      <c r="AX578" t="s">
        <v>74</v>
      </c>
      <c r="AY578" t="s">
        <v>74</v>
      </c>
      <c r="AZ578" t="s">
        <v>74</v>
      </c>
      <c r="BA578" t="s">
        <v>74</v>
      </c>
      <c r="BB578" t="s">
        <v>74</v>
      </c>
      <c r="BC578" t="s">
        <v>74</v>
      </c>
      <c r="BD578" t="s">
        <v>74</v>
      </c>
      <c r="BE578" t="s">
        <v>11138</v>
      </c>
      <c r="BF578" t="str">
        <f>HYPERLINK("http://dx.doi.org/10.1002/rcs.2560","http://dx.doi.org/10.1002/rcs.2560")</f>
        <v>http://dx.doi.org/10.1002/rcs.2560</v>
      </c>
      <c r="BG578" t="s">
        <v>74</v>
      </c>
      <c r="BH578" t="s">
        <v>7524</v>
      </c>
      <c r="BI578">
        <v>9</v>
      </c>
      <c r="BJ578" t="s">
        <v>2374</v>
      </c>
      <c r="BK578" t="s">
        <v>119</v>
      </c>
      <c r="BL578" t="s">
        <v>2374</v>
      </c>
      <c r="BM578" t="s">
        <v>11139</v>
      </c>
      <c r="BN578">
        <v>37583359</v>
      </c>
      <c r="BO578" t="s">
        <v>74</v>
      </c>
      <c r="BP578" t="s">
        <v>74</v>
      </c>
      <c r="BQ578" t="s">
        <v>74</v>
      </c>
      <c r="BR578" t="s">
        <v>99</v>
      </c>
      <c r="BS578" t="s">
        <v>11140</v>
      </c>
      <c r="BT578" t="str">
        <f>HYPERLINK("https%3A%2F%2Fwww.webofscience.com%2Fwos%2Fwoscc%2Ffull-record%2FWOS:001048731200001","View Full Record in Web of Science")</f>
        <v>View Full Record in Web of Science</v>
      </c>
    </row>
    <row r="579" spans="1:72" x14ac:dyDescent="0.15">
      <c r="A579" t="s">
        <v>72</v>
      </c>
      <c r="B579" t="s">
        <v>11141</v>
      </c>
      <c r="C579" t="s">
        <v>74</v>
      </c>
      <c r="D579" t="s">
        <v>74</v>
      </c>
      <c r="E579" t="s">
        <v>74</v>
      </c>
      <c r="F579" t="s">
        <v>11142</v>
      </c>
      <c r="G579" t="s">
        <v>74</v>
      </c>
      <c r="H579" t="s">
        <v>74</v>
      </c>
      <c r="I579" t="s">
        <v>11143</v>
      </c>
      <c r="J579" t="s">
        <v>11144</v>
      </c>
      <c r="K579" t="s">
        <v>74</v>
      </c>
      <c r="L579" t="s">
        <v>74</v>
      </c>
      <c r="M579" t="s">
        <v>78</v>
      </c>
      <c r="N579" t="s">
        <v>338</v>
      </c>
      <c r="O579" t="s">
        <v>74</v>
      </c>
      <c r="P579" t="s">
        <v>74</v>
      </c>
      <c r="Q579" t="s">
        <v>74</v>
      </c>
      <c r="R579" t="s">
        <v>74</v>
      </c>
      <c r="S579" t="s">
        <v>74</v>
      </c>
      <c r="T579" t="s">
        <v>11145</v>
      </c>
      <c r="U579" t="s">
        <v>11146</v>
      </c>
      <c r="V579" t="s">
        <v>11147</v>
      </c>
      <c r="W579" t="s">
        <v>11148</v>
      </c>
      <c r="X579" t="s">
        <v>11149</v>
      </c>
      <c r="Y579" t="s">
        <v>11150</v>
      </c>
      <c r="Z579" t="s">
        <v>11151</v>
      </c>
      <c r="AA579" t="s">
        <v>74</v>
      </c>
      <c r="AB579" t="s">
        <v>74</v>
      </c>
      <c r="AC579" t="s">
        <v>74</v>
      </c>
      <c r="AD579" t="s">
        <v>74</v>
      </c>
      <c r="AE579" t="s">
        <v>74</v>
      </c>
      <c r="AF579" t="s">
        <v>74</v>
      </c>
      <c r="AG579">
        <v>23</v>
      </c>
      <c r="AH579">
        <v>0</v>
      </c>
      <c r="AI579">
        <v>0</v>
      </c>
      <c r="AJ579">
        <v>1</v>
      </c>
      <c r="AK579">
        <v>1</v>
      </c>
      <c r="AL579" t="s">
        <v>87</v>
      </c>
      <c r="AM579" t="s">
        <v>88</v>
      </c>
      <c r="AN579" t="s">
        <v>89</v>
      </c>
      <c r="AO579" t="s">
        <v>11152</v>
      </c>
      <c r="AP579" t="s">
        <v>11153</v>
      </c>
      <c r="AQ579" t="s">
        <v>74</v>
      </c>
      <c r="AR579" t="s">
        <v>11154</v>
      </c>
      <c r="AS579" t="s">
        <v>11155</v>
      </c>
      <c r="AT579" t="s">
        <v>10952</v>
      </c>
      <c r="AU579">
        <v>2023</v>
      </c>
      <c r="AV579" t="s">
        <v>74</v>
      </c>
      <c r="AW579" t="s">
        <v>74</v>
      </c>
      <c r="AX579" t="s">
        <v>74</v>
      </c>
      <c r="AY579" t="s">
        <v>74</v>
      </c>
      <c r="AZ579" t="s">
        <v>74</v>
      </c>
      <c r="BA579" t="s">
        <v>74</v>
      </c>
      <c r="BB579" t="s">
        <v>74</v>
      </c>
      <c r="BC579" t="s">
        <v>74</v>
      </c>
      <c r="BD579" t="s">
        <v>74</v>
      </c>
      <c r="BE579" t="s">
        <v>11156</v>
      </c>
      <c r="BF579" t="str">
        <f>HYPERLINK("http://dx.doi.org/10.1111/aas.14313","http://dx.doi.org/10.1111/aas.14313")</f>
        <v>http://dx.doi.org/10.1111/aas.14313</v>
      </c>
      <c r="BG579" t="s">
        <v>74</v>
      </c>
      <c r="BH579" t="s">
        <v>7524</v>
      </c>
      <c r="BI579">
        <v>7</v>
      </c>
      <c r="BJ579" t="s">
        <v>11157</v>
      </c>
      <c r="BK579" t="s">
        <v>119</v>
      </c>
      <c r="BL579" t="s">
        <v>11157</v>
      </c>
      <c r="BM579" t="s">
        <v>11158</v>
      </c>
      <c r="BN579">
        <v>37587618</v>
      </c>
      <c r="BO579" t="s">
        <v>122</v>
      </c>
      <c r="BP579" t="s">
        <v>74</v>
      </c>
      <c r="BQ579" t="s">
        <v>74</v>
      </c>
      <c r="BR579" t="s">
        <v>99</v>
      </c>
      <c r="BS579" t="s">
        <v>11159</v>
      </c>
      <c r="BT579" t="str">
        <f>HYPERLINK("https%3A%2F%2Fwww.webofscience.com%2Fwos%2Fwoscc%2Ffull-record%2FWOS:001049906300001","View Full Record in Web of Science")</f>
        <v>View Full Record in Web of Science</v>
      </c>
    </row>
    <row r="580" spans="1:72" x14ac:dyDescent="0.15">
      <c r="A580" t="s">
        <v>72</v>
      </c>
      <c r="B580" t="s">
        <v>11160</v>
      </c>
      <c r="C580" t="s">
        <v>74</v>
      </c>
      <c r="D580" t="s">
        <v>74</v>
      </c>
      <c r="E580" t="s">
        <v>74</v>
      </c>
      <c r="F580" t="s">
        <v>11161</v>
      </c>
      <c r="G580" t="s">
        <v>74</v>
      </c>
      <c r="H580" t="s">
        <v>74</v>
      </c>
      <c r="I580" t="s">
        <v>11162</v>
      </c>
      <c r="J580" t="s">
        <v>11163</v>
      </c>
      <c r="K580" t="s">
        <v>74</v>
      </c>
      <c r="L580" t="s">
        <v>74</v>
      </c>
      <c r="M580" t="s">
        <v>78</v>
      </c>
      <c r="N580" t="s">
        <v>2743</v>
      </c>
      <c r="O580" t="s">
        <v>74</v>
      </c>
      <c r="P580" t="s">
        <v>74</v>
      </c>
      <c r="Q580" t="s">
        <v>74</v>
      </c>
      <c r="R580" t="s">
        <v>74</v>
      </c>
      <c r="S580" t="s">
        <v>74</v>
      </c>
      <c r="T580" t="s">
        <v>74</v>
      </c>
      <c r="U580" t="s">
        <v>11164</v>
      </c>
      <c r="V580" t="s">
        <v>74</v>
      </c>
      <c r="W580" t="s">
        <v>11165</v>
      </c>
      <c r="X580" t="s">
        <v>11166</v>
      </c>
      <c r="Y580" t="s">
        <v>11167</v>
      </c>
      <c r="Z580" t="s">
        <v>11168</v>
      </c>
      <c r="AA580" t="s">
        <v>74</v>
      </c>
      <c r="AB580" t="s">
        <v>11169</v>
      </c>
      <c r="AC580" t="s">
        <v>11170</v>
      </c>
      <c r="AD580" t="s">
        <v>11170</v>
      </c>
      <c r="AE580" t="s">
        <v>11171</v>
      </c>
      <c r="AF580" t="s">
        <v>74</v>
      </c>
      <c r="AG580">
        <v>10</v>
      </c>
      <c r="AH580">
        <v>0</v>
      </c>
      <c r="AI580">
        <v>0</v>
      </c>
      <c r="AJ580">
        <v>1</v>
      </c>
      <c r="AK580">
        <v>1</v>
      </c>
      <c r="AL580" t="s">
        <v>87</v>
      </c>
      <c r="AM580" t="s">
        <v>88</v>
      </c>
      <c r="AN580" t="s">
        <v>89</v>
      </c>
      <c r="AO580" t="s">
        <v>11172</v>
      </c>
      <c r="AP580" t="s">
        <v>11173</v>
      </c>
      <c r="AQ580" t="s">
        <v>74</v>
      </c>
      <c r="AR580" t="s">
        <v>11174</v>
      </c>
      <c r="AS580" t="s">
        <v>11175</v>
      </c>
      <c r="AT580" t="s">
        <v>10952</v>
      </c>
      <c r="AU580">
        <v>2023</v>
      </c>
      <c r="AV580" t="s">
        <v>74</v>
      </c>
      <c r="AW580" t="s">
        <v>74</v>
      </c>
      <c r="AX580" t="s">
        <v>74</v>
      </c>
      <c r="AY580" t="s">
        <v>74</v>
      </c>
      <c r="AZ580" t="s">
        <v>74</v>
      </c>
      <c r="BA580" t="s">
        <v>74</v>
      </c>
      <c r="BB580" t="s">
        <v>74</v>
      </c>
      <c r="BC580" t="s">
        <v>74</v>
      </c>
      <c r="BD580" t="s">
        <v>74</v>
      </c>
      <c r="BE580" t="s">
        <v>11176</v>
      </c>
      <c r="BF580" t="str">
        <f>HYPERLINK("http://dx.doi.org/10.1111/ejh.14085","http://dx.doi.org/10.1111/ejh.14085")</f>
        <v>http://dx.doi.org/10.1111/ejh.14085</v>
      </c>
      <c r="BG580" t="s">
        <v>74</v>
      </c>
      <c r="BH580" t="s">
        <v>7524</v>
      </c>
      <c r="BI580">
        <v>3</v>
      </c>
      <c r="BJ580" t="s">
        <v>1625</v>
      </c>
      <c r="BK580" t="s">
        <v>119</v>
      </c>
      <c r="BL580" t="s">
        <v>1625</v>
      </c>
      <c r="BM580" t="s">
        <v>11177</v>
      </c>
      <c r="BN580">
        <v>37587772</v>
      </c>
      <c r="BO580" t="s">
        <v>74</v>
      </c>
      <c r="BP580" t="s">
        <v>74</v>
      </c>
      <c r="BQ580" t="s">
        <v>74</v>
      </c>
      <c r="BR580" t="s">
        <v>99</v>
      </c>
      <c r="BS580" t="s">
        <v>11178</v>
      </c>
      <c r="BT580" t="str">
        <f>HYPERLINK("https%3A%2F%2Fwww.webofscience.com%2Fwos%2Fwoscc%2Ffull-record%2FWOS:001049867900001","View Full Record in Web of Science")</f>
        <v>View Full Record in Web of Science</v>
      </c>
    </row>
    <row r="581" spans="1:72" x14ac:dyDescent="0.15">
      <c r="A581" t="s">
        <v>72</v>
      </c>
      <c r="B581" t="s">
        <v>11179</v>
      </c>
      <c r="C581" t="s">
        <v>74</v>
      </c>
      <c r="D581" t="s">
        <v>74</v>
      </c>
      <c r="E581" t="s">
        <v>74</v>
      </c>
      <c r="F581" t="s">
        <v>11180</v>
      </c>
      <c r="G581" t="s">
        <v>74</v>
      </c>
      <c r="H581" t="s">
        <v>74</v>
      </c>
      <c r="I581" t="s">
        <v>11181</v>
      </c>
      <c r="J581" t="s">
        <v>11182</v>
      </c>
      <c r="K581" t="s">
        <v>74</v>
      </c>
      <c r="L581" t="s">
        <v>74</v>
      </c>
      <c r="M581" t="s">
        <v>78</v>
      </c>
      <c r="N581" t="s">
        <v>338</v>
      </c>
      <c r="O581" t="s">
        <v>74</v>
      </c>
      <c r="P581" t="s">
        <v>74</v>
      </c>
      <c r="Q581" t="s">
        <v>74</v>
      </c>
      <c r="R581" t="s">
        <v>74</v>
      </c>
      <c r="S581" t="s">
        <v>74</v>
      </c>
      <c r="T581" t="s">
        <v>11183</v>
      </c>
      <c r="U581" t="s">
        <v>11184</v>
      </c>
      <c r="V581" t="s">
        <v>11185</v>
      </c>
      <c r="W581" t="s">
        <v>11186</v>
      </c>
      <c r="X581" t="s">
        <v>11187</v>
      </c>
      <c r="Y581" t="s">
        <v>11188</v>
      </c>
      <c r="Z581" t="s">
        <v>11189</v>
      </c>
      <c r="AA581" t="s">
        <v>74</v>
      </c>
      <c r="AB581" t="s">
        <v>11190</v>
      </c>
      <c r="AC581" t="s">
        <v>11191</v>
      </c>
      <c r="AD581" t="s">
        <v>11192</v>
      </c>
      <c r="AE581" t="s">
        <v>11191</v>
      </c>
      <c r="AF581" t="s">
        <v>74</v>
      </c>
      <c r="AG581">
        <v>72</v>
      </c>
      <c r="AH581">
        <v>0</v>
      </c>
      <c r="AI581">
        <v>0</v>
      </c>
      <c r="AJ581">
        <v>0</v>
      </c>
      <c r="AK581">
        <v>0</v>
      </c>
      <c r="AL581" t="s">
        <v>87</v>
      </c>
      <c r="AM581" t="s">
        <v>88</v>
      </c>
      <c r="AN581" t="s">
        <v>89</v>
      </c>
      <c r="AO581" t="s">
        <v>11193</v>
      </c>
      <c r="AP581" t="s">
        <v>11194</v>
      </c>
      <c r="AQ581" t="s">
        <v>74</v>
      </c>
      <c r="AR581" t="s">
        <v>11195</v>
      </c>
      <c r="AS581" t="s">
        <v>11196</v>
      </c>
      <c r="AT581" t="s">
        <v>10952</v>
      </c>
      <c r="AU581">
        <v>2023</v>
      </c>
      <c r="AV581" t="s">
        <v>74</v>
      </c>
      <c r="AW581" t="s">
        <v>74</v>
      </c>
      <c r="AX581" t="s">
        <v>74</v>
      </c>
      <c r="AY581" t="s">
        <v>74</v>
      </c>
      <c r="AZ581" t="s">
        <v>74</v>
      </c>
      <c r="BA581" t="s">
        <v>74</v>
      </c>
      <c r="BB581" t="s">
        <v>74</v>
      </c>
      <c r="BC581" t="s">
        <v>74</v>
      </c>
      <c r="BD581" t="s">
        <v>74</v>
      </c>
      <c r="BE581" t="s">
        <v>11197</v>
      </c>
      <c r="BF581" t="str">
        <f>HYPERLINK("http://dx.doi.org/10.1002/dta.3560","http://dx.doi.org/10.1002/dta.3560")</f>
        <v>http://dx.doi.org/10.1002/dta.3560</v>
      </c>
      <c r="BG581" t="s">
        <v>74</v>
      </c>
      <c r="BH581" t="s">
        <v>7524</v>
      </c>
      <c r="BI581">
        <v>16</v>
      </c>
      <c r="BJ581" t="s">
        <v>11198</v>
      </c>
      <c r="BK581" t="s">
        <v>119</v>
      </c>
      <c r="BL581" t="s">
        <v>11199</v>
      </c>
      <c r="BM581" t="s">
        <v>11200</v>
      </c>
      <c r="BN581">
        <v>37587559</v>
      </c>
      <c r="BO581" t="s">
        <v>122</v>
      </c>
      <c r="BP581" t="s">
        <v>74</v>
      </c>
      <c r="BQ581" t="s">
        <v>74</v>
      </c>
      <c r="BR581" t="s">
        <v>99</v>
      </c>
      <c r="BS581" t="s">
        <v>11201</v>
      </c>
      <c r="BT581" t="str">
        <f>HYPERLINK("https%3A%2F%2Fwww.webofscience.com%2Fwos%2Fwoscc%2Ffull-record%2FWOS:001049295100001","View Full Record in Web of Science")</f>
        <v>View Full Record in Web of Science</v>
      </c>
    </row>
    <row r="582" spans="1:72" x14ac:dyDescent="0.15">
      <c r="A582" t="s">
        <v>72</v>
      </c>
      <c r="B582" t="s">
        <v>11202</v>
      </c>
      <c r="C582" t="s">
        <v>74</v>
      </c>
      <c r="D582" t="s">
        <v>74</v>
      </c>
      <c r="E582" t="s">
        <v>74</v>
      </c>
      <c r="F582" t="s">
        <v>11203</v>
      </c>
      <c r="G582" t="s">
        <v>74</v>
      </c>
      <c r="H582" t="s">
        <v>74</v>
      </c>
      <c r="I582" t="s">
        <v>11204</v>
      </c>
      <c r="J582" t="s">
        <v>11205</v>
      </c>
      <c r="K582" t="s">
        <v>74</v>
      </c>
      <c r="L582" t="s">
        <v>74</v>
      </c>
      <c r="M582" t="s">
        <v>78</v>
      </c>
      <c r="N582" t="s">
        <v>79</v>
      </c>
      <c r="O582" t="s">
        <v>74</v>
      </c>
      <c r="P582" t="s">
        <v>74</v>
      </c>
      <c r="Q582" t="s">
        <v>74</v>
      </c>
      <c r="R582" t="s">
        <v>74</v>
      </c>
      <c r="S582" t="s">
        <v>74</v>
      </c>
      <c r="T582" t="s">
        <v>11206</v>
      </c>
      <c r="U582" t="s">
        <v>11207</v>
      </c>
      <c r="V582" t="s">
        <v>11208</v>
      </c>
      <c r="W582" t="s">
        <v>11209</v>
      </c>
      <c r="X582" t="s">
        <v>11210</v>
      </c>
      <c r="Y582" t="s">
        <v>11211</v>
      </c>
      <c r="Z582" t="s">
        <v>11212</v>
      </c>
      <c r="AA582" t="s">
        <v>11213</v>
      </c>
      <c r="AB582" t="s">
        <v>11214</v>
      </c>
      <c r="AC582" t="s">
        <v>74</v>
      </c>
      <c r="AD582" t="s">
        <v>74</v>
      </c>
      <c r="AE582" t="s">
        <v>74</v>
      </c>
      <c r="AF582" t="s">
        <v>74</v>
      </c>
      <c r="AG582">
        <v>35</v>
      </c>
      <c r="AH582">
        <v>0</v>
      </c>
      <c r="AI582">
        <v>0</v>
      </c>
      <c r="AJ582">
        <v>0</v>
      </c>
      <c r="AK582">
        <v>0</v>
      </c>
      <c r="AL582" t="s">
        <v>87</v>
      </c>
      <c r="AM582" t="s">
        <v>88</v>
      </c>
      <c r="AN582" t="s">
        <v>89</v>
      </c>
      <c r="AO582" t="s">
        <v>11215</v>
      </c>
      <c r="AP582" t="s">
        <v>74</v>
      </c>
      <c r="AQ582" t="s">
        <v>74</v>
      </c>
      <c r="AR582" t="s">
        <v>11216</v>
      </c>
      <c r="AS582" t="s">
        <v>11217</v>
      </c>
      <c r="AT582" t="s">
        <v>6725</v>
      </c>
      <c r="AU582">
        <v>2023</v>
      </c>
      <c r="AV582">
        <v>15</v>
      </c>
      <c r="AW582">
        <v>3</v>
      </c>
      <c r="AX582" t="s">
        <v>74</v>
      </c>
      <c r="AY582" t="s">
        <v>74</v>
      </c>
      <c r="AZ582" t="s">
        <v>74</v>
      </c>
      <c r="BA582" t="s">
        <v>74</v>
      </c>
      <c r="BB582">
        <v>359</v>
      </c>
      <c r="BC582">
        <v>372</v>
      </c>
      <c r="BD582" t="s">
        <v>74</v>
      </c>
      <c r="BE582" t="s">
        <v>11218</v>
      </c>
      <c r="BF582" t="str">
        <f>HYPERLINK("http://dx.doi.org/10.1002/pop4.379","http://dx.doi.org/10.1002/pop4.379")</f>
        <v>http://dx.doi.org/10.1002/pop4.379</v>
      </c>
      <c r="BG582" t="s">
        <v>74</v>
      </c>
      <c r="BH582" t="s">
        <v>7524</v>
      </c>
      <c r="BI582">
        <v>14</v>
      </c>
      <c r="BJ582" t="s">
        <v>11219</v>
      </c>
      <c r="BK582" t="s">
        <v>96</v>
      </c>
      <c r="BL582" t="s">
        <v>11219</v>
      </c>
      <c r="BM582" t="s">
        <v>11220</v>
      </c>
      <c r="BN582" t="s">
        <v>74</v>
      </c>
      <c r="BO582" t="s">
        <v>74</v>
      </c>
      <c r="BP582" t="s">
        <v>74</v>
      </c>
      <c r="BQ582" t="s">
        <v>74</v>
      </c>
      <c r="BR582" t="s">
        <v>99</v>
      </c>
      <c r="BS582" t="s">
        <v>11221</v>
      </c>
      <c r="BT582" t="str">
        <f>HYPERLINK("https%3A%2F%2Fwww.webofscience.com%2Fwos%2Fwoscc%2Ffull-record%2FWOS:001049273100001","View Full Record in Web of Science")</f>
        <v>View Full Record in Web of Science</v>
      </c>
    </row>
    <row r="583" spans="1:72" x14ac:dyDescent="0.15">
      <c r="A583" t="s">
        <v>72</v>
      </c>
      <c r="B583" t="s">
        <v>11222</v>
      </c>
      <c r="C583" t="s">
        <v>74</v>
      </c>
      <c r="D583" t="s">
        <v>74</v>
      </c>
      <c r="E583" t="s">
        <v>74</v>
      </c>
      <c r="F583" t="s">
        <v>11223</v>
      </c>
      <c r="G583" t="s">
        <v>74</v>
      </c>
      <c r="H583" t="s">
        <v>74</v>
      </c>
      <c r="I583" t="s">
        <v>11224</v>
      </c>
      <c r="J583" t="s">
        <v>504</v>
      </c>
      <c r="K583" t="s">
        <v>74</v>
      </c>
      <c r="L583" t="s">
        <v>74</v>
      </c>
      <c r="M583" t="s">
        <v>78</v>
      </c>
      <c r="N583" t="s">
        <v>338</v>
      </c>
      <c r="O583" t="s">
        <v>74</v>
      </c>
      <c r="P583" t="s">
        <v>74</v>
      </c>
      <c r="Q583" t="s">
        <v>74</v>
      </c>
      <c r="R583" t="s">
        <v>74</v>
      </c>
      <c r="S583" t="s">
        <v>74</v>
      </c>
      <c r="T583" t="s">
        <v>11225</v>
      </c>
      <c r="U583" t="s">
        <v>11226</v>
      </c>
      <c r="V583" t="s">
        <v>11227</v>
      </c>
      <c r="W583" t="s">
        <v>11228</v>
      </c>
      <c r="X583" t="s">
        <v>11229</v>
      </c>
      <c r="Y583" t="s">
        <v>11230</v>
      </c>
      <c r="Z583" t="s">
        <v>11231</v>
      </c>
      <c r="AA583" t="s">
        <v>74</v>
      </c>
      <c r="AB583" t="s">
        <v>74</v>
      </c>
      <c r="AC583" t="s">
        <v>11232</v>
      </c>
      <c r="AD583" t="s">
        <v>11233</v>
      </c>
      <c r="AE583" t="s">
        <v>11234</v>
      </c>
      <c r="AF583" t="s">
        <v>74</v>
      </c>
      <c r="AG583">
        <v>62</v>
      </c>
      <c r="AH583">
        <v>0</v>
      </c>
      <c r="AI583">
        <v>0</v>
      </c>
      <c r="AJ583">
        <v>2</v>
      </c>
      <c r="AK583">
        <v>2</v>
      </c>
      <c r="AL583" t="s">
        <v>87</v>
      </c>
      <c r="AM583" t="s">
        <v>88</v>
      </c>
      <c r="AN583" t="s">
        <v>89</v>
      </c>
      <c r="AO583" t="s">
        <v>517</v>
      </c>
      <c r="AP583" t="s">
        <v>518</v>
      </c>
      <c r="AQ583" t="s">
        <v>74</v>
      </c>
      <c r="AR583" t="s">
        <v>519</v>
      </c>
      <c r="AS583" t="s">
        <v>520</v>
      </c>
      <c r="AT583" t="s">
        <v>10952</v>
      </c>
      <c r="AU583">
        <v>2023</v>
      </c>
      <c r="AV583" t="s">
        <v>74</v>
      </c>
      <c r="AW583" t="s">
        <v>74</v>
      </c>
      <c r="AX583" t="s">
        <v>74</v>
      </c>
      <c r="AY583" t="s">
        <v>74</v>
      </c>
      <c r="AZ583" t="s">
        <v>74</v>
      </c>
      <c r="BA583" t="s">
        <v>74</v>
      </c>
      <c r="BB583" t="s">
        <v>74</v>
      </c>
      <c r="BC583" t="s">
        <v>74</v>
      </c>
      <c r="BD583" t="s">
        <v>74</v>
      </c>
      <c r="BE583" t="s">
        <v>11235</v>
      </c>
      <c r="BF583" t="str">
        <f>HYPERLINK("http://dx.doi.org/10.1002/jcc.27200","http://dx.doi.org/10.1002/jcc.27200")</f>
        <v>http://dx.doi.org/10.1002/jcc.27200</v>
      </c>
      <c r="BG583" t="s">
        <v>74</v>
      </c>
      <c r="BH583" t="s">
        <v>7524</v>
      </c>
      <c r="BI583">
        <v>15</v>
      </c>
      <c r="BJ583" t="s">
        <v>523</v>
      </c>
      <c r="BK583" t="s">
        <v>119</v>
      </c>
      <c r="BL583" t="s">
        <v>524</v>
      </c>
      <c r="BM583" t="s">
        <v>11236</v>
      </c>
      <c r="BN583">
        <v>37585026</v>
      </c>
      <c r="BO583" t="s">
        <v>74</v>
      </c>
      <c r="BP583" t="s">
        <v>74</v>
      </c>
      <c r="BQ583" t="s">
        <v>74</v>
      </c>
      <c r="BR583" t="s">
        <v>99</v>
      </c>
      <c r="BS583" t="s">
        <v>11237</v>
      </c>
      <c r="BT583" t="str">
        <f>HYPERLINK("https%3A%2F%2Fwww.webofscience.com%2Fwos%2Fwoscc%2Ffull-record%2FWOS:001049863200001","View Full Record in Web of Science")</f>
        <v>View Full Record in Web of Science</v>
      </c>
    </row>
    <row r="584" spans="1:72" x14ac:dyDescent="0.15">
      <c r="A584" t="s">
        <v>72</v>
      </c>
      <c r="B584" t="s">
        <v>11238</v>
      </c>
      <c r="C584" t="s">
        <v>74</v>
      </c>
      <c r="D584" t="s">
        <v>74</v>
      </c>
      <c r="E584" t="s">
        <v>74</v>
      </c>
      <c r="F584" t="s">
        <v>11239</v>
      </c>
      <c r="G584" t="s">
        <v>74</v>
      </c>
      <c r="H584" t="s">
        <v>74</v>
      </c>
      <c r="I584" t="s">
        <v>11240</v>
      </c>
      <c r="J584" t="s">
        <v>6255</v>
      </c>
      <c r="K584" t="s">
        <v>74</v>
      </c>
      <c r="L584" t="s">
        <v>74</v>
      </c>
      <c r="M584" t="s">
        <v>78</v>
      </c>
      <c r="N584" t="s">
        <v>338</v>
      </c>
      <c r="O584" t="s">
        <v>74</v>
      </c>
      <c r="P584" t="s">
        <v>74</v>
      </c>
      <c r="Q584" t="s">
        <v>74</v>
      </c>
      <c r="R584" t="s">
        <v>74</v>
      </c>
      <c r="S584" t="s">
        <v>74</v>
      </c>
      <c r="T584" t="s">
        <v>74</v>
      </c>
      <c r="U584" t="s">
        <v>11241</v>
      </c>
      <c r="V584" t="s">
        <v>11242</v>
      </c>
      <c r="W584" t="s">
        <v>11243</v>
      </c>
      <c r="X584" t="s">
        <v>11244</v>
      </c>
      <c r="Y584" t="s">
        <v>11245</v>
      </c>
      <c r="Z584" t="s">
        <v>11246</v>
      </c>
      <c r="AA584" t="s">
        <v>11247</v>
      </c>
      <c r="AB584" t="s">
        <v>11248</v>
      </c>
      <c r="AC584" t="s">
        <v>11249</v>
      </c>
      <c r="AD584" t="s">
        <v>11250</v>
      </c>
      <c r="AE584" t="s">
        <v>11251</v>
      </c>
      <c r="AF584" t="s">
        <v>74</v>
      </c>
      <c r="AG584">
        <v>45</v>
      </c>
      <c r="AH584">
        <v>0</v>
      </c>
      <c r="AI584">
        <v>0</v>
      </c>
      <c r="AJ584">
        <v>0</v>
      </c>
      <c r="AK584">
        <v>0</v>
      </c>
      <c r="AL584" t="s">
        <v>87</v>
      </c>
      <c r="AM584" t="s">
        <v>88</v>
      </c>
      <c r="AN584" t="s">
        <v>89</v>
      </c>
      <c r="AO584" t="s">
        <v>6263</v>
      </c>
      <c r="AP584" t="s">
        <v>6264</v>
      </c>
      <c r="AQ584" t="s">
        <v>74</v>
      </c>
      <c r="AR584" t="s">
        <v>6255</v>
      </c>
      <c r="AS584" t="s">
        <v>6265</v>
      </c>
      <c r="AT584" t="s">
        <v>10952</v>
      </c>
      <c r="AU584">
        <v>2023</v>
      </c>
      <c r="AV584" t="s">
        <v>74</v>
      </c>
      <c r="AW584" t="s">
        <v>74</v>
      </c>
      <c r="AX584" t="s">
        <v>74</v>
      </c>
      <c r="AY584" t="s">
        <v>74</v>
      </c>
      <c r="AZ584" t="s">
        <v>74</v>
      </c>
      <c r="BA584" t="s">
        <v>74</v>
      </c>
      <c r="BB584" t="s">
        <v>74</v>
      </c>
      <c r="BC584" t="s">
        <v>74</v>
      </c>
      <c r="BD584" t="s">
        <v>74</v>
      </c>
      <c r="BE584" t="s">
        <v>11252</v>
      </c>
      <c r="BF584" t="str">
        <f>HYPERLINK("http://dx.doi.org/10.1002/oby.23864","http://dx.doi.org/10.1002/oby.23864")</f>
        <v>http://dx.doi.org/10.1002/oby.23864</v>
      </c>
      <c r="BG584" t="s">
        <v>74</v>
      </c>
      <c r="BH584" t="s">
        <v>7524</v>
      </c>
      <c r="BI584">
        <v>13</v>
      </c>
      <c r="BJ584" t="s">
        <v>6267</v>
      </c>
      <c r="BK584" t="s">
        <v>119</v>
      </c>
      <c r="BL584" t="s">
        <v>6267</v>
      </c>
      <c r="BM584" t="s">
        <v>11253</v>
      </c>
      <c r="BN584">
        <v>37587639</v>
      </c>
      <c r="BO584" t="s">
        <v>122</v>
      </c>
      <c r="BP584" t="s">
        <v>74</v>
      </c>
      <c r="BQ584" t="s">
        <v>74</v>
      </c>
      <c r="BR584" t="s">
        <v>99</v>
      </c>
      <c r="BS584" t="s">
        <v>11254</v>
      </c>
      <c r="BT584" t="str">
        <f>HYPERLINK("https%3A%2F%2Fwww.webofscience.com%2Fwos%2Fwoscc%2Ffull-record%2FWOS:001050937500001","View Full Record in Web of Science")</f>
        <v>View Full Record in Web of Science</v>
      </c>
    </row>
    <row r="585" spans="1:72" x14ac:dyDescent="0.15">
      <c r="A585" t="s">
        <v>72</v>
      </c>
      <c r="B585" t="s">
        <v>11255</v>
      </c>
      <c r="C585" t="s">
        <v>74</v>
      </c>
      <c r="D585" t="s">
        <v>74</v>
      </c>
      <c r="E585" t="s">
        <v>74</v>
      </c>
      <c r="F585" t="s">
        <v>11256</v>
      </c>
      <c r="G585" t="s">
        <v>74</v>
      </c>
      <c r="H585" t="s">
        <v>74</v>
      </c>
      <c r="I585" t="s">
        <v>11257</v>
      </c>
      <c r="J585" t="s">
        <v>11258</v>
      </c>
      <c r="K585" t="s">
        <v>74</v>
      </c>
      <c r="L585" t="s">
        <v>74</v>
      </c>
      <c r="M585" t="s">
        <v>78</v>
      </c>
      <c r="N585" t="s">
        <v>338</v>
      </c>
      <c r="O585" t="s">
        <v>74</v>
      </c>
      <c r="P585" t="s">
        <v>74</v>
      </c>
      <c r="Q585" t="s">
        <v>74</v>
      </c>
      <c r="R585" t="s">
        <v>74</v>
      </c>
      <c r="S585" t="s">
        <v>74</v>
      </c>
      <c r="T585" t="s">
        <v>11259</v>
      </c>
      <c r="U585" t="s">
        <v>11260</v>
      </c>
      <c r="V585" t="s">
        <v>11261</v>
      </c>
      <c r="W585" t="s">
        <v>11262</v>
      </c>
      <c r="X585" t="s">
        <v>11263</v>
      </c>
      <c r="Y585" t="s">
        <v>11264</v>
      </c>
      <c r="Z585" t="s">
        <v>11265</v>
      </c>
      <c r="AA585" t="s">
        <v>74</v>
      </c>
      <c r="AB585" t="s">
        <v>11266</v>
      </c>
      <c r="AC585" t="s">
        <v>74</v>
      </c>
      <c r="AD585" t="s">
        <v>74</v>
      </c>
      <c r="AE585" t="s">
        <v>74</v>
      </c>
      <c r="AF585" t="s">
        <v>74</v>
      </c>
      <c r="AG585">
        <v>50</v>
      </c>
      <c r="AH585">
        <v>0</v>
      </c>
      <c r="AI585">
        <v>0</v>
      </c>
      <c r="AJ585">
        <v>2</v>
      </c>
      <c r="AK585">
        <v>2</v>
      </c>
      <c r="AL585" t="s">
        <v>426</v>
      </c>
      <c r="AM585" t="s">
        <v>427</v>
      </c>
      <c r="AN585" t="s">
        <v>428</v>
      </c>
      <c r="AO585" t="s">
        <v>11267</v>
      </c>
      <c r="AP585" t="s">
        <v>11268</v>
      </c>
      <c r="AQ585" t="s">
        <v>74</v>
      </c>
      <c r="AR585" t="s">
        <v>11269</v>
      </c>
      <c r="AS585" t="s">
        <v>11270</v>
      </c>
      <c r="AT585" t="s">
        <v>10952</v>
      </c>
      <c r="AU585">
        <v>2023</v>
      </c>
      <c r="AV585" t="s">
        <v>74</v>
      </c>
      <c r="AW585" t="s">
        <v>74</v>
      </c>
      <c r="AX585" t="s">
        <v>74</v>
      </c>
      <c r="AY585" t="s">
        <v>74</v>
      </c>
      <c r="AZ585" t="s">
        <v>74</v>
      </c>
      <c r="BA585" t="s">
        <v>74</v>
      </c>
      <c r="BB585" t="s">
        <v>74</v>
      </c>
      <c r="BC585" t="s">
        <v>74</v>
      </c>
      <c r="BD585" t="s">
        <v>74</v>
      </c>
      <c r="BE585" t="s">
        <v>11271</v>
      </c>
      <c r="BF585" t="str">
        <f>HYPERLINK("http://dx.doi.org/10.1002/cbdv.202300460","http://dx.doi.org/10.1002/cbdv.202300460")</f>
        <v>http://dx.doi.org/10.1002/cbdv.202300460</v>
      </c>
      <c r="BG585" t="s">
        <v>74</v>
      </c>
      <c r="BH585" t="s">
        <v>7524</v>
      </c>
      <c r="BI585">
        <v>10</v>
      </c>
      <c r="BJ585" t="s">
        <v>11272</v>
      </c>
      <c r="BK585" t="s">
        <v>119</v>
      </c>
      <c r="BL585" t="s">
        <v>11273</v>
      </c>
      <c r="BM585" t="s">
        <v>11274</v>
      </c>
      <c r="BN585">
        <v>37477635</v>
      </c>
      <c r="BO585" t="s">
        <v>301</v>
      </c>
      <c r="BP585" t="s">
        <v>74</v>
      </c>
      <c r="BQ585" t="s">
        <v>74</v>
      </c>
      <c r="BR585" t="s">
        <v>99</v>
      </c>
      <c r="BS585" t="s">
        <v>11275</v>
      </c>
      <c r="BT585" t="str">
        <f>HYPERLINK("https%3A%2F%2Fwww.webofscience.com%2Fwos%2Fwoscc%2Ffull-record%2FWOS:001049316100001","View Full Record in Web of Science")</f>
        <v>View Full Record in Web of Science</v>
      </c>
    </row>
    <row r="586" spans="1:72" x14ac:dyDescent="0.15">
      <c r="A586" t="s">
        <v>72</v>
      </c>
      <c r="B586" t="s">
        <v>11276</v>
      </c>
      <c r="C586" t="s">
        <v>74</v>
      </c>
      <c r="D586" t="s">
        <v>74</v>
      </c>
      <c r="E586" t="s">
        <v>74</v>
      </c>
      <c r="F586" t="s">
        <v>11277</v>
      </c>
      <c r="G586" t="s">
        <v>74</v>
      </c>
      <c r="H586" t="s">
        <v>74</v>
      </c>
      <c r="I586" t="s">
        <v>11278</v>
      </c>
      <c r="J586" t="s">
        <v>11279</v>
      </c>
      <c r="K586" t="s">
        <v>74</v>
      </c>
      <c r="L586" t="s">
        <v>74</v>
      </c>
      <c r="M586" t="s">
        <v>78</v>
      </c>
      <c r="N586" t="s">
        <v>2419</v>
      </c>
      <c r="O586" t="s">
        <v>74</v>
      </c>
      <c r="P586" t="s">
        <v>74</v>
      </c>
      <c r="Q586" t="s">
        <v>74</v>
      </c>
      <c r="R586" t="s">
        <v>74</v>
      </c>
      <c r="S586" t="s">
        <v>74</v>
      </c>
      <c r="T586" t="s">
        <v>74</v>
      </c>
      <c r="U586" t="s">
        <v>74</v>
      </c>
      <c r="V586" t="s">
        <v>74</v>
      </c>
      <c r="W586" t="s">
        <v>11280</v>
      </c>
      <c r="X586" t="s">
        <v>11281</v>
      </c>
      <c r="Y586" t="s">
        <v>11282</v>
      </c>
      <c r="Z586" t="s">
        <v>74</v>
      </c>
      <c r="AA586" t="s">
        <v>74</v>
      </c>
      <c r="AB586" t="s">
        <v>74</v>
      </c>
      <c r="AC586" t="s">
        <v>74</v>
      </c>
      <c r="AD586" t="s">
        <v>74</v>
      </c>
      <c r="AE586" t="s">
        <v>74</v>
      </c>
      <c r="AF586" t="s">
        <v>74</v>
      </c>
      <c r="AG586">
        <v>1</v>
      </c>
      <c r="AH586">
        <v>0</v>
      </c>
      <c r="AI586">
        <v>0</v>
      </c>
      <c r="AJ586">
        <v>0</v>
      </c>
      <c r="AK586">
        <v>0</v>
      </c>
      <c r="AL586" t="s">
        <v>87</v>
      </c>
      <c r="AM586" t="s">
        <v>88</v>
      </c>
      <c r="AN586" t="s">
        <v>89</v>
      </c>
      <c r="AO586" t="s">
        <v>11283</v>
      </c>
      <c r="AP586" t="s">
        <v>11284</v>
      </c>
      <c r="AQ586" t="s">
        <v>74</v>
      </c>
      <c r="AR586" t="s">
        <v>11285</v>
      </c>
      <c r="AS586" t="s">
        <v>11286</v>
      </c>
      <c r="AT586" t="s">
        <v>10952</v>
      </c>
      <c r="AU586">
        <v>2023</v>
      </c>
      <c r="AV586" t="s">
        <v>74</v>
      </c>
      <c r="AW586" t="s">
        <v>74</v>
      </c>
      <c r="AX586" t="s">
        <v>74</v>
      </c>
      <c r="AY586" t="s">
        <v>74</v>
      </c>
      <c r="AZ586" t="s">
        <v>74</v>
      </c>
      <c r="BA586" t="s">
        <v>74</v>
      </c>
      <c r="BB586" t="s">
        <v>74</v>
      </c>
      <c r="BC586" t="s">
        <v>74</v>
      </c>
      <c r="BD586" t="s">
        <v>74</v>
      </c>
      <c r="BE586" t="s">
        <v>11287</v>
      </c>
      <c r="BF586" t="str">
        <f>HYPERLINK("http://dx.doi.org/10.1111/1468-229X.13367","http://dx.doi.org/10.1111/1468-229X.13367")</f>
        <v>http://dx.doi.org/10.1111/1468-229X.13367</v>
      </c>
      <c r="BG586" t="s">
        <v>74</v>
      </c>
      <c r="BH586" t="s">
        <v>7524</v>
      </c>
      <c r="BI586">
        <v>2</v>
      </c>
      <c r="BJ586" t="s">
        <v>11286</v>
      </c>
      <c r="BK586" t="s">
        <v>498</v>
      </c>
      <c r="BL586" t="s">
        <v>11286</v>
      </c>
      <c r="BM586" t="s">
        <v>11288</v>
      </c>
      <c r="BN586" t="s">
        <v>74</v>
      </c>
      <c r="BO586" t="s">
        <v>301</v>
      </c>
      <c r="BP586" t="s">
        <v>74</v>
      </c>
      <c r="BQ586" t="s">
        <v>74</v>
      </c>
      <c r="BR586" t="s">
        <v>99</v>
      </c>
      <c r="BS586" t="s">
        <v>11289</v>
      </c>
      <c r="BT586" t="str">
        <f>HYPERLINK("https%3A%2F%2Fwww.webofscience.com%2Fwos%2Fwoscc%2Ffull-record%2FWOS:001049877500001","View Full Record in Web of Science")</f>
        <v>View Full Record in Web of Science</v>
      </c>
    </row>
    <row r="587" spans="1:72" x14ac:dyDescent="0.15">
      <c r="A587" t="s">
        <v>72</v>
      </c>
      <c r="B587" t="s">
        <v>11290</v>
      </c>
      <c r="C587" t="s">
        <v>74</v>
      </c>
      <c r="D587" t="s">
        <v>74</v>
      </c>
      <c r="E587" t="s">
        <v>74</v>
      </c>
      <c r="F587" t="s">
        <v>11291</v>
      </c>
      <c r="G587" t="s">
        <v>74</v>
      </c>
      <c r="H587" t="s">
        <v>74</v>
      </c>
      <c r="I587" t="s">
        <v>11292</v>
      </c>
      <c r="J587" t="s">
        <v>11293</v>
      </c>
      <c r="K587" t="s">
        <v>74</v>
      </c>
      <c r="L587" t="s">
        <v>74</v>
      </c>
      <c r="M587" t="s">
        <v>78</v>
      </c>
      <c r="N587" t="s">
        <v>307</v>
      </c>
      <c r="O587" t="s">
        <v>74</v>
      </c>
      <c r="P587" t="s">
        <v>74</v>
      </c>
      <c r="Q587" t="s">
        <v>74</v>
      </c>
      <c r="R587" t="s">
        <v>74</v>
      </c>
      <c r="S587" t="s">
        <v>74</v>
      </c>
      <c r="T587" t="s">
        <v>74</v>
      </c>
      <c r="U587" t="s">
        <v>74</v>
      </c>
      <c r="V587" t="s">
        <v>74</v>
      </c>
      <c r="W587" t="s">
        <v>11294</v>
      </c>
      <c r="X587" t="s">
        <v>11295</v>
      </c>
      <c r="Y587" t="s">
        <v>11296</v>
      </c>
      <c r="Z587" t="s">
        <v>11297</v>
      </c>
      <c r="AA587" t="s">
        <v>74</v>
      </c>
      <c r="AB587" t="s">
        <v>74</v>
      </c>
      <c r="AC587" t="s">
        <v>74</v>
      </c>
      <c r="AD587" t="s">
        <v>74</v>
      </c>
      <c r="AE587" t="s">
        <v>74</v>
      </c>
      <c r="AF587" t="s">
        <v>74</v>
      </c>
      <c r="AG587">
        <v>0</v>
      </c>
      <c r="AH587">
        <v>0</v>
      </c>
      <c r="AI587">
        <v>0</v>
      </c>
      <c r="AJ587">
        <v>0</v>
      </c>
      <c r="AK587">
        <v>0</v>
      </c>
      <c r="AL587" t="s">
        <v>87</v>
      </c>
      <c r="AM587" t="s">
        <v>88</v>
      </c>
      <c r="AN587" t="s">
        <v>89</v>
      </c>
      <c r="AO587" t="s">
        <v>11298</v>
      </c>
      <c r="AP587" t="s">
        <v>11299</v>
      </c>
      <c r="AQ587" t="s">
        <v>74</v>
      </c>
      <c r="AR587" t="s">
        <v>11300</v>
      </c>
      <c r="AS587" t="s">
        <v>11301</v>
      </c>
      <c r="AT587" t="s">
        <v>11302</v>
      </c>
      <c r="AU587">
        <v>2023</v>
      </c>
      <c r="AV587">
        <v>17</v>
      </c>
      <c r="AW587">
        <v>5</v>
      </c>
      <c r="AX587" t="s">
        <v>74</v>
      </c>
      <c r="AY587" t="s">
        <v>74</v>
      </c>
      <c r="AZ587" t="s">
        <v>9665</v>
      </c>
      <c r="BA587" t="s">
        <v>74</v>
      </c>
      <c r="BB587">
        <v>509</v>
      </c>
      <c r="BC587">
        <v>512</v>
      </c>
      <c r="BD587" t="s">
        <v>74</v>
      </c>
      <c r="BE587" t="s">
        <v>11303</v>
      </c>
      <c r="BF587" t="str">
        <f>HYPERLINK("http://dx.doi.org/10.1049/cvi2.12229","http://dx.doi.org/10.1049/cvi2.12229")</f>
        <v>http://dx.doi.org/10.1049/cvi2.12229</v>
      </c>
      <c r="BG587" t="s">
        <v>74</v>
      </c>
      <c r="BH587" t="s">
        <v>7524</v>
      </c>
      <c r="BI587">
        <v>4</v>
      </c>
      <c r="BJ587" t="s">
        <v>11304</v>
      </c>
      <c r="BK587" t="s">
        <v>119</v>
      </c>
      <c r="BL587" t="s">
        <v>3036</v>
      </c>
      <c r="BM587" t="s">
        <v>11305</v>
      </c>
      <c r="BN587" t="s">
        <v>74</v>
      </c>
      <c r="BO587" t="s">
        <v>234</v>
      </c>
      <c r="BP587" t="s">
        <v>74</v>
      </c>
      <c r="BQ587" t="s">
        <v>74</v>
      </c>
      <c r="BR587" t="s">
        <v>99</v>
      </c>
      <c r="BS587" t="s">
        <v>11306</v>
      </c>
      <c r="BT587" t="str">
        <f>HYPERLINK("https%3A%2F%2Fwww.webofscience.com%2Fwos%2Fwoscc%2Ffull-record%2FWOS:001049890900001","View Full Record in Web of Science")</f>
        <v>View Full Record in Web of Science</v>
      </c>
    </row>
    <row r="588" spans="1:72" x14ac:dyDescent="0.15">
      <c r="A588" t="s">
        <v>72</v>
      </c>
      <c r="B588" t="s">
        <v>11307</v>
      </c>
      <c r="C588" t="s">
        <v>74</v>
      </c>
      <c r="D588" t="s">
        <v>74</v>
      </c>
      <c r="E588" t="s">
        <v>74</v>
      </c>
      <c r="F588" t="s">
        <v>11307</v>
      </c>
      <c r="G588" t="s">
        <v>74</v>
      </c>
      <c r="H588" t="s">
        <v>74</v>
      </c>
      <c r="I588" t="s">
        <v>11308</v>
      </c>
      <c r="J588" t="s">
        <v>6335</v>
      </c>
      <c r="K588" t="s">
        <v>74</v>
      </c>
      <c r="L588" t="s">
        <v>74</v>
      </c>
      <c r="M588" t="s">
        <v>78</v>
      </c>
      <c r="N588" t="s">
        <v>338</v>
      </c>
      <c r="O588" t="s">
        <v>74</v>
      </c>
      <c r="P588" t="s">
        <v>74</v>
      </c>
      <c r="Q588" t="s">
        <v>74</v>
      </c>
      <c r="R588" t="s">
        <v>74</v>
      </c>
      <c r="S588" t="s">
        <v>74</v>
      </c>
      <c r="T588" t="s">
        <v>74</v>
      </c>
      <c r="U588" t="s">
        <v>11309</v>
      </c>
      <c r="V588" t="s">
        <v>74</v>
      </c>
      <c r="W588" t="s">
        <v>74</v>
      </c>
      <c r="X588" t="s">
        <v>74</v>
      </c>
      <c r="Y588" t="s">
        <v>74</v>
      </c>
      <c r="Z588" t="s">
        <v>74</v>
      </c>
      <c r="AA588" t="s">
        <v>74</v>
      </c>
      <c r="AB588" t="s">
        <v>74</v>
      </c>
      <c r="AC588" t="s">
        <v>74</v>
      </c>
      <c r="AD588" t="s">
        <v>74</v>
      </c>
      <c r="AE588" t="s">
        <v>74</v>
      </c>
      <c r="AF588" t="s">
        <v>74</v>
      </c>
      <c r="AG588">
        <v>60</v>
      </c>
      <c r="AH588">
        <v>0</v>
      </c>
      <c r="AI588">
        <v>0</v>
      </c>
      <c r="AJ588">
        <v>2</v>
      </c>
      <c r="AK588">
        <v>2</v>
      </c>
      <c r="AL588" t="s">
        <v>87</v>
      </c>
      <c r="AM588" t="s">
        <v>88</v>
      </c>
      <c r="AN588" t="s">
        <v>89</v>
      </c>
      <c r="AO588" t="s">
        <v>6347</v>
      </c>
      <c r="AP588" t="s">
        <v>6348</v>
      </c>
      <c r="AQ588" t="s">
        <v>74</v>
      </c>
      <c r="AR588" t="s">
        <v>6349</v>
      </c>
      <c r="AS588" t="s">
        <v>6350</v>
      </c>
      <c r="AT588" t="s">
        <v>10952</v>
      </c>
      <c r="AU588">
        <v>2023</v>
      </c>
      <c r="AV588" t="s">
        <v>74</v>
      </c>
      <c r="AW588" t="s">
        <v>74</v>
      </c>
      <c r="AX588" t="s">
        <v>74</v>
      </c>
      <c r="AY588" t="s">
        <v>74</v>
      </c>
      <c r="AZ588" t="s">
        <v>74</v>
      </c>
      <c r="BA588" t="s">
        <v>74</v>
      </c>
      <c r="BB588" t="s">
        <v>74</v>
      </c>
      <c r="BC588" t="s">
        <v>74</v>
      </c>
      <c r="BD588" t="s">
        <v>74</v>
      </c>
      <c r="BE588" t="s">
        <v>11310</v>
      </c>
      <c r="BF588" t="str">
        <f>HYPERLINK("http://dx.doi.org/10.1002/jum.16315","http://dx.doi.org/10.1002/jum.16315")</f>
        <v>http://dx.doi.org/10.1002/jum.16315</v>
      </c>
      <c r="BG588" t="s">
        <v>74</v>
      </c>
      <c r="BH588" t="s">
        <v>7524</v>
      </c>
      <c r="BI588">
        <v>6</v>
      </c>
      <c r="BJ588" t="s">
        <v>2245</v>
      </c>
      <c r="BK588" t="s">
        <v>119</v>
      </c>
      <c r="BL588" t="s">
        <v>2245</v>
      </c>
      <c r="BM588" t="s">
        <v>11311</v>
      </c>
      <c r="BN588">
        <v>37584480</v>
      </c>
      <c r="BO588" t="s">
        <v>74</v>
      </c>
      <c r="BP588" t="s">
        <v>74</v>
      </c>
      <c r="BQ588" t="s">
        <v>74</v>
      </c>
      <c r="BR588" t="s">
        <v>99</v>
      </c>
      <c r="BS588" t="s">
        <v>11312</v>
      </c>
      <c r="BT588" t="str">
        <f>HYPERLINK("https%3A%2F%2Fwww.webofscience.com%2Fwos%2Fwoscc%2Ffull-record%2FWOS:001051761300001","View Full Record in Web of Science")</f>
        <v>View Full Record in Web of Science</v>
      </c>
    </row>
    <row r="589" spans="1:72" x14ac:dyDescent="0.15">
      <c r="A589" t="s">
        <v>72</v>
      </c>
      <c r="B589" t="s">
        <v>11313</v>
      </c>
      <c r="C589" t="s">
        <v>74</v>
      </c>
      <c r="D589" t="s">
        <v>74</v>
      </c>
      <c r="E589" t="s">
        <v>74</v>
      </c>
      <c r="F589" t="s">
        <v>11314</v>
      </c>
      <c r="G589" t="s">
        <v>74</v>
      </c>
      <c r="H589" t="s">
        <v>74</v>
      </c>
      <c r="I589" t="s">
        <v>11315</v>
      </c>
      <c r="J589" t="s">
        <v>11316</v>
      </c>
      <c r="K589" t="s">
        <v>74</v>
      </c>
      <c r="L589" t="s">
        <v>74</v>
      </c>
      <c r="M589" t="s">
        <v>78</v>
      </c>
      <c r="N589" t="s">
        <v>338</v>
      </c>
      <c r="O589" t="s">
        <v>74</v>
      </c>
      <c r="P589" t="s">
        <v>74</v>
      </c>
      <c r="Q589" t="s">
        <v>74</v>
      </c>
      <c r="R589" t="s">
        <v>74</v>
      </c>
      <c r="S589" t="s">
        <v>74</v>
      </c>
      <c r="T589" t="s">
        <v>11317</v>
      </c>
      <c r="U589" t="s">
        <v>74</v>
      </c>
      <c r="V589" t="s">
        <v>11318</v>
      </c>
      <c r="W589" t="s">
        <v>11319</v>
      </c>
      <c r="X589" t="s">
        <v>11320</v>
      </c>
      <c r="Y589" t="s">
        <v>11321</v>
      </c>
      <c r="Z589" t="s">
        <v>11322</v>
      </c>
      <c r="AA589" t="s">
        <v>74</v>
      </c>
      <c r="AB589" t="s">
        <v>11323</v>
      </c>
      <c r="AC589" t="s">
        <v>74</v>
      </c>
      <c r="AD589" t="s">
        <v>74</v>
      </c>
      <c r="AE589" t="s">
        <v>74</v>
      </c>
      <c r="AF589" t="s">
        <v>74</v>
      </c>
      <c r="AG589">
        <v>9</v>
      </c>
      <c r="AH589">
        <v>0</v>
      </c>
      <c r="AI589">
        <v>0</v>
      </c>
      <c r="AJ589">
        <v>0</v>
      </c>
      <c r="AK589">
        <v>0</v>
      </c>
      <c r="AL589" t="s">
        <v>87</v>
      </c>
      <c r="AM589" t="s">
        <v>88</v>
      </c>
      <c r="AN589" t="s">
        <v>89</v>
      </c>
      <c r="AO589" t="s">
        <v>11324</v>
      </c>
      <c r="AP589" t="s">
        <v>11325</v>
      </c>
      <c r="AQ589" t="s">
        <v>74</v>
      </c>
      <c r="AR589" t="s">
        <v>11326</v>
      </c>
      <c r="AS589" t="s">
        <v>11327</v>
      </c>
      <c r="AT589" t="s">
        <v>11328</v>
      </c>
      <c r="AU589">
        <v>2023</v>
      </c>
      <c r="AV589" t="s">
        <v>74</v>
      </c>
      <c r="AW589" t="s">
        <v>74</v>
      </c>
      <c r="AX589" t="s">
        <v>74</v>
      </c>
      <c r="AY589" t="s">
        <v>74</v>
      </c>
      <c r="AZ589" t="s">
        <v>74</v>
      </c>
      <c r="BA589" t="s">
        <v>74</v>
      </c>
      <c r="BB589" t="s">
        <v>74</v>
      </c>
      <c r="BC589" t="s">
        <v>74</v>
      </c>
      <c r="BD589" t="s">
        <v>74</v>
      </c>
      <c r="BE589" t="s">
        <v>11329</v>
      </c>
      <c r="BF589" t="str">
        <f>HYPERLINK("http://dx.doi.org/10.1111/codi.16712","http://dx.doi.org/10.1111/codi.16712")</f>
        <v>http://dx.doi.org/10.1111/codi.16712</v>
      </c>
      <c r="BG589" t="s">
        <v>74</v>
      </c>
      <c r="BH589" t="s">
        <v>7524</v>
      </c>
      <c r="BI589">
        <v>4</v>
      </c>
      <c r="BJ589" t="s">
        <v>1350</v>
      </c>
      <c r="BK589" t="s">
        <v>119</v>
      </c>
      <c r="BL589" t="s">
        <v>1350</v>
      </c>
      <c r="BM589" t="s">
        <v>11330</v>
      </c>
      <c r="BN589">
        <v>37583048</v>
      </c>
      <c r="BO589" t="s">
        <v>74</v>
      </c>
      <c r="BP589" t="s">
        <v>74</v>
      </c>
      <c r="BQ589" t="s">
        <v>74</v>
      </c>
      <c r="BR589" t="s">
        <v>99</v>
      </c>
      <c r="BS589" t="s">
        <v>11331</v>
      </c>
      <c r="BT589" t="str">
        <f>HYPERLINK("https%3A%2F%2Fwww.webofscience.com%2Fwos%2Fwoscc%2Ffull-record%2FWOS:001049233500001","View Full Record in Web of Science")</f>
        <v>View Full Record in Web of Science</v>
      </c>
    </row>
    <row r="590" spans="1:72" x14ac:dyDescent="0.15">
      <c r="A590" t="s">
        <v>72</v>
      </c>
      <c r="B590" t="s">
        <v>11332</v>
      </c>
      <c r="C590" t="s">
        <v>74</v>
      </c>
      <c r="D590" t="s">
        <v>74</v>
      </c>
      <c r="E590" t="s">
        <v>74</v>
      </c>
      <c r="F590" t="s">
        <v>11333</v>
      </c>
      <c r="G590" t="s">
        <v>74</v>
      </c>
      <c r="H590" t="s">
        <v>74</v>
      </c>
      <c r="I590" t="s">
        <v>11334</v>
      </c>
      <c r="J590" t="s">
        <v>593</v>
      </c>
      <c r="K590" t="s">
        <v>74</v>
      </c>
      <c r="L590" t="s">
        <v>74</v>
      </c>
      <c r="M590" t="s">
        <v>78</v>
      </c>
      <c r="N590" t="s">
        <v>338</v>
      </c>
      <c r="O590" t="s">
        <v>74</v>
      </c>
      <c r="P590" t="s">
        <v>74</v>
      </c>
      <c r="Q590" t="s">
        <v>74</v>
      </c>
      <c r="R590" t="s">
        <v>74</v>
      </c>
      <c r="S590" t="s">
        <v>74</v>
      </c>
      <c r="T590" t="s">
        <v>11335</v>
      </c>
      <c r="U590" t="s">
        <v>11336</v>
      </c>
      <c r="V590" t="s">
        <v>11337</v>
      </c>
      <c r="W590" t="s">
        <v>11338</v>
      </c>
      <c r="X590" t="s">
        <v>11339</v>
      </c>
      <c r="Y590" t="s">
        <v>11340</v>
      </c>
      <c r="Z590" t="s">
        <v>11341</v>
      </c>
      <c r="AA590" t="s">
        <v>74</v>
      </c>
      <c r="AB590" t="s">
        <v>74</v>
      </c>
      <c r="AC590" t="s">
        <v>11342</v>
      </c>
      <c r="AD590" t="s">
        <v>11343</v>
      </c>
      <c r="AE590" t="s">
        <v>11344</v>
      </c>
      <c r="AF590" t="s">
        <v>74</v>
      </c>
      <c r="AG590">
        <v>45</v>
      </c>
      <c r="AH590">
        <v>0</v>
      </c>
      <c r="AI590">
        <v>0</v>
      </c>
      <c r="AJ590">
        <v>22</v>
      </c>
      <c r="AK590">
        <v>22</v>
      </c>
      <c r="AL590" t="s">
        <v>426</v>
      </c>
      <c r="AM590" t="s">
        <v>427</v>
      </c>
      <c r="AN590" t="s">
        <v>428</v>
      </c>
      <c r="AO590" t="s">
        <v>605</v>
      </c>
      <c r="AP590" t="s">
        <v>606</v>
      </c>
      <c r="AQ590" t="s">
        <v>74</v>
      </c>
      <c r="AR590" t="s">
        <v>593</v>
      </c>
      <c r="AS590" t="s">
        <v>607</v>
      </c>
      <c r="AT590" t="s">
        <v>11328</v>
      </c>
      <c r="AU590">
        <v>2023</v>
      </c>
      <c r="AV590" t="s">
        <v>74</v>
      </c>
      <c r="AW590" t="s">
        <v>74</v>
      </c>
      <c r="AX590" t="s">
        <v>74</v>
      </c>
      <c r="AY590" t="s">
        <v>74</v>
      </c>
      <c r="AZ590" t="s">
        <v>74</v>
      </c>
      <c r="BA590" t="s">
        <v>74</v>
      </c>
      <c r="BB590" t="s">
        <v>74</v>
      </c>
      <c r="BC590" t="s">
        <v>74</v>
      </c>
      <c r="BD590" t="s">
        <v>74</v>
      </c>
      <c r="BE590" t="s">
        <v>11345</v>
      </c>
      <c r="BF590" t="str">
        <f>HYPERLINK("http://dx.doi.org/10.1002/smll.202303015","http://dx.doi.org/10.1002/smll.202303015")</f>
        <v>http://dx.doi.org/10.1002/smll.202303015</v>
      </c>
      <c r="BG590" t="s">
        <v>74</v>
      </c>
      <c r="BH590" t="s">
        <v>7524</v>
      </c>
      <c r="BI590">
        <v>10</v>
      </c>
      <c r="BJ590" t="s">
        <v>609</v>
      </c>
      <c r="BK590" t="s">
        <v>119</v>
      </c>
      <c r="BL590" t="s">
        <v>610</v>
      </c>
      <c r="BM590" t="s">
        <v>11346</v>
      </c>
      <c r="BN590">
        <v>37582643</v>
      </c>
      <c r="BO590" t="s">
        <v>74</v>
      </c>
      <c r="BP590" t="s">
        <v>74</v>
      </c>
      <c r="BQ590" t="s">
        <v>74</v>
      </c>
      <c r="BR590" t="s">
        <v>99</v>
      </c>
      <c r="BS590" t="s">
        <v>11347</v>
      </c>
      <c r="BT590" t="str">
        <f>HYPERLINK("https%3A%2F%2Fwww.webofscience.com%2Fwos%2Fwoscc%2Ffull-record%2FWOS:001050962600001","View Full Record in Web of Science")</f>
        <v>View Full Record in Web of Science</v>
      </c>
    </row>
    <row r="591" spans="1:72" x14ac:dyDescent="0.15">
      <c r="A591" t="s">
        <v>72</v>
      </c>
      <c r="B591" t="s">
        <v>11348</v>
      </c>
      <c r="C591" t="s">
        <v>74</v>
      </c>
      <c r="D591" t="s">
        <v>74</v>
      </c>
      <c r="E591" t="s">
        <v>74</v>
      </c>
      <c r="F591" t="s">
        <v>11349</v>
      </c>
      <c r="G591" t="s">
        <v>74</v>
      </c>
      <c r="H591" t="s">
        <v>74</v>
      </c>
      <c r="I591" t="s">
        <v>11350</v>
      </c>
      <c r="J591" t="s">
        <v>11351</v>
      </c>
      <c r="K591" t="s">
        <v>74</v>
      </c>
      <c r="L591" t="s">
        <v>74</v>
      </c>
      <c r="M591" t="s">
        <v>78</v>
      </c>
      <c r="N591" t="s">
        <v>338</v>
      </c>
      <c r="O591" t="s">
        <v>74</v>
      </c>
      <c r="P591" t="s">
        <v>74</v>
      </c>
      <c r="Q591" t="s">
        <v>74</v>
      </c>
      <c r="R591" t="s">
        <v>74</v>
      </c>
      <c r="S591" t="s">
        <v>74</v>
      </c>
      <c r="T591" t="s">
        <v>11352</v>
      </c>
      <c r="U591" t="s">
        <v>11353</v>
      </c>
      <c r="V591" t="s">
        <v>11354</v>
      </c>
      <c r="W591" t="s">
        <v>11355</v>
      </c>
      <c r="X591" t="s">
        <v>11356</v>
      </c>
      <c r="Y591" t="s">
        <v>11357</v>
      </c>
      <c r="Z591" t="s">
        <v>11358</v>
      </c>
      <c r="AA591" t="s">
        <v>74</v>
      </c>
      <c r="AB591" t="s">
        <v>74</v>
      </c>
      <c r="AC591" t="s">
        <v>11359</v>
      </c>
      <c r="AD591" t="s">
        <v>11360</v>
      </c>
      <c r="AE591" t="s">
        <v>11361</v>
      </c>
      <c r="AF591" t="s">
        <v>74</v>
      </c>
      <c r="AG591">
        <v>52</v>
      </c>
      <c r="AH591">
        <v>0</v>
      </c>
      <c r="AI591">
        <v>0</v>
      </c>
      <c r="AJ591">
        <v>1</v>
      </c>
      <c r="AK591">
        <v>1</v>
      </c>
      <c r="AL591" t="s">
        <v>87</v>
      </c>
      <c r="AM591" t="s">
        <v>88</v>
      </c>
      <c r="AN591" t="s">
        <v>89</v>
      </c>
      <c r="AO591" t="s">
        <v>11362</v>
      </c>
      <c r="AP591" t="s">
        <v>11363</v>
      </c>
      <c r="AQ591" t="s">
        <v>74</v>
      </c>
      <c r="AR591" t="s">
        <v>11364</v>
      </c>
      <c r="AS591" t="s">
        <v>11365</v>
      </c>
      <c r="AT591" t="s">
        <v>11328</v>
      </c>
      <c r="AU591">
        <v>2023</v>
      </c>
      <c r="AV591" t="s">
        <v>74</v>
      </c>
      <c r="AW591" t="s">
        <v>74</v>
      </c>
      <c r="AX591" t="s">
        <v>74</v>
      </c>
      <c r="AY591" t="s">
        <v>74</v>
      </c>
      <c r="AZ591" t="s">
        <v>74</v>
      </c>
      <c r="BA591" t="s">
        <v>74</v>
      </c>
      <c r="BB591" t="s">
        <v>74</v>
      </c>
      <c r="BC591" t="s">
        <v>74</v>
      </c>
      <c r="BD591" t="s">
        <v>74</v>
      </c>
      <c r="BE591" t="s">
        <v>11366</v>
      </c>
      <c r="BF591" t="str">
        <f>HYPERLINK("http://dx.doi.org/10.1002/bmc.5723","http://dx.doi.org/10.1002/bmc.5723")</f>
        <v>http://dx.doi.org/10.1002/bmc.5723</v>
      </c>
      <c r="BG591" t="s">
        <v>74</v>
      </c>
      <c r="BH591" t="s">
        <v>7524</v>
      </c>
      <c r="BI591">
        <v>11</v>
      </c>
      <c r="BJ591" t="s">
        <v>11367</v>
      </c>
      <c r="BK591" t="s">
        <v>119</v>
      </c>
      <c r="BL591" t="s">
        <v>11199</v>
      </c>
      <c r="BM591" t="s">
        <v>11368</v>
      </c>
      <c r="BN591">
        <v>37581307</v>
      </c>
      <c r="BO591" t="s">
        <v>74</v>
      </c>
      <c r="BP591" t="s">
        <v>74</v>
      </c>
      <c r="BQ591" t="s">
        <v>74</v>
      </c>
      <c r="BR591" t="s">
        <v>99</v>
      </c>
      <c r="BS591" t="s">
        <v>11369</v>
      </c>
      <c r="BT591" t="str">
        <f>HYPERLINK("https%3A%2F%2Fwww.webofscience.com%2Fwos%2Fwoscc%2Ffull-record%2FWOS:001049202600001","View Full Record in Web of Science")</f>
        <v>View Full Record in Web of Science</v>
      </c>
    </row>
    <row r="592" spans="1:72" x14ac:dyDescent="0.15">
      <c r="A592" t="s">
        <v>72</v>
      </c>
      <c r="B592" t="s">
        <v>11370</v>
      </c>
      <c r="C592" t="s">
        <v>74</v>
      </c>
      <c r="D592" t="s">
        <v>74</v>
      </c>
      <c r="E592" t="s">
        <v>74</v>
      </c>
      <c r="F592" t="s">
        <v>11371</v>
      </c>
      <c r="G592" t="s">
        <v>74</v>
      </c>
      <c r="H592" t="s">
        <v>74</v>
      </c>
      <c r="I592" t="s">
        <v>11372</v>
      </c>
      <c r="J592" t="s">
        <v>11373</v>
      </c>
      <c r="K592" t="s">
        <v>74</v>
      </c>
      <c r="L592" t="s">
        <v>74</v>
      </c>
      <c r="M592" t="s">
        <v>78</v>
      </c>
      <c r="N592" t="s">
        <v>79</v>
      </c>
      <c r="O592" t="s">
        <v>74</v>
      </c>
      <c r="P592" t="s">
        <v>74</v>
      </c>
      <c r="Q592" t="s">
        <v>74</v>
      </c>
      <c r="R592" t="s">
        <v>74</v>
      </c>
      <c r="S592" t="s">
        <v>74</v>
      </c>
      <c r="T592" t="s">
        <v>11374</v>
      </c>
      <c r="U592" t="s">
        <v>11375</v>
      </c>
      <c r="V592" t="s">
        <v>11376</v>
      </c>
      <c r="W592" t="s">
        <v>11377</v>
      </c>
      <c r="X592" t="s">
        <v>11378</v>
      </c>
      <c r="Y592" t="s">
        <v>11379</v>
      </c>
      <c r="Z592" t="s">
        <v>11380</v>
      </c>
      <c r="AA592" t="s">
        <v>74</v>
      </c>
      <c r="AB592" t="s">
        <v>11381</v>
      </c>
      <c r="AC592" t="s">
        <v>11382</v>
      </c>
      <c r="AD592" t="s">
        <v>11382</v>
      </c>
      <c r="AE592" t="s">
        <v>11383</v>
      </c>
      <c r="AF592" t="s">
        <v>74</v>
      </c>
      <c r="AG592">
        <v>21</v>
      </c>
      <c r="AH592">
        <v>0</v>
      </c>
      <c r="AI592">
        <v>0</v>
      </c>
      <c r="AJ592">
        <v>0</v>
      </c>
      <c r="AK592">
        <v>0</v>
      </c>
      <c r="AL592" t="s">
        <v>87</v>
      </c>
      <c r="AM592" t="s">
        <v>88</v>
      </c>
      <c r="AN592" t="s">
        <v>89</v>
      </c>
      <c r="AO592" t="s">
        <v>74</v>
      </c>
      <c r="AP592" t="s">
        <v>11384</v>
      </c>
      <c r="AQ592" t="s">
        <v>74</v>
      </c>
      <c r="AR592" t="s">
        <v>11385</v>
      </c>
      <c r="AS592" t="s">
        <v>11386</v>
      </c>
      <c r="AT592" t="s">
        <v>11387</v>
      </c>
      <c r="AU592">
        <v>2023</v>
      </c>
      <c r="AV592">
        <v>12</v>
      </c>
      <c r="AW592">
        <v>16</v>
      </c>
      <c r="AX592" t="s">
        <v>74</v>
      </c>
      <c r="AY592" t="s">
        <v>74</v>
      </c>
      <c r="AZ592" t="s">
        <v>74</v>
      </c>
      <c r="BA592" t="s">
        <v>74</v>
      </c>
      <c r="BB592" t="s">
        <v>74</v>
      </c>
      <c r="BC592" t="s">
        <v>74</v>
      </c>
      <c r="BD592" t="s">
        <v>11388</v>
      </c>
      <c r="BE592" t="s">
        <v>11389</v>
      </c>
      <c r="BF592" t="str">
        <f>HYPERLINK("http://dx.doi.org/10.1161/JAHA.122.029293","http://dx.doi.org/10.1161/JAHA.122.029293")</f>
        <v>http://dx.doi.org/10.1161/JAHA.122.029293</v>
      </c>
      <c r="BG592" t="s">
        <v>74</v>
      </c>
      <c r="BH592" t="s">
        <v>74</v>
      </c>
      <c r="BI592">
        <v>15</v>
      </c>
      <c r="BJ592" t="s">
        <v>1849</v>
      </c>
      <c r="BK592" t="s">
        <v>119</v>
      </c>
      <c r="BL592" t="s">
        <v>1850</v>
      </c>
      <c r="BM592" t="s">
        <v>11390</v>
      </c>
      <c r="BN592">
        <v>37586066</v>
      </c>
      <c r="BO592" t="s">
        <v>6877</v>
      </c>
      <c r="BP592" t="s">
        <v>74</v>
      </c>
      <c r="BQ592" t="s">
        <v>74</v>
      </c>
      <c r="BR592" t="s">
        <v>99</v>
      </c>
      <c r="BS592" t="s">
        <v>11391</v>
      </c>
      <c r="BT592" t="str">
        <f>HYPERLINK("https%3A%2F%2Fwww.webofscience.com%2Fwos%2Fwoscc%2Ffull-record%2FWOS:001048592700027","View Full Record in Web of Science")</f>
        <v>View Full Record in Web of Science</v>
      </c>
    </row>
    <row r="593" spans="1:72" x14ac:dyDescent="0.15">
      <c r="A593" t="s">
        <v>72</v>
      </c>
      <c r="B593" t="s">
        <v>11392</v>
      </c>
      <c r="C593" t="s">
        <v>74</v>
      </c>
      <c r="D593" t="s">
        <v>74</v>
      </c>
      <c r="E593" t="s">
        <v>74</v>
      </c>
      <c r="F593" t="s">
        <v>11393</v>
      </c>
      <c r="G593" t="s">
        <v>74</v>
      </c>
      <c r="H593" t="s">
        <v>74</v>
      </c>
      <c r="I593" t="s">
        <v>11394</v>
      </c>
      <c r="J593" t="s">
        <v>1982</v>
      </c>
      <c r="K593" t="s">
        <v>74</v>
      </c>
      <c r="L593" t="s">
        <v>74</v>
      </c>
      <c r="M593" t="s">
        <v>78</v>
      </c>
      <c r="N593" t="s">
        <v>338</v>
      </c>
      <c r="O593" t="s">
        <v>74</v>
      </c>
      <c r="P593" t="s">
        <v>74</v>
      </c>
      <c r="Q593" t="s">
        <v>74</v>
      </c>
      <c r="R593" t="s">
        <v>74</v>
      </c>
      <c r="S593" t="s">
        <v>74</v>
      </c>
      <c r="T593" t="s">
        <v>11395</v>
      </c>
      <c r="U593" t="s">
        <v>11396</v>
      </c>
      <c r="V593" t="s">
        <v>11397</v>
      </c>
      <c r="W593" t="s">
        <v>11398</v>
      </c>
      <c r="X593" t="s">
        <v>11399</v>
      </c>
      <c r="Y593" t="s">
        <v>11400</v>
      </c>
      <c r="Z593" t="s">
        <v>11401</v>
      </c>
      <c r="AA593" t="s">
        <v>11402</v>
      </c>
      <c r="AB593" t="s">
        <v>11403</v>
      </c>
      <c r="AC593" t="s">
        <v>11404</v>
      </c>
      <c r="AD593" t="s">
        <v>11405</v>
      </c>
      <c r="AE593" t="s">
        <v>11406</v>
      </c>
      <c r="AF593" t="s">
        <v>74</v>
      </c>
      <c r="AG593">
        <v>41</v>
      </c>
      <c r="AH593">
        <v>0</v>
      </c>
      <c r="AI593">
        <v>0</v>
      </c>
      <c r="AJ593">
        <v>3</v>
      </c>
      <c r="AK593">
        <v>3</v>
      </c>
      <c r="AL593" t="s">
        <v>426</v>
      </c>
      <c r="AM593" t="s">
        <v>427</v>
      </c>
      <c r="AN593" t="s">
        <v>428</v>
      </c>
      <c r="AO593" t="s">
        <v>1993</v>
      </c>
      <c r="AP593" t="s">
        <v>1994</v>
      </c>
      <c r="AQ593" t="s">
        <v>74</v>
      </c>
      <c r="AR593" t="s">
        <v>1995</v>
      </c>
      <c r="AS593" t="s">
        <v>1996</v>
      </c>
      <c r="AT593" t="s">
        <v>11328</v>
      </c>
      <c r="AU593">
        <v>2023</v>
      </c>
      <c r="AV593" t="s">
        <v>74</v>
      </c>
      <c r="AW593" t="s">
        <v>74</v>
      </c>
      <c r="AX593" t="s">
        <v>74</v>
      </c>
      <c r="AY593" t="s">
        <v>74</v>
      </c>
      <c r="AZ593" t="s">
        <v>74</v>
      </c>
      <c r="BA593" t="s">
        <v>74</v>
      </c>
      <c r="BB593" t="s">
        <v>74</v>
      </c>
      <c r="BC593" t="s">
        <v>74</v>
      </c>
      <c r="BD593" t="s">
        <v>74</v>
      </c>
      <c r="BE593" t="s">
        <v>11407</v>
      </c>
      <c r="BF593" t="str">
        <f>HYPERLINK("http://dx.doi.org/10.1002/adem.202301136","http://dx.doi.org/10.1002/adem.202301136")</f>
        <v>http://dx.doi.org/10.1002/adem.202301136</v>
      </c>
      <c r="BG593" t="s">
        <v>74</v>
      </c>
      <c r="BH593" t="s">
        <v>7524</v>
      </c>
      <c r="BI593">
        <v>8</v>
      </c>
      <c r="BJ593" t="s">
        <v>1998</v>
      </c>
      <c r="BK593" t="s">
        <v>119</v>
      </c>
      <c r="BL593" t="s">
        <v>1999</v>
      </c>
      <c r="BM593" t="s">
        <v>11408</v>
      </c>
      <c r="BN593" t="s">
        <v>74</v>
      </c>
      <c r="BO593" t="s">
        <v>301</v>
      </c>
      <c r="BP593" t="s">
        <v>74</v>
      </c>
      <c r="BQ593" t="s">
        <v>74</v>
      </c>
      <c r="BR593" t="s">
        <v>99</v>
      </c>
      <c r="BS593" t="s">
        <v>11409</v>
      </c>
      <c r="BT593" t="str">
        <f>HYPERLINK("https%3A%2F%2Fwww.webofscience.com%2Fwos%2Fwoscc%2Ffull-record%2FWOS:001049246600001","View Full Record in Web of Science")</f>
        <v>View Full Record in Web of Science</v>
      </c>
    </row>
    <row r="594" spans="1:72" x14ac:dyDescent="0.15">
      <c r="A594" t="s">
        <v>72</v>
      </c>
      <c r="B594" t="s">
        <v>11410</v>
      </c>
      <c r="C594" t="s">
        <v>74</v>
      </c>
      <c r="D594" t="s">
        <v>74</v>
      </c>
      <c r="E594" t="s">
        <v>74</v>
      </c>
      <c r="F594" t="s">
        <v>11411</v>
      </c>
      <c r="G594" t="s">
        <v>74</v>
      </c>
      <c r="H594" t="s">
        <v>74</v>
      </c>
      <c r="I594" t="s">
        <v>11412</v>
      </c>
      <c r="J594" t="s">
        <v>11413</v>
      </c>
      <c r="K594" t="s">
        <v>74</v>
      </c>
      <c r="L594" t="s">
        <v>74</v>
      </c>
      <c r="M594" t="s">
        <v>78</v>
      </c>
      <c r="N594" t="s">
        <v>338</v>
      </c>
      <c r="O594" t="s">
        <v>74</v>
      </c>
      <c r="P594" t="s">
        <v>74</v>
      </c>
      <c r="Q594" t="s">
        <v>74</v>
      </c>
      <c r="R594" t="s">
        <v>74</v>
      </c>
      <c r="S594" t="s">
        <v>74</v>
      </c>
      <c r="T594" t="s">
        <v>11414</v>
      </c>
      <c r="U594" t="s">
        <v>11415</v>
      </c>
      <c r="V594" t="s">
        <v>11416</v>
      </c>
      <c r="W594" t="s">
        <v>11417</v>
      </c>
      <c r="X594" t="s">
        <v>11418</v>
      </c>
      <c r="Y594" t="s">
        <v>11419</v>
      </c>
      <c r="Z594" t="s">
        <v>11420</v>
      </c>
      <c r="AA594" t="s">
        <v>74</v>
      </c>
      <c r="AB594" t="s">
        <v>11421</v>
      </c>
      <c r="AC594" t="s">
        <v>74</v>
      </c>
      <c r="AD594" t="s">
        <v>74</v>
      </c>
      <c r="AE594" t="s">
        <v>74</v>
      </c>
      <c r="AF594" t="s">
        <v>74</v>
      </c>
      <c r="AG594">
        <v>45</v>
      </c>
      <c r="AH594">
        <v>0</v>
      </c>
      <c r="AI594">
        <v>0</v>
      </c>
      <c r="AJ594">
        <v>3</v>
      </c>
      <c r="AK594">
        <v>3</v>
      </c>
      <c r="AL594" t="s">
        <v>87</v>
      </c>
      <c r="AM594" t="s">
        <v>88</v>
      </c>
      <c r="AN594" t="s">
        <v>89</v>
      </c>
      <c r="AO594" t="s">
        <v>11422</v>
      </c>
      <c r="AP594" t="s">
        <v>11423</v>
      </c>
      <c r="AQ594" t="s">
        <v>74</v>
      </c>
      <c r="AR594" t="s">
        <v>11424</v>
      </c>
      <c r="AS594" t="s">
        <v>11425</v>
      </c>
      <c r="AT594" t="s">
        <v>11328</v>
      </c>
      <c r="AU594">
        <v>2023</v>
      </c>
      <c r="AV594" t="s">
        <v>74</v>
      </c>
      <c r="AW594" t="s">
        <v>74</v>
      </c>
      <c r="AX594" t="s">
        <v>74</v>
      </c>
      <c r="AY594" t="s">
        <v>74</v>
      </c>
      <c r="AZ594" t="s">
        <v>74</v>
      </c>
      <c r="BA594" t="s">
        <v>74</v>
      </c>
      <c r="BB594" t="s">
        <v>74</v>
      </c>
      <c r="BC594" t="s">
        <v>74</v>
      </c>
      <c r="BD594" t="s">
        <v>74</v>
      </c>
      <c r="BE594" t="s">
        <v>11426</v>
      </c>
      <c r="BF594" t="str">
        <f>HYPERLINK("http://dx.doi.org/10.1002/smr.2606","http://dx.doi.org/10.1002/smr.2606")</f>
        <v>http://dx.doi.org/10.1002/smr.2606</v>
      </c>
      <c r="BG594" t="s">
        <v>74</v>
      </c>
      <c r="BH594" t="s">
        <v>7524</v>
      </c>
      <c r="BI594">
        <v>24</v>
      </c>
      <c r="BJ594" t="s">
        <v>11427</v>
      </c>
      <c r="BK594" t="s">
        <v>119</v>
      </c>
      <c r="BL594" t="s">
        <v>1875</v>
      </c>
      <c r="BM594" t="s">
        <v>11428</v>
      </c>
      <c r="BN594" t="s">
        <v>74</v>
      </c>
      <c r="BO594" t="s">
        <v>122</v>
      </c>
      <c r="BP594" t="s">
        <v>74</v>
      </c>
      <c r="BQ594" t="s">
        <v>74</v>
      </c>
      <c r="BR594" t="s">
        <v>99</v>
      </c>
      <c r="BS594" t="s">
        <v>11429</v>
      </c>
      <c r="BT594" t="str">
        <f>HYPERLINK("https%3A%2F%2Fwww.webofscience.com%2Fwos%2Fwoscc%2Ffull-record%2FWOS:001049263500001","View Full Record in Web of Science")</f>
        <v>View Full Record in Web of Science</v>
      </c>
    </row>
    <row r="595" spans="1:72" x14ac:dyDescent="0.15">
      <c r="A595" t="s">
        <v>72</v>
      </c>
      <c r="B595" t="s">
        <v>11430</v>
      </c>
      <c r="C595" t="s">
        <v>74</v>
      </c>
      <c r="D595" t="s">
        <v>74</v>
      </c>
      <c r="E595" t="s">
        <v>74</v>
      </c>
      <c r="F595" t="s">
        <v>11431</v>
      </c>
      <c r="G595" t="s">
        <v>74</v>
      </c>
      <c r="H595" t="s">
        <v>74</v>
      </c>
      <c r="I595" t="s">
        <v>11432</v>
      </c>
      <c r="J595" t="s">
        <v>11433</v>
      </c>
      <c r="K595" t="s">
        <v>74</v>
      </c>
      <c r="L595" t="s">
        <v>74</v>
      </c>
      <c r="M595" t="s">
        <v>78</v>
      </c>
      <c r="N595" t="s">
        <v>79</v>
      </c>
      <c r="O595" t="s">
        <v>74</v>
      </c>
      <c r="P595" t="s">
        <v>74</v>
      </c>
      <c r="Q595" t="s">
        <v>74</v>
      </c>
      <c r="R595" t="s">
        <v>74</v>
      </c>
      <c r="S595" t="s">
        <v>74</v>
      </c>
      <c r="T595" t="s">
        <v>11434</v>
      </c>
      <c r="U595" t="s">
        <v>74</v>
      </c>
      <c r="V595" t="s">
        <v>11435</v>
      </c>
      <c r="W595" t="s">
        <v>11436</v>
      </c>
      <c r="X595" t="s">
        <v>11437</v>
      </c>
      <c r="Y595" t="s">
        <v>11438</v>
      </c>
      <c r="Z595" t="s">
        <v>11439</v>
      </c>
      <c r="AA595" t="s">
        <v>74</v>
      </c>
      <c r="AB595" t="s">
        <v>11440</v>
      </c>
      <c r="AC595" t="s">
        <v>74</v>
      </c>
      <c r="AD595" t="s">
        <v>74</v>
      </c>
      <c r="AE595" t="s">
        <v>74</v>
      </c>
      <c r="AF595" t="s">
        <v>74</v>
      </c>
      <c r="AG595">
        <v>4</v>
      </c>
      <c r="AH595">
        <v>0</v>
      </c>
      <c r="AI595">
        <v>0</v>
      </c>
      <c r="AJ595">
        <v>0</v>
      </c>
      <c r="AK595">
        <v>0</v>
      </c>
      <c r="AL595" t="s">
        <v>87</v>
      </c>
      <c r="AM595" t="s">
        <v>88</v>
      </c>
      <c r="AN595" t="s">
        <v>89</v>
      </c>
      <c r="AO595" t="s">
        <v>11441</v>
      </c>
      <c r="AP595" t="s">
        <v>11442</v>
      </c>
      <c r="AQ595" t="s">
        <v>74</v>
      </c>
      <c r="AR595" t="s">
        <v>11443</v>
      </c>
      <c r="AS595" t="s">
        <v>11444</v>
      </c>
      <c r="AT595" t="s">
        <v>6725</v>
      </c>
      <c r="AU595">
        <v>2023</v>
      </c>
      <c r="AV595">
        <v>64</v>
      </c>
      <c r="AW595">
        <v>5</v>
      </c>
      <c r="AX595" t="s">
        <v>74</v>
      </c>
      <c r="AY595" t="s">
        <v>74</v>
      </c>
      <c r="AZ595" t="s">
        <v>74</v>
      </c>
      <c r="BA595" t="s">
        <v>74</v>
      </c>
      <c r="BB595">
        <v>789</v>
      </c>
      <c r="BC595">
        <v>797</v>
      </c>
      <c r="BD595" t="s">
        <v>74</v>
      </c>
      <c r="BE595" t="s">
        <v>11445</v>
      </c>
      <c r="BF595" t="str">
        <f>HYPERLINK("http://dx.doi.org/10.1111/vru.13291","http://dx.doi.org/10.1111/vru.13291")</f>
        <v>http://dx.doi.org/10.1111/vru.13291</v>
      </c>
      <c r="BG595" t="s">
        <v>74</v>
      </c>
      <c r="BH595" t="s">
        <v>7524</v>
      </c>
      <c r="BI595">
        <v>9</v>
      </c>
      <c r="BJ595" t="s">
        <v>354</v>
      </c>
      <c r="BK595" t="s">
        <v>119</v>
      </c>
      <c r="BL595" t="s">
        <v>354</v>
      </c>
      <c r="BM595" t="s">
        <v>11446</v>
      </c>
      <c r="BN595">
        <v>37582508</v>
      </c>
      <c r="BO595" t="s">
        <v>122</v>
      </c>
      <c r="BP595" t="s">
        <v>74</v>
      </c>
      <c r="BQ595" t="s">
        <v>74</v>
      </c>
      <c r="BR595" t="s">
        <v>99</v>
      </c>
      <c r="BS595" t="s">
        <v>11447</v>
      </c>
      <c r="BT595" t="str">
        <f>HYPERLINK("https%3A%2F%2Fwww.webofscience.com%2Fwos%2Fwoscc%2Ffull-record%2FWOS:001048634800001","View Full Record in Web of Science")</f>
        <v>View Full Record in Web of Science</v>
      </c>
    </row>
    <row r="596" spans="1:72" x14ac:dyDescent="0.15">
      <c r="A596" t="s">
        <v>72</v>
      </c>
      <c r="B596" t="s">
        <v>11448</v>
      </c>
      <c r="C596" t="s">
        <v>74</v>
      </c>
      <c r="D596" t="s">
        <v>74</v>
      </c>
      <c r="E596" t="s">
        <v>74</v>
      </c>
      <c r="F596" t="s">
        <v>11449</v>
      </c>
      <c r="G596" t="s">
        <v>74</v>
      </c>
      <c r="H596" t="s">
        <v>74</v>
      </c>
      <c r="I596" t="s">
        <v>11450</v>
      </c>
      <c r="J596" t="s">
        <v>11451</v>
      </c>
      <c r="K596" t="s">
        <v>74</v>
      </c>
      <c r="L596" t="s">
        <v>74</v>
      </c>
      <c r="M596" t="s">
        <v>78</v>
      </c>
      <c r="N596" t="s">
        <v>338</v>
      </c>
      <c r="O596" t="s">
        <v>74</v>
      </c>
      <c r="P596" t="s">
        <v>74</v>
      </c>
      <c r="Q596" t="s">
        <v>74</v>
      </c>
      <c r="R596" t="s">
        <v>74</v>
      </c>
      <c r="S596" t="s">
        <v>74</v>
      </c>
      <c r="T596" t="s">
        <v>11452</v>
      </c>
      <c r="U596" t="s">
        <v>11453</v>
      </c>
      <c r="V596" t="s">
        <v>11454</v>
      </c>
      <c r="W596" t="s">
        <v>11455</v>
      </c>
      <c r="X596" t="s">
        <v>11456</v>
      </c>
      <c r="Y596" t="s">
        <v>11457</v>
      </c>
      <c r="Z596" t="s">
        <v>11458</v>
      </c>
      <c r="AA596" t="s">
        <v>74</v>
      </c>
      <c r="AB596" t="s">
        <v>11459</v>
      </c>
      <c r="AC596" t="s">
        <v>11460</v>
      </c>
      <c r="AD596" t="s">
        <v>11461</v>
      </c>
      <c r="AE596" t="s">
        <v>11462</v>
      </c>
      <c r="AF596" t="s">
        <v>74</v>
      </c>
      <c r="AG596">
        <v>33</v>
      </c>
      <c r="AH596">
        <v>0</v>
      </c>
      <c r="AI596">
        <v>0</v>
      </c>
      <c r="AJ596">
        <v>3</v>
      </c>
      <c r="AK596">
        <v>3</v>
      </c>
      <c r="AL596" t="s">
        <v>87</v>
      </c>
      <c r="AM596" t="s">
        <v>88</v>
      </c>
      <c r="AN596" t="s">
        <v>89</v>
      </c>
      <c r="AO596" t="s">
        <v>11463</v>
      </c>
      <c r="AP596" t="s">
        <v>11464</v>
      </c>
      <c r="AQ596" t="s">
        <v>74</v>
      </c>
      <c r="AR596" t="s">
        <v>11465</v>
      </c>
      <c r="AS596" t="s">
        <v>11466</v>
      </c>
      <c r="AT596" t="s">
        <v>11328</v>
      </c>
      <c r="AU596">
        <v>2023</v>
      </c>
      <c r="AV596" t="s">
        <v>74</v>
      </c>
      <c r="AW596" t="s">
        <v>74</v>
      </c>
      <c r="AX596" t="s">
        <v>74</v>
      </c>
      <c r="AY596" t="s">
        <v>74</v>
      </c>
      <c r="AZ596" t="s">
        <v>74</v>
      </c>
      <c r="BA596" t="s">
        <v>74</v>
      </c>
      <c r="BB596" t="s">
        <v>74</v>
      </c>
      <c r="BC596" t="s">
        <v>74</v>
      </c>
      <c r="BD596" t="s">
        <v>74</v>
      </c>
      <c r="BE596" t="s">
        <v>11467</v>
      </c>
      <c r="BF596" t="str">
        <f>HYPERLINK("http://dx.doi.org/10.1002/1873-3468.14714","http://dx.doi.org/10.1002/1873-3468.14714")</f>
        <v>http://dx.doi.org/10.1002/1873-3468.14714</v>
      </c>
      <c r="BG596" t="s">
        <v>74</v>
      </c>
      <c r="BH596" t="s">
        <v>7524</v>
      </c>
      <c r="BI596">
        <v>13</v>
      </c>
      <c r="BJ596" t="s">
        <v>11468</v>
      </c>
      <c r="BK596" t="s">
        <v>119</v>
      </c>
      <c r="BL596" t="s">
        <v>11468</v>
      </c>
      <c r="BM596" t="s">
        <v>11469</v>
      </c>
      <c r="BN596">
        <v>37552213</v>
      </c>
      <c r="BO596" t="s">
        <v>122</v>
      </c>
      <c r="BP596" t="s">
        <v>74</v>
      </c>
      <c r="BQ596" t="s">
        <v>74</v>
      </c>
      <c r="BR596" t="s">
        <v>99</v>
      </c>
      <c r="BS596" t="s">
        <v>11470</v>
      </c>
      <c r="BT596" t="str">
        <f>HYPERLINK("https%3A%2F%2Fwww.webofscience.com%2Fwos%2Fwoscc%2Ffull-record%2FWOS:001048730800001","View Full Record in Web of Science")</f>
        <v>View Full Record in Web of Science</v>
      </c>
    </row>
    <row r="597" spans="1:72" x14ac:dyDescent="0.15">
      <c r="A597" t="s">
        <v>72</v>
      </c>
      <c r="B597" t="s">
        <v>11471</v>
      </c>
      <c r="C597" t="s">
        <v>74</v>
      </c>
      <c r="D597" t="s">
        <v>74</v>
      </c>
      <c r="E597" t="s">
        <v>74</v>
      </c>
      <c r="F597" t="s">
        <v>11472</v>
      </c>
      <c r="G597" t="s">
        <v>74</v>
      </c>
      <c r="H597" t="s">
        <v>74</v>
      </c>
      <c r="I597" t="s">
        <v>11473</v>
      </c>
      <c r="J597" t="s">
        <v>11474</v>
      </c>
      <c r="K597" t="s">
        <v>74</v>
      </c>
      <c r="L597" t="s">
        <v>74</v>
      </c>
      <c r="M597" t="s">
        <v>78</v>
      </c>
      <c r="N597" t="s">
        <v>594</v>
      </c>
      <c r="O597" t="s">
        <v>74</v>
      </c>
      <c r="P597" t="s">
        <v>74</v>
      </c>
      <c r="Q597" t="s">
        <v>74</v>
      </c>
      <c r="R597" t="s">
        <v>74</v>
      </c>
      <c r="S597" t="s">
        <v>74</v>
      </c>
      <c r="T597" t="s">
        <v>11475</v>
      </c>
      <c r="U597" t="s">
        <v>11476</v>
      </c>
      <c r="V597" t="s">
        <v>11477</v>
      </c>
      <c r="W597" t="s">
        <v>11478</v>
      </c>
      <c r="X597" t="s">
        <v>11479</v>
      </c>
      <c r="Y597" t="s">
        <v>11480</v>
      </c>
      <c r="Z597" t="s">
        <v>11481</v>
      </c>
      <c r="AA597" t="s">
        <v>74</v>
      </c>
      <c r="AB597" t="s">
        <v>11482</v>
      </c>
      <c r="AC597" t="s">
        <v>74</v>
      </c>
      <c r="AD597" t="s">
        <v>74</v>
      </c>
      <c r="AE597" t="s">
        <v>74</v>
      </c>
      <c r="AF597" t="s">
        <v>74</v>
      </c>
      <c r="AG597">
        <v>67</v>
      </c>
      <c r="AH597">
        <v>0</v>
      </c>
      <c r="AI597">
        <v>0</v>
      </c>
      <c r="AJ597">
        <v>2</v>
      </c>
      <c r="AK597">
        <v>2</v>
      </c>
      <c r="AL597" t="s">
        <v>87</v>
      </c>
      <c r="AM597" t="s">
        <v>88</v>
      </c>
      <c r="AN597" t="s">
        <v>1412</v>
      </c>
      <c r="AO597" t="s">
        <v>11483</v>
      </c>
      <c r="AP597" t="s">
        <v>11484</v>
      </c>
      <c r="AQ597" t="s">
        <v>74</v>
      </c>
      <c r="AR597" t="s">
        <v>11485</v>
      </c>
      <c r="AS597" t="s">
        <v>11486</v>
      </c>
      <c r="AT597" t="s">
        <v>11487</v>
      </c>
      <c r="AU597">
        <v>2023</v>
      </c>
      <c r="AV597" t="s">
        <v>74</v>
      </c>
      <c r="AW597" t="s">
        <v>74</v>
      </c>
      <c r="AX597" t="s">
        <v>74</v>
      </c>
      <c r="AY597" t="s">
        <v>74</v>
      </c>
      <c r="AZ597" t="s">
        <v>74</v>
      </c>
      <c r="BA597" t="s">
        <v>74</v>
      </c>
      <c r="BB597" t="s">
        <v>74</v>
      </c>
      <c r="BC597" t="s">
        <v>74</v>
      </c>
      <c r="BD597" t="s">
        <v>74</v>
      </c>
      <c r="BE597" t="s">
        <v>11488</v>
      </c>
      <c r="BF597" t="str">
        <f>HYPERLINK("http://dx.doi.org/10.1111/cob.12611","http://dx.doi.org/10.1111/cob.12611")</f>
        <v>http://dx.doi.org/10.1111/cob.12611</v>
      </c>
      <c r="BG597" t="s">
        <v>74</v>
      </c>
      <c r="BH597" t="s">
        <v>7524</v>
      </c>
      <c r="BI597">
        <v>13</v>
      </c>
      <c r="BJ597" t="s">
        <v>2313</v>
      </c>
      <c r="BK597" t="s">
        <v>96</v>
      </c>
      <c r="BL597" t="s">
        <v>2313</v>
      </c>
      <c r="BM597" t="s">
        <v>11489</v>
      </c>
      <c r="BN597">
        <v>37577814</v>
      </c>
      <c r="BO597" t="s">
        <v>4580</v>
      </c>
      <c r="BP597" t="s">
        <v>74</v>
      </c>
      <c r="BQ597" t="s">
        <v>74</v>
      </c>
      <c r="BR597" t="s">
        <v>99</v>
      </c>
      <c r="BS597" t="s">
        <v>11490</v>
      </c>
      <c r="BT597" t="str">
        <f>HYPERLINK("https%3A%2F%2Fwww.webofscience.com%2Fwos%2Fwoscc%2Ffull-record%2FWOS:001048001400001","View Full Record in Web of Science")</f>
        <v>View Full Record in Web of Science</v>
      </c>
    </row>
    <row r="598" spans="1:72" x14ac:dyDescent="0.15">
      <c r="A598" t="s">
        <v>72</v>
      </c>
      <c r="B598" t="s">
        <v>11491</v>
      </c>
      <c r="C598" t="s">
        <v>74</v>
      </c>
      <c r="D598" t="s">
        <v>74</v>
      </c>
      <c r="E598" t="s">
        <v>74</v>
      </c>
      <c r="F598" t="s">
        <v>11492</v>
      </c>
      <c r="G598" t="s">
        <v>74</v>
      </c>
      <c r="H598" t="s">
        <v>74</v>
      </c>
      <c r="I598" t="s">
        <v>11493</v>
      </c>
      <c r="J598" t="s">
        <v>11494</v>
      </c>
      <c r="K598" t="s">
        <v>74</v>
      </c>
      <c r="L598" t="s">
        <v>74</v>
      </c>
      <c r="M598" t="s">
        <v>78</v>
      </c>
      <c r="N598" t="s">
        <v>338</v>
      </c>
      <c r="O598" t="s">
        <v>74</v>
      </c>
      <c r="P598" t="s">
        <v>74</v>
      </c>
      <c r="Q598" t="s">
        <v>74</v>
      </c>
      <c r="R598" t="s">
        <v>74</v>
      </c>
      <c r="S598" t="s">
        <v>74</v>
      </c>
      <c r="T598" t="s">
        <v>11495</v>
      </c>
      <c r="U598" t="s">
        <v>11496</v>
      </c>
      <c r="V598" t="s">
        <v>11497</v>
      </c>
      <c r="W598" t="s">
        <v>11498</v>
      </c>
      <c r="X598" t="s">
        <v>11499</v>
      </c>
      <c r="Y598" t="s">
        <v>11500</v>
      </c>
      <c r="Z598" t="s">
        <v>11501</v>
      </c>
      <c r="AA598" t="s">
        <v>74</v>
      </c>
      <c r="AB598" t="s">
        <v>74</v>
      </c>
      <c r="AC598" t="s">
        <v>74</v>
      </c>
      <c r="AD598" t="s">
        <v>74</v>
      </c>
      <c r="AE598" t="s">
        <v>74</v>
      </c>
      <c r="AF598" t="s">
        <v>74</v>
      </c>
      <c r="AG598">
        <v>105</v>
      </c>
      <c r="AH598">
        <v>0</v>
      </c>
      <c r="AI598">
        <v>0</v>
      </c>
      <c r="AJ598">
        <v>1</v>
      </c>
      <c r="AK598">
        <v>1</v>
      </c>
      <c r="AL598" t="s">
        <v>87</v>
      </c>
      <c r="AM598" t="s">
        <v>88</v>
      </c>
      <c r="AN598" t="s">
        <v>89</v>
      </c>
      <c r="AO598" t="s">
        <v>11502</v>
      </c>
      <c r="AP598" t="s">
        <v>11503</v>
      </c>
      <c r="AQ598" t="s">
        <v>74</v>
      </c>
      <c r="AR598" t="s">
        <v>11504</v>
      </c>
      <c r="AS598" t="s">
        <v>11505</v>
      </c>
      <c r="AT598" t="s">
        <v>11487</v>
      </c>
      <c r="AU598">
        <v>2023</v>
      </c>
      <c r="AV598" t="s">
        <v>74</v>
      </c>
      <c r="AW598" t="s">
        <v>74</v>
      </c>
      <c r="AX598" t="s">
        <v>74</v>
      </c>
      <c r="AY598" t="s">
        <v>74</v>
      </c>
      <c r="AZ598" t="s">
        <v>74</v>
      </c>
      <c r="BA598" t="s">
        <v>74</v>
      </c>
      <c r="BB598" t="s">
        <v>74</v>
      </c>
      <c r="BC598" t="s">
        <v>74</v>
      </c>
      <c r="BD598" t="s">
        <v>74</v>
      </c>
      <c r="BE598" t="s">
        <v>11506</v>
      </c>
      <c r="BF598" t="str">
        <f>HYPERLINK("http://dx.doi.org/10.1002/jid.3806","http://dx.doi.org/10.1002/jid.3806")</f>
        <v>http://dx.doi.org/10.1002/jid.3806</v>
      </c>
      <c r="BG598" t="s">
        <v>74</v>
      </c>
      <c r="BH598" t="s">
        <v>7524</v>
      </c>
      <c r="BI598">
        <v>25</v>
      </c>
      <c r="BJ598" t="s">
        <v>1767</v>
      </c>
      <c r="BK598" t="s">
        <v>546</v>
      </c>
      <c r="BL598" t="s">
        <v>1767</v>
      </c>
      <c r="BM598" t="s">
        <v>11507</v>
      </c>
      <c r="BN598" t="s">
        <v>74</v>
      </c>
      <c r="BO598" t="s">
        <v>301</v>
      </c>
      <c r="BP598" t="s">
        <v>74</v>
      </c>
      <c r="BQ598" t="s">
        <v>74</v>
      </c>
      <c r="BR598" t="s">
        <v>99</v>
      </c>
      <c r="BS598" t="s">
        <v>11508</v>
      </c>
      <c r="BT598" t="str">
        <f>HYPERLINK("https%3A%2F%2Fwww.webofscience.com%2Fwos%2Fwoscc%2Ffull-record%2FWOS:001047716700001","View Full Record in Web of Science")</f>
        <v>View Full Record in Web of Science</v>
      </c>
    </row>
    <row r="599" spans="1:72" x14ac:dyDescent="0.15">
      <c r="A599" t="s">
        <v>72</v>
      </c>
      <c r="B599" t="s">
        <v>11509</v>
      </c>
      <c r="C599" t="s">
        <v>74</v>
      </c>
      <c r="D599" t="s">
        <v>74</v>
      </c>
      <c r="E599" t="s">
        <v>74</v>
      </c>
      <c r="F599" t="s">
        <v>11510</v>
      </c>
      <c r="G599" t="s">
        <v>74</v>
      </c>
      <c r="H599" t="s">
        <v>74</v>
      </c>
      <c r="I599" t="s">
        <v>11511</v>
      </c>
      <c r="J599" t="s">
        <v>11512</v>
      </c>
      <c r="K599" t="s">
        <v>74</v>
      </c>
      <c r="L599" t="s">
        <v>74</v>
      </c>
      <c r="M599" t="s">
        <v>78</v>
      </c>
      <c r="N599" t="s">
        <v>594</v>
      </c>
      <c r="O599" t="s">
        <v>74</v>
      </c>
      <c r="P599" t="s">
        <v>74</v>
      </c>
      <c r="Q599" t="s">
        <v>74</v>
      </c>
      <c r="R599" t="s">
        <v>74</v>
      </c>
      <c r="S599" t="s">
        <v>74</v>
      </c>
      <c r="T599" t="s">
        <v>11513</v>
      </c>
      <c r="U599" t="s">
        <v>11514</v>
      </c>
      <c r="V599" t="s">
        <v>11515</v>
      </c>
      <c r="W599" t="s">
        <v>11516</v>
      </c>
      <c r="X599" t="s">
        <v>74</v>
      </c>
      <c r="Y599" t="s">
        <v>11517</v>
      </c>
      <c r="Z599" t="s">
        <v>11518</v>
      </c>
      <c r="AA599" t="s">
        <v>74</v>
      </c>
      <c r="AB599" t="s">
        <v>74</v>
      </c>
      <c r="AC599" t="s">
        <v>11519</v>
      </c>
      <c r="AD599" t="s">
        <v>11520</v>
      </c>
      <c r="AE599" t="s">
        <v>11521</v>
      </c>
      <c r="AF599" t="s">
        <v>74</v>
      </c>
      <c r="AG599">
        <v>133</v>
      </c>
      <c r="AH599">
        <v>0</v>
      </c>
      <c r="AI599">
        <v>0</v>
      </c>
      <c r="AJ599">
        <v>5</v>
      </c>
      <c r="AK599">
        <v>5</v>
      </c>
      <c r="AL599" t="s">
        <v>87</v>
      </c>
      <c r="AM599" t="s">
        <v>88</v>
      </c>
      <c r="AN599" t="s">
        <v>89</v>
      </c>
      <c r="AO599" t="s">
        <v>11522</v>
      </c>
      <c r="AP599" t="s">
        <v>11523</v>
      </c>
      <c r="AQ599" t="s">
        <v>74</v>
      </c>
      <c r="AR599" t="s">
        <v>11524</v>
      </c>
      <c r="AS599" t="s">
        <v>11525</v>
      </c>
      <c r="AT599" t="s">
        <v>11487</v>
      </c>
      <c r="AU599">
        <v>2023</v>
      </c>
      <c r="AV599" t="s">
        <v>74</v>
      </c>
      <c r="AW599" t="s">
        <v>74</v>
      </c>
      <c r="AX599" t="s">
        <v>74</v>
      </c>
      <c r="AY599" t="s">
        <v>74</v>
      </c>
      <c r="AZ599" t="s">
        <v>74</v>
      </c>
      <c r="BA599" t="s">
        <v>74</v>
      </c>
      <c r="BB599" t="s">
        <v>74</v>
      </c>
      <c r="BC599" t="s">
        <v>74</v>
      </c>
      <c r="BD599" t="s">
        <v>74</v>
      </c>
      <c r="BE599" t="s">
        <v>11526</v>
      </c>
      <c r="BF599" t="str">
        <f>HYPERLINK("http://dx.doi.org/10.1049/itr2.12416","http://dx.doi.org/10.1049/itr2.12416")</f>
        <v>http://dx.doi.org/10.1049/itr2.12416</v>
      </c>
      <c r="BG599" t="s">
        <v>74</v>
      </c>
      <c r="BH599" t="s">
        <v>7524</v>
      </c>
      <c r="BI599">
        <v>16</v>
      </c>
      <c r="BJ599" t="s">
        <v>11527</v>
      </c>
      <c r="BK599" t="s">
        <v>119</v>
      </c>
      <c r="BL599" t="s">
        <v>11528</v>
      </c>
      <c r="BM599" t="s">
        <v>11529</v>
      </c>
      <c r="BN599" t="s">
        <v>74</v>
      </c>
      <c r="BO599" t="s">
        <v>234</v>
      </c>
      <c r="BP599" t="s">
        <v>74</v>
      </c>
      <c r="BQ599" t="s">
        <v>74</v>
      </c>
      <c r="BR599" t="s">
        <v>99</v>
      </c>
      <c r="BS599" t="s">
        <v>11530</v>
      </c>
      <c r="BT599" t="str">
        <f>HYPERLINK("https%3A%2F%2Fwww.webofscience.com%2Fwos%2Fwoscc%2Ffull-record%2FWOS:001049225600001","View Full Record in Web of Science")</f>
        <v>View Full Record in Web of Science</v>
      </c>
    </row>
    <row r="600" spans="1:72" x14ac:dyDescent="0.15">
      <c r="A600" t="s">
        <v>72</v>
      </c>
      <c r="B600" t="s">
        <v>11531</v>
      </c>
      <c r="C600" t="s">
        <v>74</v>
      </c>
      <c r="D600" t="s">
        <v>74</v>
      </c>
      <c r="E600" t="s">
        <v>74</v>
      </c>
      <c r="F600" t="s">
        <v>11532</v>
      </c>
      <c r="G600" t="s">
        <v>74</v>
      </c>
      <c r="H600" t="s">
        <v>74</v>
      </c>
      <c r="I600" t="s">
        <v>11533</v>
      </c>
      <c r="J600" t="s">
        <v>11534</v>
      </c>
      <c r="K600" t="s">
        <v>74</v>
      </c>
      <c r="L600" t="s">
        <v>74</v>
      </c>
      <c r="M600" t="s">
        <v>78</v>
      </c>
      <c r="N600" t="s">
        <v>2419</v>
      </c>
      <c r="O600" t="s">
        <v>74</v>
      </c>
      <c r="P600" t="s">
        <v>74</v>
      </c>
      <c r="Q600" t="s">
        <v>74</v>
      </c>
      <c r="R600" t="s">
        <v>74</v>
      </c>
      <c r="S600" t="s">
        <v>74</v>
      </c>
      <c r="T600" t="s">
        <v>74</v>
      </c>
      <c r="U600" t="s">
        <v>74</v>
      </c>
      <c r="V600" t="s">
        <v>74</v>
      </c>
      <c r="W600" t="s">
        <v>11535</v>
      </c>
      <c r="X600" t="s">
        <v>74</v>
      </c>
      <c r="Y600" t="s">
        <v>11536</v>
      </c>
      <c r="Z600" t="s">
        <v>11537</v>
      </c>
      <c r="AA600" t="s">
        <v>74</v>
      </c>
      <c r="AB600" t="s">
        <v>74</v>
      </c>
      <c r="AC600" t="s">
        <v>74</v>
      </c>
      <c r="AD600" t="s">
        <v>74</v>
      </c>
      <c r="AE600" t="s">
        <v>74</v>
      </c>
      <c r="AF600" t="s">
        <v>74</v>
      </c>
      <c r="AG600">
        <v>3</v>
      </c>
      <c r="AH600">
        <v>0</v>
      </c>
      <c r="AI600">
        <v>0</v>
      </c>
      <c r="AJ600">
        <v>0</v>
      </c>
      <c r="AK600">
        <v>0</v>
      </c>
      <c r="AL600" t="s">
        <v>87</v>
      </c>
      <c r="AM600" t="s">
        <v>88</v>
      </c>
      <c r="AN600" t="s">
        <v>89</v>
      </c>
      <c r="AO600" t="s">
        <v>11538</v>
      </c>
      <c r="AP600" t="s">
        <v>11539</v>
      </c>
      <c r="AQ600" t="s">
        <v>74</v>
      </c>
      <c r="AR600" t="s">
        <v>11540</v>
      </c>
      <c r="AS600" t="s">
        <v>11541</v>
      </c>
      <c r="AT600" t="s">
        <v>11487</v>
      </c>
      <c r="AU600">
        <v>2023</v>
      </c>
      <c r="AV600" t="s">
        <v>74</v>
      </c>
      <c r="AW600" t="s">
        <v>74</v>
      </c>
      <c r="AX600" t="s">
        <v>74</v>
      </c>
      <c r="AY600" t="s">
        <v>74</v>
      </c>
      <c r="AZ600" t="s">
        <v>74</v>
      </c>
      <c r="BA600" t="s">
        <v>74</v>
      </c>
      <c r="BB600" t="s">
        <v>74</v>
      </c>
      <c r="BC600" t="s">
        <v>74</v>
      </c>
      <c r="BD600" t="s">
        <v>74</v>
      </c>
      <c r="BE600" t="s">
        <v>11542</v>
      </c>
      <c r="BF600" t="str">
        <f>HYPERLINK("http://dx.doi.org/10.1002/jhbs.22279","http://dx.doi.org/10.1002/jhbs.22279")</f>
        <v>http://dx.doi.org/10.1002/jhbs.22279</v>
      </c>
      <c r="BG600" t="s">
        <v>74</v>
      </c>
      <c r="BH600" t="s">
        <v>7524</v>
      </c>
      <c r="BI600">
        <v>3</v>
      </c>
      <c r="BJ600" t="s">
        <v>11543</v>
      </c>
      <c r="BK600" t="s">
        <v>546</v>
      </c>
      <c r="BL600" t="s">
        <v>6875</v>
      </c>
      <c r="BM600" t="s">
        <v>11544</v>
      </c>
      <c r="BN600" t="s">
        <v>74</v>
      </c>
      <c r="BO600" t="s">
        <v>301</v>
      </c>
      <c r="BP600" t="s">
        <v>74</v>
      </c>
      <c r="BQ600" t="s">
        <v>74</v>
      </c>
      <c r="BR600" t="s">
        <v>99</v>
      </c>
      <c r="BS600" t="s">
        <v>11545</v>
      </c>
      <c r="BT600" t="str">
        <f>HYPERLINK("https%3A%2F%2Fwww.webofscience.com%2Fwos%2Fwoscc%2Ffull-record%2FWOS:001048524000001","View Full Record in Web of Science")</f>
        <v>View Full Record in Web of Science</v>
      </c>
    </row>
    <row r="601" spans="1:72" x14ac:dyDescent="0.15">
      <c r="A601" t="s">
        <v>72</v>
      </c>
      <c r="B601" t="s">
        <v>11546</v>
      </c>
      <c r="C601" t="s">
        <v>74</v>
      </c>
      <c r="D601" t="s">
        <v>74</v>
      </c>
      <c r="E601" t="s">
        <v>74</v>
      </c>
      <c r="F601" t="s">
        <v>11547</v>
      </c>
      <c r="G601" t="s">
        <v>74</v>
      </c>
      <c r="H601" t="s">
        <v>74</v>
      </c>
      <c r="I601" t="s">
        <v>11548</v>
      </c>
      <c r="J601" t="s">
        <v>11549</v>
      </c>
      <c r="K601" t="s">
        <v>74</v>
      </c>
      <c r="L601" t="s">
        <v>74</v>
      </c>
      <c r="M601" t="s">
        <v>78</v>
      </c>
      <c r="N601" t="s">
        <v>338</v>
      </c>
      <c r="O601" t="s">
        <v>74</v>
      </c>
      <c r="P601" t="s">
        <v>74</v>
      </c>
      <c r="Q601" t="s">
        <v>74</v>
      </c>
      <c r="R601" t="s">
        <v>74</v>
      </c>
      <c r="S601" t="s">
        <v>74</v>
      </c>
      <c r="T601" t="s">
        <v>11550</v>
      </c>
      <c r="U601" t="s">
        <v>11551</v>
      </c>
      <c r="V601" t="s">
        <v>11552</v>
      </c>
      <c r="W601" t="s">
        <v>11553</v>
      </c>
      <c r="X601" t="s">
        <v>11554</v>
      </c>
      <c r="Y601" t="s">
        <v>11555</v>
      </c>
      <c r="Z601" t="s">
        <v>11556</v>
      </c>
      <c r="AA601" t="s">
        <v>74</v>
      </c>
      <c r="AB601" t="s">
        <v>11557</v>
      </c>
      <c r="AC601" t="s">
        <v>11558</v>
      </c>
      <c r="AD601" t="s">
        <v>11559</v>
      </c>
      <c r="AE601" t="s">
        <v>11560</v>
      </c>
      <c r="AF601" t="s">
        <v>74</v>
      </c>
      <c r="AG601">
        <v>32</v>
      </c>
      <c r="AH601">
        <v>0</v>
      </c>
      <c r="AI601">
        <v>0</v>
      </c>
      <c r="AJ601">
        <v>1</v>
      </c>
      <c r="AK601">
        <v>1</v>
      </c>
      <c r="AL601" t="s">
        <v>87</v>
      </c>
      <c r="AM601" t="s">
        <v>88</v>
      </c>
      <c r="AN601" t="s">
        <v>89</v>
      </c>
      <c r="AO601" t="s">
        <v>11561</v>
      </c>
      <c r="AP601" t="s">
        <v>11562</v>
      </c>
      <c r="AQ601" t="s">
        <v>74</v>
      </c>
      <c r="AR601" t="s">
        <v>11563</v>
      </c>
      <c r="AS601" t="s">
        <v>11564</v>
      </c>
      <c r="AT601" t="s">
        <v>11487</v>
      </c>
      <c r="AU601">
        <v>2023</v>
      </c>
      <c r="AV601" t="s">
        <v>74</v>
      </c>
      <c r="AW601" t="s">
        <v>74</v>
      </c>
      <c r="AX601" t="s">
        <v>74</v>
      </c>
      <c r="AY601" t="s">
        <v>74</v>
      </c>
      <c r="AZ601" t="s">
        <v>74</v>
      </c>
      <c r="BA601" t="s">
        <v>74</v>
      </c>
      <c r="BB601" t="s">
        <v>74</v>
      </c>
      <c r="BC601" t="s">
        <v>74</v>
      </c>
      <c r="BD601" t="s">
        <v>74</v>
      </c>
      <c r="BE601" t="s">
        <v>11565</v>
      </c>
      <c r="BF601" t="str">
        <f>HYPERLINK("http://dx.doi.org/10.1111/fare.12933","http://dx.doi.org/10.1111/fare.12933")</f>
        <v>http://dx.doi.org/10.1111/fare.12933</v>
      </c>
      <c r="BG601" t="s">
        <v>74</v>
      </c>
      <c r="BH601" t="s">
        <v>7524</v>
      </c>
      <c r="BI601">
        <v>11</v>
      </c>
      <c r="BJ601" t="s">
        <v>11566</v>
      </c>
      <c r="BK601" t="s">
        <v>546</v>
      </c>
      <c r="BL601" t="s">
        <v>11566</v>
      </c>
      <c r="BM601" t="s">
        <v>11567</v>
      </c>
      <c r="BN601" t="s">
        <v>74</v>
      </c>
      <c r="BO601" t="s">
        <v>301</v>
      </c>
      <c r="BP601" t="s">
        <v>74</v>
      </c>
      <c r="BQ601" t="s">
        <v>74</v>
      </c>
      <c r="BR601" t="s">
        <v>99</v>
      </c>
      <c r="BS601" t="s">
        <v>11568</v>
      </c>
      <c r="BT601" t="str">
        <f>HYPERLINK("https%3A%2F%2Fwww.webofscience.com%2Fwos%2Fwoscc%2Ffull-record%2FWOS:001048507300001","View Full Record in Web of Science")</f>
        <v>View Full Record in Web of Science</v>
      </c>
    </row>
    <row r="602" spans="1:72" x14ac:dyDescent="0.15">
      <c r="A602" t="s">
        <v>72</v>
      </c>
      <c r="B602" t="s">
        <v>11569</v>
      </c>
      <c r="C602" t="s">
        <v>74</v>
      </c>
      <c r="D602" t="s">
        <v>74</v>
      </c>
      <c r="E602" t="s">
        <v>74</v>
      </c>
      <c r="F602" t="s">
        <v>11570</v>
      </c>
      <c r="G602" t="s">
        <v>74</v>
      </c>
      <c r="H602" t="s">
        <v>74</v>
      </c>
      <c r="I602" t="s">
        <v>11571</v>
      </c>
      <c r="J602" t="s">
        <v>11572</v>
      </c>
      <c r="K602" t="s">
        <v>74</v>
      </c>
      <c r="L602" t="s">
        <v>74</v>
      </c>
      <c r="M602" t="s">
        <v>78</v>
      </c>
      <c r="N602" t="s">
        <v>338</v>
      </c>
      <c r="O602" t="s">
        <v>74</v>
      </c>
      <c r="P602" t="s">
        <v>74</v>
      </c>
      <c r="Q602" t="s">
        <v>74</v>
      </c>
      <c r="R602" t="s">
        <v>74</v>
      </c>
      <c r="S602" t="s">
        <v>74</v>
      </c>
      <c r="T602" t="s">
        <v>11573</v>
      </c>
      <c r="U602" t="s">
        <v>11574</v>
      </c>
      <c r="V602" t="s">
        <v>11575</v>
      </c>
      <c r="W602" t="s">
        <v>11576</v>
      </c>
      <c r="X602" t="s">
        <v>11577</v>
      </c>
      <c r="Y602" t="s">
        <v>11578</v>
      </c>
      <c r="Z602" t="s">
        <v>11579</v>
      </c>
      <c r="AA602" t="s">
        <v>74</v>
      </c>
      <c r="AB602" t="s">
        <v>11580</v>
      </c>
      <c r="AC602" t="s">
        <v>11581</v>
      </c>
      <c r="AD602" t="s">
        <v>11582</v>
      </c>
      <c r="AE602" t="s">
        <v>11583</v>
      </c>
      <c r="AF602" t="s">
        <v>74</v>
      </c>
      <c r="AG602">
        <v>109</v>
      </c>
      <c r="AH602">
        <v>0</v>
      </c>
      <c r="AI602">
        <v>0</v>
      </c>
      <c r="AJ602">
        <v>4</v>
      </c>
      <c r="AK602">
        <v>4</v>
      </c>
      <c r="AL602" t="s">
        <v>87</v>
      </c>
      <c r="AM602" t="s">
        <v>88</v>
      </c>
      <c r="AN602" t="s">
        <v>89</v>
      </c>
      <c r="AO602" t="s">
        <v>11584</v>
      </c>
      <c r="AP602" t="s">
        <v>11585</v>
      </c>
      <c r="AQ602" t="s">
        <v>74</v>
      </c>
      <c r="AR602" t="s">
        <v>11586</v>
      </c>
      <c r="AS602" t="s">
        <v>11587</v>
      </c>
      <c r="AT602" t="s">
        <v>11487</v>
      </c>
      <c r="AU602">
        <v>2023</v>
      </c>
      <c r="AV602" t="s">
        <v>74</v>
      </c>
      <c r="AW602" t="s">
        <v>74</v>
      </c>
      <c r="AX602" t="s">
        <v>74</v>
      </c>
      <c r="AY602" t="s">
        <v>74</v>
      </c>
      <c r="AZ602" t="s">
        <v>74</v>
      </c>
      <c r="BA602" t="s">
        <v>74</v>
      </c>
      <c r="BB602" t="s">
        <v>74</v>
      </c>
      <c r="BC602" t="s">
        <v>74</v>
      </c>
      <c r="BD602" t="s">
        <v>74</v>
      </c>
      <c r="BE602" t="s">
        <v>11588</v>
      </c>
      <c r="BF602" t="str">
        <f>HYPERLINK("http://dx.doi.org/10.1111/1752-1688.13151","http://dx.doi.org/10.1111/1752-1688.13151")</f>
        <v>http://dx.doi.org/10.1111/1752-1688.13151</v>
      </c>
      <c r="BG602" t="s">
        <v>74</v>
      </c>
      <c r="BH602" t="s">
        <v>7524</v>
      </c>
      <c r="BI602">
        <v>18</v>
      </c>
      <c r="BJ602" t="s">
        <v>11589</v>
      </c>
      <c r="BK602" t="s">
        <v>119</v>
      </c>
      <c r="BL602" t="s">
        <v>11590</v>
      </c>
      <c r="BM602" t="s">
        <v>11591</v>
      </c>
      <c r="BN602" t="s">
        <v>74</v>
      </c>
      <c r="BO602" t="s">
        <v>122</v>
      </c>
      <c r="BP602" t="s">
        <v>74</v>
      </c>
      <c r="BQ602" t="s">
        <v>74</v>
      </c>
      <c r="BR602" t="s">
        <v>99</v>
      </c>
      <c r="BS602" t="s">
        <v>11592</v>
      </c>
      <c r="BT602" t="str">
        <f>HYPERLINK("https%3A%2F%2Fwww.webofscience.com%2Fwos%2Fwoscc%2Ffull-record%2FWOS:001048525300001","View Full Record in Web of Science")</f>
        <v>View Full Record in Web of Science</v>
      </c>
    </row>
    <row r="603" spans="1:72" x14ac:dyDescent="0.15">
      <c r="A603" t="s">
        <v>72</v>
      </c>
      <c r="B603" t="s">
        <v>11593</v>
      </c>
      <c r="C603" t="s">
        <v>74</v>
      </c>
      <c r="D603" t="s">
        <v>74</v>
      </c>
      <c r="E603" t="s">
        <v>74</v>
      </c>
      <c r="F603" t="s">
        <v>11594</v>
      </c>
      <c r="G603" t="s">
        <v>74</v>
      </c>
      <c r="H603" t="s">
        <v>74</v>
      </c>
      <c r="I603" t="s">
        <v>11595</v>
      </c>
      <c r="J603" t="s">
        <v>2913</v>
      </c>
      <c r="K603" t="s">
        <v>74</v>
      </c>
      <c r="L603" t="s">
        <v>74</v>
      </c>
      <c r="M603" t="s">
        <v>78</v>
      </c>
      <c r="N603" t="s">
        <v>338</v>
      </c>
      <c r="O603" t="s">
        <v>74</v>
      </c>
      <c r="P603" t="s">
        <v>74</v>
      </c>
      <c r="Q603" t="s">
        <v>74</v>
      </c>
      <c r="R603" t="s">
        <v>74</v>
      </c>
      <c r="S603" t="s">
        <v>74</v>
      </c>
      <c r="T603" t="s">
        <v>11596</v>
      </c>
      <c r="U603" t="s">
        <v>11597</v>
      </c>
      <c r="V603" t="s">
        <v>11598</v>
      </c>
      <c r="W603" t="s">
        <v>11599</v>
      </c>
      <c r="X603" t="s">
        <v>11600</v>
      </c>
      <c r="Y603" t="s">
        <v>11601</v>
      </c>
      <c r="Z603" t="s">
        <v>11602</v>
      </c>
      <c r="AA603" t="s">
        <v>74</v>
      </c>
      <c r="AB603" t="s">
        <v>74</v>
      </c>
      <c r="AC603" t="s">
        <v>11603</v>
      </c>
      <c r="AD603" t="s">
        <v>11604</v>
      </c>
      <c r="AE603" t="s">
        <v>11605</v>
      </c>
      <c r="AF603" t="s">
        <v>74</v>
      </c>
      <c r="AG603">
        <v>137</v>
      </c>
      <c r="AH603">
        <v>0</v>
      </c>
      <c r="AI603">
        <v>0</v>
      </c>
      <c r="AJ603">
        <v>1</v>
      </c>
      <c r="AK603">
        <v>1</v>
      </c>
      <c r="AL603" t="s">
        <v>426</v>
      </c>
      <c r="AM603" t="s">
        <v>427</v>
      </c>
      <c r="AN603" t="s">
        <v>428</v>
      </c>
      <c r="AO603" t="s">
        <v>2925</v>
      </c>
      <c r="AP603" t="s">
        <v>2926</v>
      </c>
      <c r="AQ603" t="s">
        <v>74</v>
      </c>
      <c r="AR603" t="s">
        <v>2927</v>
      </c>
      <c r="AS603" t="s">
        <v>2928</v>
      </c>
      <c r="AT603" t="s">
        <v>11487</v>
      </c>
      <c r="AU603">
        <v>2023</v>
      </c>
      <c r="AV603" t="s">
        <v>74</v>
      </c>
      <c r="AW603" t="s">
        <v>74</v>
      </c>
      <c r="AX603" t="s">
        <v>74</v>
      </c>
      <c r="AY603" t="s">
        <v>74</v>
      </c>
      <c r="AZ603" t="s">
        <v>74</v>
      </c>
      <c r="BA603" t="s">
        <v>74</v>
      </c>
      <c r="BB603" t="s">
        <v>74</v>
      </c>
      <c r="BC603" t="s">
        <v>74</v>
      </c>
      <c r="BD603" t="s">
        <v>74</v>
      </c>
      <c r="BE603" t="s">
        <v>11606</v>
      </c>
      <c r="BF603" t="str">
        <f>HYPERLINK("http://dx.doi.org/10.1002/chem.202301938","http://dx.doi.org/10.1002/chem.202301938")</f>
        <v>http://dx.doi.org/10.1002/chem.202301938</v>
      </c>
      <c r="BG603" t="s">
        <v>74</v>
      </c>
      <c r="BH603" t="s">
        <v>7524</v>
      </c>
      <c r="BI603">
        <v>9</v>
      </c>
      <c r="BJ603" t="s">
        <v>523</v>
      </c>
      <c r="BK603" t="s">
        <v>119</v>
      </c>
      <c r="BL603" t="s">
        <v>524</v>
      </c>
      <c r="BM603" t="s">
        <v>11607</v>
      </c>
      <c r="BN603">
        <v>37395682</v>
      </c>
      <c r="BO603" t="s">
        <v>74</v>
      </c>
      <c r="BP603" t="s">
        <v>74</v>
      </c>
      <c r="BQ603" t="s">
        <v>74</v>
      </c>
      <c r="BR603" t="s">
        <v>99</v>
      </c>
      <c r="BS603" t="s">
        <v>11608</v>
      </c>
      <c r="BT603" t="str">
        <f>HYPERLINK("https%3A%2F%2Fwww.webofscience.com%2Fwos%2Fwoscc%2Ffull-record%2FWOS:001048010400001","View Full Record in Web of Science")</f>
        <v>View Full Record in Web of Science</v>
      </c>
    </row>
    <row r="604" spans="1:72" x14ac:dyDescent="0.15">
      <c r="A604" t="s">
        <v>72</v>
      </c>
      <c r="B604" t="s">
        <v>11609</v>
      </c>
      <c r="C604" t="s">
        <v>74</v>
      </c>
      <c r="D604" t="s">
        <v>74</v>
      </c>
      <c r="E604" t="s">
        <v>74</v>
      </c>
      <c r="F604" t="s">
        <v>11610</v>
      </c>
      <c r="G604" t="s">
        <v>74</v>
      </c>
      <c r="H604" t="s">
        <v>74</v>
      </c>
      <c r="I604" t="s">
        <v>11611</v>
      </c>
      <c r="J604" t="s">
        <v>1631</v>
      </c>
      <c r="K604" t="s">
        <v>74</v>
      </c>
      <c r="L604" t="s">
        <v>74</v>
      </c>
      <c r="M604" t="s">
        <v>78</v>
      </c>
      <c r="N604" t="s">
        <v>338</v>
      </c>
      <c r="O604" t="s">
        <v>74</v>
      </c>
      <c r="P604" t="s">
        <v>74</v>
      </c>
      <c r="Q604" t="s">
        <v>74</v>
      </c>
      <c r="R604" t="s">
        <v>74</v>
      </c>
      <c r="S604" t="s">
        <v>74</v>
      </c>
      <c r="T604" t="s">
        <v>11612</v>
      </c>
      <c r="U604" t="s">
        <v>11613</v>
      </c>
      <c r="V604" t="s">
        <v>11614</v>
      </c>
      <c r="W604" t="s">
        <v>11615</v>
      </c>
      <c r="X604" t="s">
        <v>11616</v>
      </c>
      <c r="Y604" t="s">
        <v>11617</v>
      </c>
      <c r="Z604" t="s">
        <v>11618</v>
      </c>
      <c r="AA604" t="s">
        <v>11619</v>
      </c>
      <c r="AB604" t="s">
        <v>11620</v>
      </c>
      <c r="AC604" t="s">
        <v>74</v>
      </c>
      <c r="AD604" t="s">
        <v>74</v>
      </c>
      <c r="AE604" t="s">
        <v>74</v>
      </c>
      <c r="AF604" t="s">
        <v>74</v>
      </c>
      <c r="AG604">
        <v>33</v>
      </c>
      <c r="AH604">
        <v>0</v>
      </c>
      <c r="AI604">
        <v>0</v>
      </c>
      <c r="AJ604">
        <v>0</v>
      </c>
      <c r="AK604">
        <v>0</v>
      </c>
      <c r="AL604" t="s">
        <v>426</v>
      </c>
      <c r="AM604" t="s">
        <v>427</v>
      </c>
      <c r="AN604" t="s">
        <v>428</v>
      </c>
      <c r="AO604" t="s">
        <v>1644</v>
      </c>
      <c r="AP604" t="s">
        <v>1645</v>
      </c>
      <c r="AQ604" t="s">
        <v>74</v>
      </c>
      <c r="AR604" t="s">
        <v>1631</v>
      </c>
      <c r="AS604" t="s">
        <v>1646</v>
      </c>
      <c r="AT604" t="s">
        <v>11487</v>
      </c>
      <c r="AU604">
        <v>2023</v>
      </c>
      <c r="AV604" t="s">
        <v>74</v>
      </c>
      <c r="AW604" t="s">
        <v>74</v>
      </c>
      <c r="AX604" t="s">
        <v>74</v>
      </c>
      <c r="AY604" t="s">
        <v>74</v>
      </c>
      <c r="AZ604" t="s">
        <v>74</v>
      </c>
      <c r="BA604" t="s">
        <v>74</v>
      </c>
      <c r="BB604" t="s">
        <v>74</v>
      </c>
      <c r="BC604" t="s">
        <v>74</v>
      </c>
      <c r="BD604" t="s">
        <v>74</v>
      </c>
      <c r="BE604" t="s">
        <v>11621</v>
      </c>
      <c r="BF604" t="str">
        <f>HYPERLINK("http://dx.doi.org/10.1002/cphc.202300301","http://dx.doi.org/10.1002/cphc.202300301")</f>
        <v>http://dx.doi.org/10.1002/cphc.202300301</v>
      </c>
      <c r="BG604" t="s">
        <v>74</v>
      </c>
      <c r="BH604" t="s">
        <v>7524</v>
      </c>
      <c r="BI604">
        <v>10</v>
      </c>
      <c r="BJ604" t="s">
        <v>1649</v>
      </c>
      <c r="BK604" t="s">
        <v>119</v>
      </c>
      <c r="BL604" t="s">
        <v>1650</v>
      </c>
      <c r="BM604" t="s">
        <v>11622</v>
      </c>
      <c r="BN604">
        <v>37466122</v>
      </c>
      <c r="BO604" t="s">
        <v>122</v>
      </c>
      <c r="BP604" t="s">
        <v>74</v>
      </c>
      <c r="BQ604" t="s">
        <v>74</v>
      </c>
      <c r="BR604" t="s">
        <v>99</v>
      </c>
      <c r="BS604" t="s">
        <v>11623</v>
      </c>
      <c r="BT604" t="str">
        <f>HYPERLINK("https%3A%2F%2Fwww.webofscience.com%2Fwos%2Fwoscc%2Ffull-record%2FWOS:001047694100001","View Full Record in Web of Science")</f>
        <v>View Full Record in Web of Science</v>
      </c>
    </row>
    <row r="605" spans="1:72" x14ac:dyDescent="0.15">
      <c r="A605" t="s">
        <v>72</v>
      </c>
      <c r="B605" t="s">
        <v>11624</v>
      </c>
      <c r="C605" t="s">
        <v>74</v>
      </c>
      <c r="D605" t="s">
        <v>74</v>
      </c>
      <c r="E605" t="s">
        <v>74</v>
      </c>
      <c r="F605" t="s">
        <v>11625</v>
      </c>
      <c r="G605" t="s">
        <v>74</v>
      </c>
      <c r="H605" t="s">
        <v>74</v>
      </c>
      <c r="I605" t="s">
        <v>11626</v>
      </c>
      <c r="J605" t="s">
        <v>10894</v>
      </c>
      <c r="K605" t="s">
        <v>74</v>
      </c>
      <c r="L605" t="s">
        <v>74</v>
      </c>
      <c r="M605" t="s">
        <v>78</v>
      </c>
      <c r="N605" t="s">
        <v>338</v>
      </c>
      <c r="O605" t="s">
        <v>74</v>
      </c>
      <c r="P605" t="s">
        <v>74</v>
      </c>
      <c r="Q605" t="s">
        <v>74</v>
      </c>
      <c r="R605" t="s">
        <v>74</v>
      </c>
      <c r="S605" t="s">
        <v>74</v>
      </c>
      <c r="T605" t="s">
        <v>11627</v>
      </c>
      <c r="U605" t="s">
        <v>11628</v>
      </c>
      <c r="V605" t="s">
        <v>11629</v>
      </c>
      <c r="W605" t="s">
        <v>11630</v>
      </c>
      <c r="X605" t="s">
        <v>11631</v>
      </c>
      <c r="Y605" t="s">
        <v>11632</v>
      </c>
      <c r="Z605" t="s">
        <v>11633</v>
      </c>
      <c r="AA605" t="s">
        <v>74</v>
      </c>
      <c r="AB605" t="s">
        <v>74</v>
      </c>
      <c r="AC605" t="s">
        <v>11634</v>
      </c>
      <c r="AD605" t="s">
        <v>11635</v>
      </c>
      <c r="AE605" t="s">
        <v>11636</v>
      </c>
      <c r="AF605" t="s">
        <v>74</v>
      </c>
      <c r="AG605">
        <v>49</v>
      </c>
      <c r="AH605">
        <v>0</v>
      </c>
      <c r="AI605">
        <v>0</v>
      </c>
      <c r="AJ605">
        <v>4</v>
      </c>
      <c r="AK605">
        <v>4</v>
      </c>
      <c r="AL605" t="s">
        <v>87</v>
      </c>
      <c r="AM605" t="s">
        <v>88</v>
      </c>
      <c r="AN605" t="s">
        <v>89</v>
      </c>
      <c r="AO605" t="s">
        <v>10903</v>
      </c>
      <c r="AP605" t="s">
        <v>10904</v>
      </c>
      <c r="AQ605" t="s">
        <v>74</v>
      </c>
      <c r="AR605" t="s">
        <v>10905</v>
      </c>
      <c r="AS605" t="s">
        <v>10906</v>
      </c>
      <c r="AT605" t="s">
        <v>11487</v>
      </c>
      <c r="AU605">
        <v>2023</v>
      </c>
      <c r="AV605" t="s">
        <v>74</v>
      </c>
      <c r="AW605" t="s">
        <v>74</v>
      </c>
      <c r="AX605" t="s">
        <v>74</v>
      </c>
      <c r="AY605" t="s">
        <v>74</v>
      </c>
      <c r="AZ605" t="s">
        <v>74</v>
      </c>
      <c r="BA605" t="s">
        <v>74</v>
      </c>
      <c r="BB605" t="s">
        <v>74</v>
      </c>
      <c r="BC605" t="s">
        <v>74</v>
      </c>
      <c r="BD605" t="s">
        <v>11637</v>
      </c>
      <c r="BE605" t="s">
        <v>11638</v>
      </c>
      <c r="BF605" t="str">
        <f>HYPERLINK("http://dx.doi.org/10.1002/app.54551","http://dx.doi.org/10.1002/app.54551")</f>
        <v>http://dx.doi.org/10.1002/app.54551</v>
      </c>
      <c r="BG605" t="s">
        <v>74</v>
      </c>
      <c r="BH605" t="s">
        <v>7524</v>
      </c>
      <c r="BI605">
        <v>14</v>
      </c>
      <c r="BJ605" t="s">
        <v>1418</v>
      </c>
      <c r="BK605" t="s">
        <v>119</v>
      </c>
      <c r="BL605" t="s">
        <v>1418</v>
      </c>
      <c r="BM605" t="s">
        <v>11639</v>
      </c>
      <c r="BN605" t="s">
        <v>74</v>
      </c>
      <c r="BO605" t="s">
        <v>301</v>
      </c>
      <c r="BP605" t="s">
        <v>74</v>
      </c>
      <c r="BQ605" t="s">
        <v>74</v>
      </c>
      <c r="BR605" t="s">
        <v>99</v>
      </c>
      <c r="BS605" t="s">
        <v>11640</v>
      </c>
      <c r="BT605" t="str">
        <f>HYPERLINK("https%3A%2F%2Fwww.webofscience.com%2Fwos%2Fwoscc%2Ffull-record%2FWOS:001048511700001","View Full Record in Web of Science")</f>
        <v>View Full Record in Web of Science</v>
      </c>
    </row>
    <row r="606" spans="1:72" x14ac:dyDescent="0.15">
      <c r="A606" t="s">
        <v>72</v>
      </c>
      <c r="B606" t="s">
        <v>11641</v>
      </c>
      <c r="C606" t="s">
        <v>74</v>
      </c>
      <c r="D606" t="s">
        <v>74</v>
      </c>
      <c r="E606" t="s">
        <v>74</v>
      </c>
      <c r="F606" t="s">
        <v>11642</v>
      </c>
      <c r="G606" t="s">
        <v>74</v>
      </c>
      <c r="H606" t="s">
        <v>74</v>
      </c>
      <c r="I606" t="s">
        <v>11643</v>
      </c>
      <c r="J606" t="s">
        <v>11644</v>
      </c>
      <c r="K606" t="s">
        <v>74</v>
      </c>
      <c r="L606" t="s">
        <v>74</v>
      </c>
      <c r="M606" t="s">
        <v>78</v>
      </c>
      <c r="N606" t="s">
        <v>338</v>
      </c>
      <c r="O606" t="s">
        <v>74</v>
      </c>
      <c r="P606" t="s">
        <v>74</v>
      </c>
      <c r="Q606" t="s">
        <v>74</v>
      </c>
      <c r="R606" t="s">
        <v>74</v>
      </c>
      <c r="S606" t="s">
        <v>74</v>
      </c>
      <c r="T606" t="s">
        <v>11645</v>
      </c>
      <c r="U606" t="s">
        <v>74</v>
      </c>
      <c r="V606" t="s">
        <v>11646</v>
      </c>
      <c r="W606" t="s">
        <v>11647</v>
      </c>
      <c r="X606" t="s">
        <v>11648</v>
      </c>
      <c r="Y606" t="s">
        <v>11649</v>
      </c>
      <c r="Z606" t="s">
        <v>11650</v>
      </c>
      <c r="AA606" t="s">
        <v>74</v>
      </c>
      <c r="AB606" t="s">
        <v>11651</v>
      </c>
      <c r="AC606" t="s">
        <v>74</v>
      </c>
      <c r="AD606" t="s">
        <v>74</v>
      </c>
      <c r="AE606" t="s">
        <v>74</v>
      </c>
      <c r="AF606" t="s">
        <v>74</v>
      </c>
      <c r="AG606">
        <v>11</v>
      </c>
      <c r="AH606">
        <v>1</v>
      </c>
      <c r="AI606">
        <v>1</v>
      </c>
      <c r="AJ606">
        <v>0</v>
      </c>
      <c r="AK606">
        <v>0</v>
      </c>
      <c r="AL606" t="s">
        <v>87</v>
      </c>
      <c r="AM606" t="s">
        <v>88</v>
      </c>
      <c r="AN606" t="s">
        <v>89</v>
      </c>
      <c r="AO606" t="s">
        <v>11652</v>
      </c>
      <c r="AP606" t="s">
        <v>11653</v>
      </c>
      <c r="AQ606" t="s">
        <v>74</v>
      </c>
      <c r="AR606" t="s">
        <v>11654</v>
      </c>
      <c r="AS606" t="s">
        <v>11655</v>
      </c>
      <c r="AT606" t="s">
        <v>11487</v>
      </c>
      <c r="AU606">
        <v>2023</v>
      </c>
      <c r="AV606" t="s">
        <v>74</v>
      </c>
      <c r="AW606" t="s">
        <v>74</v>
      </c>
      <c r="AX606" t="s">
        <v>74</v>
      </c>
      <c r="AY606" t="s">
        <v>74</v>
      </c>
      <c r="AZ606" t="s">
        <v>74</v>
      </c>
      <c r="BA606" t="s">
        <v>74</v>
      </c>
      <c r="BB606" t="s">
        <v>74</v>
      </c>
      <c r="BC606" t="s">
        <v>74</v>
      </c>
      <c r="BD606" t="s">
        <v>74</v>
      </c>
      <c r="BE606" t="s">
        <v>11656</v>
      </c>
      <c r="BF606" t="str">
        <f>HYPERLINK("http://dx.doi.org/10.1002/mus.27955","http://dx.doi.org/10.1002/mus.27955")</f>
        <v>http://dx.doi.org/10.1002/mus.27955</v>
      </c>
      <c r="BG606" t="s">
        <v>74</v>
      </c>
      <c r="BH606" t="s">
        <v>7524</v>
      </c>
      <c r="BI606">
        <v>6</v>
      </c>
      <c r="BJ606" t="s">
        <v>1670</v>
      </c>
      <c r="BK606" t="s">
        <v>119</v>
      </c>
      <c r="BL606" t="s">
        <v>1562</v>
      </c>
      <c r="BM606" t="s">
        <v>11657</v>
      </c>
      <c r="BN606">
        <v>37577753</v>
      </c>
      <c r="BO606" t="s">
        <v>122</v>
      </c>
      <c r="BP606" t="s">
        <v>74</v>
      </c>
      <c r="BQ606" t="s">
        <v>74</v>
      </c>
      <c r="BR606" t="s">
        <v>99</v>
      </c>
      <c r="BS606" t="s">
        <v>11658</v>
      </c>
      <c r="BT606" t="str">
        <f>HYPERLINK("https%3A%2F%2Fwww.webofscience.com%2Fwos%2Fwoscc%2Ffull-record%2FWOS:001047686900001","View Full Record in Web of Science")</f>
        <v>View Full Record in Web of Science</v>
      </c>
    </row>
    <row r="607" spans="1:72" x14ac:dyDescent="0.15">
      <c r="A607" t="s">
        <v>72</v>
      </c>
      <c r="B607" t="s">
        <v>11659</v>
      </c>
      <c r="C607" t="s">
        <v>74</v>
      </c>
      <c r="D607" t="s">
        <v>74</v>
      </c>
      <c r="E607" t="s">
        <v>74</v>
      </c>
      <c r="F607" t="s">
        <v>11660</v>
      </c>
      <c r="G607" t="s">
        <v>74</v>
      </c>
      <c r="H607" t="s">
        <v>74</v>
      </c>
      <c r="I607" t="s">
        <v>11661</v>
      </c>
      <c r="J607" t="s">
        <v>11662</v>
      </c>
      <c r="K607" t="s">
        <v>74</v>
      </c>
      <c r="L607" t="s">
        <v>74</v>
      </c>
      <c r="M607" t="s">
        <v>78</v>
      </c>
      <c r="N607" t="s">
        <v>338</v>
      </c>
      <c r="O607" t="s">
        <v>74</v>
      </c>
      <c r="P607" t="s">
        <v>74</v>
      </c>
      <c r="Q607" t="s">
        <v>74</v>
      </c>
      <c r="R607" t="s">
        <v>74</v>
      </c>
      <c r="S607" t="s">
        <v>74</v>
      </c>
      <c r="T607" t="s">
        <v>11663</v>
      </c>
      <c r="U607" t="s">
        <v>11664</v>
      </c>
      <c r="V607" t="s">
        <v>11665</v>
      </c>
      <c r="W607" t="s">
        <v>11666</v>
      </c>
      <c r="X607" t="s">
        <v>11667</v>
      </c>
      <c r="Y607" t="s">
        <v>11668</v>
      </c>
      <c r="Z607" t="s">
        <v>11669</v>
      </c>
      <c r="AA607" t="s">
        <v>74</v>
      </c>
      <c r="AB607" t="s">
        <v>11670</v>
      </c>
      <c r="AC607" t="s">
        <v>74</v>
      </c>
      <c r="AD607" t="s">
        <v>74</v>
      </c>
      <c r="AE607" t="s">
        <v>74</v>
      </c>
      <c r="AF607" t="s">
        <v>74</v>
      </c>
      <c r="AG607">
        <v>81</v>
      </c>
      <c r="AH607">
        <v>0</v>
      </c>
      <c r="AI607">
        <v>0</v>
      </c>
      <c r="AJ607">
        <v>5</v>
      </c>
      <c r="AK607">
        <v>5</v>
      </c>
      <c r="AL607" t="s">
        <v>87</v>
      </c>
      <c r="AM607" t="s">
        <v>88</v>
      </c>
      <c r="AN607" t="s">
        <v>89</v>
      </c>
      <c r="AO607" t="s">
        <v>11671</v>
      </c>
      <c r="AP607" t="s">
        <v>11672</v>
      </c>
      <c r="AQ607" t="s">
        <v>74</v>
      </c>
      <c r="AR607" t="s">
        <v>11673</v>
      </c>
      <c r="AS607" t="s">
        <v>11674</v>
      </c>
      <c r="AT607" t="s">
        <v>11487</v>
      </c>
      <c r="AU607">
        <v>2023</v>
      </c>
      <c r="AV607" t="s">
        <v>74</v>
      </c>
      <c r="AW607" t="s">
        <v>74</v>
      </c>
      <c r="AX607" t="s">
        <v>74</v>
      </c>
      <c r="AY607" t="s">
        <v>74</v>
      </c>
      <c r="AZ607" t="s">
        <v>74</v>
      </c>
      <c r="BA607" t="s">
        <v>74</v>
      </c>
      <c r="BB607" t="s">
        <v>74</v>
      </c>
      <c r="BC607" t="s">
        <v>74</v>
      </c>
      <c r="BD607" t="s">
        <v>74</v>
      </c>
      <c r="BE607" t="s">
        <v>11675</v>
      </c>
      <c r="BF607" t="str">
        <f>HYPERLINK("http://dx.doi.org/10.1111/rode.13045","http://dx.doi.org/10.1111/rode.13045")</f>
        <v>http://dx.doi.org/10.1111/rode.13045</v>
      </c>
      <c r="BG607" t="s">
        <v>74</v>
      </c>
      <c r="BH607" t="s">
        <v>7524</v>
      </c>
      <c r="BI607">
        <v>26</v>
      </c>
      <c r="BJ607" t="s">
        <v>11676</v>
      </c>
      <c r="BK607" t="s">
        <v>546</v>
      </c>
      <c r="BL607" t="s">
        <v>11677</v>
      </c>
      <c r="BM607" t="s">
        <v>11678</v>
      </c>
      <c r="BN607" t="s">
        <v>74</v>
      </c>
      <c r="BO607" t="s">
        <v>301</v>
      </c>
      <c r="BP607" t="s">
        <v>74</v>
      </c>
      <c r="BQ607" t="s">
        <v>74</v>
      </c>
      <c r="BR607" t="s">
        <v>99</v>
      </c>
      <c r="BS607" t="s">
        <v>11679</v>
      </c>
      <c r="BT607" t="str">
        <f>HYPERLINK("https%3A%2F%2Fwww.webofscience.com%2Fwos%2Fwoscc%2Ffull-record%2FWOS:001048506700001","View Full Record in Web of Science")</f>
        <v>View Full Record in Web of Science</v>
      </c>
    </row>
    <row r="608" spans="1:72" x14ac:dyDescent="0.15">
      <c r="A608" t="s">
        <v>72</v>
      </c>
      <c r="B608" t="s">
        <v>11680</v>
      </c>
      <c r="C608" t="s">
        <v>74</v>
      </c>
      <c r="D608" t="s">
        <v>74</v>
      </c>
      <c r="E608" t="s">
        <v>74</v>
      </c>
      <c r="F608" t="s">
        <v>11681</v>
      </c>
      <c r="G608" t="s">
        <v>74</v>
      </c>
      <c r="H608" t="s">
        <v>74</v>
      </c>
      <c r="I608" t="s">
        <v>11682</v>
      </c>
      <c r="J608" t="s">
        <v>7848</v>
      </c>
      <c r="K608" t="s">
        <v>74</v>
      </c>
      <c r="L608" t="s">
        <v>74</v>
      </c>
      <c r="M608" t="s">
        <v>78</v>
      </c>
      <c r="N608" t="s">
        <v>338</v>
      </c>
      <c r="O608" t="s">
        <v>74</v>
      </c>
      <c r="P608" t="s">
        <v>74</v>
      </c>
      <c r="Q608" t="s">
        <v>74</v>
      </c>
      <c r="R608" t="s">
        <v>74</v>
      </c>
      <c r="S608" t="s">
        <v>74</v>
      </c>
      <c r="T608" t="s">
        <v>11683</v>
      </c>
      <c r="U608" t="s">
        <v>74</v>
      </c>
      <c r="V608" t="s">
        <v>11684</v>
      </c>
      <c r="W608" t="s">
        <v>11685</v>
      </c>
      <c r="X608" t="s">
        <v>11686</v>
      </c>
      <c r="Y608" t="s">
        <v>11687</v>
      </c>
      <c r="Z608" t="s">
        <v>11688</v>
      </c>
      <c r="AA608" t="s">
        <v>74</v>
      </c>
      <c r="AB608" t="s">
        <v>11689</v>
      </c>
      <c r="AC608" t="s">
        <v>74</v>
      </c>
      <c r="AD608" t="s">
        <v>74</v>
      </c>
      <c r="AE608" t="s">
        <v>74</v>
      </c>
      <c r="AF608" t="s">
        <v>74</v>
      </c>
      <c r="AG608">
        <v>23</v>
      </c>
      <c r="AH608">
        <v>0</v>
      </c>
      <c r="AI608">
        <v>0</v>
      </c>
      <c r="AJ608">
        <v>0</v>
      </c>
      <c r="AK608">
        <v>0</v>
      </c>
      <c r="AL608" t="s">
        <v>87</v>
      </c>
      <c r="AM608" t="s">
        <v>88</v>
      </c>
      <c r="AN608" t="s">
        <v>89</v>
      </c>
      <c r="AO608" t="s">
        <v>7858</v>
      </c>
      <c r="AP608" t="s">
        <v>7859</v>
      </c>
      <c r="AQ608" t="s">
        <v>74</v>
      </c>
      <c r="AR608" t="s">
        <v>7860</v>
      </c>
      <c r="AS608" t="s">
        <v>7861</v>
      </c>
      <c r="AT608" t="s">
        <v>11487</v>
      </c>
      <c r="AU608">
        <v>2023</v>
      </c>
      <c r="AV608" t="s">
        <v>74</v>
      </c>
      <c r="AW608" t="s">
        <v>74</v>
      </c>
      <c r="AX608" t="s">
        <v>74</v>
      </c>
      <c r="AY608" t="s">
        <v>74</v>
      </c>
      <c r="AZ608" t="s">
        <v>74</v>
      </c>
      <c r="BA608" t="s">
        <v>74</v>
      </c>
      <c r="BB608" t="s">
        <v>74</v>
      </c>
      <c r="BC608" t="s">
        <v>74</v>
      </c>
      <c r="BD608" t="s">
        <v>74</v>
      </c>
      <c r="BE608" t="s">
        <v>11690</v>
      </c>
      <c r="BF608" t="str">
        <f>HYPERLINK("http://dx.doi.org/10.1111/inr.12874","http://dx.doi.org/10.1111/inr.12874")</f>
        <v>http://dx.doi.org/10.1111/inr.12874</v>
      </c>
      <c r="BG608" t="s">
        <v>74</v>
      </c>
      <c r="BH608" t="s">
        <v>7524</v>
      </c>
      <c r="BI608">
        <v>9</v>
      </c>
      <c r="BJ608" t="s">
        <v>5811</v>
      </c>
      <c r="BK608" t="s">
        <v>409</v>
      </c>
      <c r="BL608" t="s">
        <v>5811</v>
      </c>
      <c r="BM608" t="s">
        <v>11691</v>
      </c>
      <c r="BN608">
        <v>37577826</v>
      </c>
      <c r="BO608" t="s">
        <v>301</v>
      </c>
      <c r="BP608" t="s">
        <v>74</v>
      </c>
      <c r="BQ608" t="s">
        <v>74</v>
      </c>
      <c r="BR608" t="s">
        <v>99</v>
      </c>
      <c r="BS608" t="s">
        <v>11692</v>
      </c>
      <c r="BT608" t="str">
        <f>HYPERLINK("https%3A%2F%2Fwww.webofscience.com%2Fwos%2Fwoscc%2Ffull-record%2FWOS:001048771200001","View Full Record in Web of Science")</f>
        <v>View Full Record in Web of Science</v>
      </c>
    </row>
    <row r="609" spans="1:72" x14ac:dyDescent="0.15">
      <c r="A609" t="s">
        <v>72</v>
      </c>
      <c r="B609" t="s">
        <v>11693</v>
      </c>
      <c r="C609" t="s">
        <v>74</v>
      </c>
      <c r="D609" t="s">
        <v>74</v>
      </c>
      <c r="E609" t="s">
        <v>74</v>
      </c>
      <c r="F609" t="s">
        <v>11694</v>
      </c>
      <c r="G609" t="s">
        <v>74</v>
      </c>
      <c r="H609" t="s">
        <v>74</v>
      </c>
      <c r="I609" t="s">
        <v>11695</v>
      </c>
      <c r="J609" t="s">
        <v>11696</v>
      </c>
      <c r="K609" t="s">
        <v>74</v>
      </c>
      <c r="L609" t="s">
        <v>74</v>
      </c>
      <c r="M609" t="s">
        <v>78</v>
      </c>
      <c r="N609" t="s">
        <v>338</v>
      </c>
      <c r="O609" t="s">
        <v>74</v>
      </c>
      <c r="P609" t="s">
        <v>74</v>
      </c>
      <c r="Q609" t="s">
        <v>74</v>
      </c>
      <c r="R609" t="s">
        <v>74</v>
      </c>
      <c r="S609" t="s">
        <v>74</v>
      </c>
      <c r="T609" t="s">
        <v>11697</v>
      </c>
      <c r="U609" t="s">
        <v>11698</v>
      </c>
      <c r="V609" t="s">
        <v>11699</v>
      </c>
      <c r="W609" t="s">
        <v>11700</v>
      </c>
      <c r="X609" t="s">
        <v>11701</v>
      </c>
      <c r="Y609" t="s">
        <v>11702</v>
      </c>
      <c r="Z609" t="s">
        <v>11703</v>
      </c>
      <c r="AA609" t="s">
        <v>74</v>
      </c>
      <c r="AB609" t="s">
        <v>11704</v>
      </c>
      <c r="AC609" t="s">
        <v>11705</v>
      </c>
      <c r="AD609" t="s">
        <v>11706</v>
      </c>
      <c r="AE609" t="s">
        <v>11707</v>
      </c>
      <c r="AF609" t="s">
        <v>74</v>
      </c>
      <c r="AG609">
        <v>56</v>
      </c>
      <c r="AH609">
        <v>0</v>
      </c>
      <c r="AI609">
        <v>0</v>
      </c>
      <c r="AJ609">
        <v>4</v>
      </c>
      <c r="AK609">
        <v>4</v>
      </c>
      <c r="AL609" t="s">
        <v>87</v>
      </c>
      <c r="AM609" t="s">
        <v>88</v>
      </c>
      <c r="AN609" t="s">
        <v>89</v>
      </c>
      <c r="AO609" t="s">
        <v>11708</v>
      </c>
      <c r="AP609" t="s">
        <v>11709</v>
      </c>
      <c r="AQ609" t="s">
        <v>74</v>
      </c>
      <c r="AR609" t="s">
        <v>11710</v>
      </c>
      <c r="AS609" t="s">
        <v>11711</v>
      </c>
      <c r="AT609" t="s">
        <v>11487</v>
      </c>
      <c r="AU609">
        <v>2023</v>
      </c>
      <c r="AV609" t="s">
        <v>74</v>
      </c>
      <c r="AW609" t="s">
        <v>74</v>
      </c>
      <c r="AX609" t="s">
        <v>74</v>
      </c>
      <c r="AY609" t="s">
        <v>74</v>
      </c>
      <c r="AZ609" t="s">
        <v>74</v>
      </c>
      <c r="BA609" t="s">
        <v>74</v>
      </c>
      <c r="BB609" t="s">
        <v>74</v>
      </c>
      <c r="BC609" t="s">
        <v>74</v>
      </c>
      <c r="BD609" t="s">
        <v>74</v>
      </c>
      <c r="BE609" t="s">
        <v>11712</v>
      </c>
      <c r="BF609" t="str">
        <f>HYPERLINK("http://dx.doi.org/10.1002/jbm.b.35307","http://dx.doi.org/10.1002/jbm.b.35307")</f>
        <v>http://dx.doi.org/10.1002/jbm.b.35307</v>
      </c>
      <c r="BG609" t="s">
        <v>74</v>
      </c>
      <c r="BH609" t="s">
        <v>7524</v>
      </c>
      <c r="BI609">
        <v>9</v>
      </c>
      <c r="BJ609" t="s">
        <v>11713</v>
      </c>
      <c r="BK609" t="s">
        <v>119</v>
      </c>
      <c r="BL609" t="s">
        <v>5390</v>
      </c>
      <c r="BM609" t="s">
        <v>11714</v>
      </c>
      <c r="BN609">
        <v>37578020</v>
      </c>
      <c r="BO609" t="s">
        <v>74</v>
      </c>
      <c r="BP609" t="s">
        <v>74</v>
      </c>
      <c r="BQ609" t="s">
        <v>74</v>
      </c>
      <c r="BR609" t="s">
        <v>99</v>
      </c>
      <c r="BS609" t="s">
        <v>11715</v>
      </c>
      <c r="BT609" t="str">
        <f>HYPERLINK("https%3A%2F%2Fwww.webofscience.com%2Fwos%2Fwoscc%2Ffull-record%2FWOS:001048534000001","View Full Record in Web of Science")</f>
        <v>View Full Record in Web of Science</v>
      </c>
    </row>
    <row r="610" spans="1:72" x14ac:dyDescent="0.15">
      <c r="A610" t="s">
        <v>72</v>
      </c>
      <c r="B610" t="s">
        <v>11716</v>
      </c>
      <c r="C610" t="s">
        <v>74</v>
      </c>
      <c r="D610" t="s">
        <v>74</v>
      </c>
      <c r="E610" t="s">
        <v>74</v>
      </c>
      <c r="F610" t="s">
        <v>11717</v>
      </c>
      <c r="G610" t="s">
        <v>74</v>
      </c>
      <c r="H610" t="s">
        <v>74</v>
      </c>
      <c r="I610" t="s">
        <v>11718</v>
      </c>
      <c r="J610" t="s">
        <v>11719</v>
      </c>
      <c r="K610" t="s">
        <v>74</v>
      </c>
      <c r="L610" t="s">
        <v>74</v>
      </c>
      <c r="M610" t="s">
        <v>78</v>
      </c>
      <c r="N610" t="s">
        <v>338</v>
      </c>
      <c r="O610" t="s">
        <v>74</v>
      </c>
      <c r="P610" t="s">
        <v>74</v>
      </c>
      <c r="Q610" t="s">
        <v>74</v>
      </c>
      <c r="R610" t="s">
        <v>74</v>
      </c>
      <c r="S610" t="s">
        <v>74</v>
      </c>
      <c r="T610" t="s">
        <v>74</v>
      </c>
      <c r="U610" t="s">
        <v>11720</v>
      </c>
      <c r="V610" t="s">
        <v>11721</v>
      </c>
      <c r="W610" t="s">
        <v>11722</v>
      </c>
      <c r="X610" t="s">
        <v>11723</v>
      </c>
      <c r="Y610" t="s">
        <v>11724</v>
      </c>
      <c r="Z610" t="s">
        <v>11725</v>
      </c>
      <c r="AA610" t="s">
        <v>74</v>
      </c>
      <c r="AB610" t="s">
        <v>11726</v>
      </c>
      <c r="AC610" t="s">
        <v>11727</v>
      </c>
      <c r="AD610" t="s">
        <v>11727</v>
      </c>
      <c r="AE610" t="s">
        <v>11728</v>
      </c>
      <c r="AF610" t="s">
        <v>74</v>
      </c>
      <c r="AG610">
        <v>58</v>
      </c>
      <c r="AH610">
        <v>0</v>
      </c>
      <c r="AI610">
        <v>0</v>
      </c>
      <c r="AJ610">
        <v>0</v>
      </c>
      <c r="AK610">
        <v>0</v>
      </c>
      <c r="AL610" t="s">
        <v>87</v>
      </c>
      <c r="AM610" t="s">
        <v>88</v>
      </c>
      <c r="AN610" t="s">
        <v>89</v>
      </c>
      <c r="AO610" t="s">
        <v>11729</v>
      </c>
      <c r="AP610" t="s">
        <v>11730</v>
      </c>
      <c r="AQ610" t="s">
        <v>74</v>
      </c>
      <c r="AR610" t="s">
        <v>11731</v>
      </c>
      <c r="AS610" t="s">
        <v>74</v>
      </c>
      <c r="AT610" t="s">
        <v>11487</v>
      </c>
      <c r="AU610">
        <v>2023</v>
      </c>
      <c r="AV610" t="s">
        <v>74</v>
      </c>
      <c r="AW610" t="s">
        <v>74</v>
      </c>
      <c r="AX610" t="s">
        <v>74</v>
      </c>
      <c r="AY610" t="s">
        <v>74</v>
      </c>
      <c r="AZ610" t="s">
        <v>74</v>
      </c>
      <c r="BA610" t="s">
        <v>74</v>
      </c>
      <c r="BB610" t="s">
        <v>74</v>
      </c>
      <c r="BC610" t="s">
        <v>74</v>
      </c>
      <c r="BD610" t="s">
        <v>74</v>
      </c>
      <c r="BE610" t="s">
        <v>11732</v>
      </c>
      <c r="BF610" t="str">
        <f>HYPERLINK("http://dx.doi.org/10.1002/asi.24823","http://dx.doi.org/10.1002/asi.24823")</f>
        <v>http://dx.doi.org/10.1002/asi.24823</v>
      </c>
      <c r="BG610" t="s">
        <v>74</v>
      </c>
      <c r="BH610" t="s">
        <v>7524</v>
      </c>
      <c r="BI610">
        <v>17</v>
      </c>
      <c r="BJ610" t="s">
        <v>11733</v>
      </c>
      <c r="BK610" t="s">
        <v>409</v>
      </c>
      <c r="BL610" t="s">
        <v>11734</v>
      </c>
      <c r="BM610" t="s">
        <v>11735</v>
      </c>
      <c r="BN610" t="s">
        <v>74</v>
      </c>
      <c r="BO610" t="s">
        <v>74</v>
      </c>
      <c r="BP610" t="s">
        <v>74</v>
      </c>
      <c r="BQ610" t="s">
        <v>74</v>
      </c>
      <c r="BR610" t="s">
        <v>99</v>
      </c>
      <c r="BS610" t="s">
        <v>11736</v>
      </c>
      <c r="BT610" t="str">
        <f>HYPERLINK("https%3A%2F%2Fwww.webofscience.com%2Fwos%2Fwoscc%2Ffull-record%2FWOS:001054226200001","View Full Record in Web of Science")</f>
        <v>View Full Record in Web of Science</v>
      </c>
    </row>
    <row r="611" spans="1:72" x14ac:dyDescent="0.15">
      <c r="A611" t="s">
        <v>72</v>
      </c>
      <c r="B611" t="s">
        <v>11737</v>
      </c>
      <c r="C611" t="s">
        <v>74</v>
      </c>
      <c r="D611" t="s">
        <v>74</v>
      </c>
      <c r="E611" t="s">
        <v>74</v>
      </c>
      <c r="F611" t="s">
        <v>11738</v>
      </c>
      <c r="G611" t="s">
        <v>74</v>
      </c>
      <c r="H611" t="s">
        <v>74</v>
      </c>
      <c r="I611" t="s">
        <v>11739</v>
      </c>
      <c r="J611" t="s">
        <v>11740</v>
      </c>
      <c r="K611" t="s">
        <v>74</v>
      </c>
      <c r="L611" t="s">
        <v>74</v>
      </c>
      <c r="M611" t="s">
        <v>78</v>
      </c>
      <c r="N611" t="s">
        <v>338</v>
      </c>
      <c r="O611" t="s">
        <v>74</v>
      </c>
      <c r="P611" t="s">
        <v>74</v>
      </c>
      <c r="Q611" t="s">
        <v>74</v>
      </c>
      <c r="R611" t="s">
        <v>74</v>
      </c>
      <c r="S611" t="s">
        <v>74</v>
      </c>
      <c r="T611" t="s">
        <v>11741</v>
      </c>
      <c r="U611" t="s">
        <v>11742</v>
      </c>
      <c r="V611" t="s">
        <v>11743</v>
      </c>
      <c r="W611" t="s">
        <v>11744</v>
      </c>
      <c r="X611" t="s">
        <v>11745</v>
      </c>
      <c r="Y611" t="s">
        <v>11746</v>
      </c>
      <c r="Z611" t="s">
        <v>11747</v>
      </c>
      <c r="AA611" t="s">
        <v>11748</v>
      </c>
      <c r="AB611" t="s">
        <v>11749</v>
      </c>
      <c r="AC611" t="s">
        <v>11750</v>
      </c>
      <c r="AD611" t="s">
        <v>11750</v>
      </c>
      <c r="AE611" t="s">
        <v>11750</v>
      </c>
      <c r="AF611" t="s">
        <v>74</v>
      </c>
      <c r="AG611">
        <v>40</v>
      </c>
      <c r="AH611">
        <v>0</v>
      </c>
      <c r="AI611">
        <v>0</v>
      </c>
      <c r="AJ611">
        <v>0</v>
      </c>
      <c r="AK611">
        <v>0</v>
      </c>
      <c r="AL611" t="s">
        <v>87</v>
      </c>
      <c r="AM611" t="s">
        <v>88</v>
      </c>
      <c r="AN611" t="s">
        <v>89</v>
      </c>
      <c r="AO611" t="s">
        <v>74</v>
      </c>
      <c r="AP611" t="s">
        <v>11751</v>
      </c>
      <c r="AQ611" t="s">
        <v>74</v>
      </c>
      <c r="AR611" t="s">
        <v>11752</v>
      </c>
      <c r="AS611" t="s">
        <v>11753</v>
      </c>
      <c r="AT611" t="s">
        <v>11754</v>
      </c>
      <c r="AU611">
        <v>2023</v>
      </c>
      <c r="AV611" t="s">
        <v>74</v>
      </c>
      <c r="AW611" t="s">
        <v>74</v>
      </c>
      <c r="AX611" t="s">
        <v>74</v>
      </c>
      <c r="AY611" t="s">
        <v>74</v>
      </c>
      <c r="AZ611" t="s">
        <v>74</v>
      </c>
      <c r="BA611" t="s">
        <v>74</v>
      </c>
      <c r="BB611" t="s">
        <v>74</v>
      </c>
      <c r="BC611" t="s">
        <v>74</v>
      </c>
      <c r="BD611" t="s">
        <v>74</v>
      </c>
      <c r="BE611" t="s">
        <v>11755</v>
      </c>
      <c r="BF611" t="str">
        <f>HYPERLINK("http://dx.doi.org/10.1002/eng2.12750","http://dx.doi.org/10.1002/eng2.12750")</f>
        <v>http://dx.doi.org/10.1002/eng2.12750</v>
      </c>
      <c r="BG611" t="s">
        <v>74</v>
      </c>
      <c r="BH611" t="s">
        <v>7524</v>
      </c>
      <c r="BI611">
        <v>11</v>
      </c>
      <c r="BJ611" t="s">
        <v>11756</v>
      </c>
      <c r="BK611" t="s">
        <v>96</v>
      </c>
      <c r="BL611" t="s">
        <v>11757</v>
      </c>
      <c r="BM611" t="s">
        <v>11758</v>
      </c>
      <c r="BN611" t="s">
        <v>74</v>
      </c>
      <c r="BO611" t="s">
        <v>234</v>
      </c>
      <c r="BP611" t="s">
        <v>74</v>
      </c>
      <c r="BQ611" t="s">
        <v>74</v>
      </c>
      <c r="BR611" t="s">
        <v>99</v>
      </c>
      <c r="BS611" t="s">
        <v>11759</v>
      </c>
      <c r="BT611" t="str">
        <f>HYPERLINK("https%3A%2F%2Fwww.webofscience.com%2Fwos%2Fwoscc%2Ffull-record%2FWOS:001048548400001","View Full Record in Web of Science")</f>
        <v>View Full Record in Web of Science</v>
      </c>
    </row>
    <row r="612" spans="1:72" x14ac:dyDescent="0.15">
      <c r="A612" t="s">
        <v>72</v>
      </c>
      <c r="B612" t="s">
        <v>11760</v>
      </c>
      <c r="C612" t="s">
        <v>74</v>
      </c>
      <c r="D612" t="s">
        <v>74</v>
      </c>
      <c r="E612" t="s">
        <v>74</v>
      </c>
      <c r="F612" t="s">
        <v>11761</v>
      </c>
      <c r="G612" t="s">
        <v>74</v>
      </c>
      <c r="H612" t="s">
        <v>74</v>
      </c>
      <c r="I612" t="s">
        <v>11762</v>
      </c>
      <c r="J612" t="s">
        <v>11763</v>
      </c>
      <c r="K612" t="s">
        <v>74</v>
      </c>
      <c r="L612" t="s">
        <v>74</v>
      </c>
      <c r="M612" t="s">
        <v>78</v>
      </c>
      <c r="N612" t="s">
        <v>338</v>
      </c>
      <c r="O612" t="s">
        <v>74</v>
      </c>
      <c r="P612" t="s">
        <v>74</v>
      </c>
      <c r="Q612" t="s">
        <v>74</v>
      </c>
      <c r="R612" t="s">
        <v>74</v>
      </c>
      <c r="S612" t="s">
        <v>74</v>
      </c>
      <c r="T612" t="s">
        <v>11764</v>
      </c>
      <c r="U612" t="s">
        <v>11765</v>
      </c>
      <c r="V612" t="s">
        <v>11766</v>
      </c>
      <c r="W612" t="s">
        <v>11767</v>
      </c>
      <c r="X612" t="s">
        <v>11768</v>
      </c>
      <c r="Y612" t="s">
        <v>11769</v>
      </c>
      <c r="Z612" t="s">
        <v>11770</v>
      </c>
      <c r="AA612" t="s">
        <v>11771</v>
      </c>
      <c r="AB612" t="s">
        <v>11772</v>
      </c>
      <c r="AC612" t="s">
        <v>74</v>
      </c>
      <c r="AD612" t="s">
        <v>74</v>
      </c>
      <c r="AE612" t="s">
        <v>74</v>
      </c>
      <c r="AF612" t="s">
        <v>74</v>
      </c>
      <c r="AG612">
        <v>10</v>
      </c>
      <c r="AH612">
        <v>0</v>
      </c>
      <c r="AI612">
        <v>0</v>
      </c>
      <c r="AJ612">
        <v>1</v>
      </c>
      <c r="AK612">
        <v>1</v>
      </c>
      <c r="AL612" t="s">
        <v>87</v>
      </c>
      <c r="AM612" t="s">
        <v>88</v>
      </c>
      <c r="AN612" t="s">
        <v>1412</v>
      </c>
      <c r="AO612" t="s">
        <v>11773</v>
      </c>
      <c r="AP612" t="s">
        <v>11774</v>
      </c>
      <c r="AQ612" t="s">
        <v>74</v>
      </c>
      <c r="AR612" t="s">
        <v>11775</v>
      </c>
      <c r="AS612" t="s">
        <v>11776</v>
      </c>
      <c r="AT612" t="s">
        <v>11754</v>
      </c>
      <c r="AU612">
        <v>2023</v>
      </c>
      <c r="AV612" t="s">
        <v>74</v>
      </c>
      <c r="AW612" t="s">
        <v>74</v>
      </c>
      <c r="AX612" t="s">
        <v>74</v>
      </c>
      <c r="AY612" t="s">
        <v>74</v>
      </c>
      <c r="AZ612" t="s">
        <v>74</v>
      </c>
      <c r="BA612" t="s">
        <v>74</v>
      </c>
      <c r="BB612" t="s">
        <v>74</v>
      </c>
      <c r="BC612" t="s">
        <v>74</v>
      </c>
      <c r="BD612" t="s">
        <v>74</v>
      </c>
      <c r="BE612" t="s">
        <v>11777</v>
      </c>
      <c r="BF612" t="str">
        <f>HYPERLINK("http://dx.doi.org/10.1111/ases.13240","http://dx.doi.org/10.1111/ases.13240")</f>
        <v>http://dx.doi.org/10.1111/ases.13240</v>
      </c>
      <c r="BG612" t="s">
        <v>74</v>
      </c>
      <c r="BH612" t="s">
        <v>7524</v>
      </c>
      <c r="BI612">
        <v>5</v>
      </c>
      <c r="BJ612" t="s">
        <v>2563</v>
      </c>
      <c r="BK612" t="s">
        <v>96</v>
      </c>
      <c r="BL612" t="s">
        <v>2563</v>
      </c>
      <c r="BM612" t="s">
        <v>11778</v>
      </c>
      <c r="BN612">
        <v>37574440</v>
      </c>
      <c r="BO612" t="s">
        <v>301</v>
      </c>
      <c r="BP612" t="s">
        <v>74</v>
      </c>
      <c r="BQ612" t="s">
        <v>74</v>
      </c>
      <c r="BR612" t="s">
        <v>99</v>
      </c>
      <c r="BS612" t="s">
        <v>11779</v>
      </c>
      <c r="BT612" t="str">
        <f>HYPERLINK("https%3A%2F%2Fwww.webofscience.com%2Fwos%2Fwoscc%2Ffull-record%2FWOS:001046957100001","View Full Record in Web of Science")</f>
        <v>View Full Record in Web of Science</v>
      </c>
    </row>
    <row r="613" spans="1:72" x14ac:dyDescent="0.15">
      <c r="A613" t="s">
        <v>72</v>
      </c>
      <c r="B613" t="s">
        <v>11780</v>
      </c>
      <c r="C613" t="s">
        <v>74</v>
      </c>
      <c r="D613" t="s">
        <v>74</v>
      </c>
      <c r="E613" t="s">
        <v>74</v>
      </c>
      <c r="F613" t="s">
        <v>11781</v>
      </c>
      <c r="G613" t="s">
        <v>74</v>
      </c>
      <c r="H613" t="s">
        <v>74</v>
      </c>
      <c r="I613" t="s">
        <v>11782</v>
      </c>
      <c r="J613" t="s">
        <v>11783</v>
      </c>
      <c r="K613" t="s">
        <v>74</v>
      </c>
      <c r="L613" t="s">
        <v>74</v>
      </c>
      <c r="M613" t="s">
        <v>78</v>
      </c>
      <c r="N613" t="s">
        <v>338</v>
      </c>
      <c r="O613" t="s">
        <v>74</v>
      </c>
      <c r="P613" t="s">
        <v>74</v>
      </c>
      <c r="Q613" t="s">
        <v>74</v>
      </c>
      <c r="R613" t="s">
        <v>74</v>
      </c>
      <c r="S613" t="s">
        <v>74</v>
      </c>
      <c r="T613" t="s">
        <v>74</v>
      </c>
      <c r="U613" t="s">
        <v>11784</v>
      </c>
      <c r="V613" t="s">
        <v>11785</v>
      </c>
      <c r="W613" t="s">
        <v>11786</v>
      </c>
      <c r="X613" t="s">
        <v>11787</v>
      </c>
      <c r="Y613" t="s">
        <v>11788</v>
      </c>
      <c r="Z613" t="s">
        <v>11789</v>
      </c>
      <c r="AA613" t="s">
        <v>74</v>
      </c>
      <c r="AB613" t="s">
        <v>74</v>
      </c>
      <c r="AC613" t="s">
        <v>74</v>
      </c>
      <c r="AD613" t="s">
        <v>74</v>
      </c>
      <c r="AE613" t="s">
        <v>74</v>
      </c>
      <c r="AF613" t="s">
        <v>74</v>
      </c>
      <c r="AG613">
        <v>46</v>
      </c>
      <c r="AH613">
        <v>0</v>
      </c>
      <c r="AI613">
        <v>0</v>
      </c>
      <c r="AJ613">
        <v>13</v>
      </c>
      <c r="AK613">
        <v>13</v>
      </c>
      <c r="AL613" t="s">
        <v>87</v>
      </c>
      <c r="AM613" t="s">
        <v>88</v>
      </c>
      <c r="AN613" t="s">
        <v>89</v>
      </c>
      <c r="AO613" t="s">
        <v>11790</v>
      </c>
      <c r="AP613" t="s">
        <v>11791</v>
      </c>
      <c r="AQ613" t="s">
        <v>74</v>
      </c>
      <c r="AR613" t="s">
        <v>11792</v>
      </c>
      <c r="AS613" t="s">
        <v>11793</v>
      </c>
      <c r="AT613" t="s">
        <v>11754</v>
      </c>
      <c r="AU613">
        <v>2023</v>
      </c>
      <c r="AV613" t="s">
        <v>74</v>
      </c>
      <c r="AW613" t="s">
        <v>74</v>
      </c>
      <c r="AX613" t="s">
        <v>74</v>
      </c>
      <c r="AY613" t="s">
        <v>74</v>
      </c>
      <c r="AZ613" t="s">
        <v>74</v>
      </c>
      <c r="BA613" t="s">
        <v>74</v>
      </c>
      <c r="BB613" t="s">
        <v>74</v>
      </c>
      <c r="BC613" t="s">
        <v>74</v>
      </c>
      <c r="BD613" t="s">
        <v>74</v>
      </c>
      <c r="BE613" t="s">
        <v>11794</v>
      </c>
      <c r="BF613" t="str">
        <f>HYPERLINK("http://dx.doi.org/10.1111/jofi.13268","http://dx.doi.org/10.1111/jofi.13268")</f>
        <v>http://dx.doi.org/10.1111/jofi.13268</v>
      </c>
      <c r="BG613" t="s">
        <v>74</v>
      </c>
      <c r="BH613" t="s">
        <v>7524</v>
      </c>
      <c r="BI613">
        <v>57</v>
      </c>
      <c r="BJ613" t="s">
        <v>587</v>
      </c>
      <c r="BK613" t="s">
        <v>546</v>
      </c>
      <c r="BL613" t="s">
        <v>547</v>
      </c>
      <c r="BM613" t="s">
        <v>11795</v>
      </c>
      <c r="BN613" t="s">
        <v>74</v>
      </c>
      <c r="BO613" t="s">
        <v>74</v>
      </c>
      <c r="BP613" t="s">
        <v>74</v>
      </c>
      <c r="BQ613" t="s">
        <v>74</v>
      </c>
      <c r="BR613" t="s">
        <v>99</v>
      </c>
      <c r="BS613" t="s">
        <v>11796</v>
      </c>
      <c r="BT613" t="str">
        <f>HYPERLINK("https%3A%2F%2Fwww.webofscience.com%2Fwos%2Fwoscc%2Ffull-record%2FWOS:001047347400001","View Full Record in Web of Science")</f>
        <v>View Full Record in Web of Science</v>
      </c>
    </row>
    <row r="614" spans="1:72" x14ac:dyDescent="0.15">
      <c r="A614" t="s">
        <v>72</v>
      </c>
      <c r="B614" t="s">
        <v>11797</v>
      </c>
      <c r="C614" t="s">
        <v>74</v>
      </c>
      <c r="D614" t="s">
        <v>74</v>
      </c>
      <c r="E614" t="s">
        <v>74</v>
      </c>
      <c r="F614" t="s">
        <v>11798</v>
      </c>
      <c r="G614" t="s">
        <v>74</v>
      </c>
      <c r="H614" t="s">
        <v>74</v>
      </c>
      <c r="I614" t="s">
        <v>11799</v>
      </c>
      <c r="J614" t="s">
        <v>11800</v>
      </c>
      <c r="K614" t="s">
        <v>74</v>
      </c>
      <c r="L614" t="s">
        <v>74</v>
      </c>
      <c r="M614" t="s">
        <v>78</v>
      </c>
      <c r="N614" t="s">
        <v>338</v>
      </c>
      <c r="O614" t="s">
        <v>74</v>
      </c>
      <c r="P614" t="s">
        <v>74</v>
      </c>
      <c r="Q614" t="s">
        <v>74</v>
      </c>
      <c r="R614" t="s">
        <v>74</v>
      </c>
      <c r="S614" t="s">
        <v>74</v>
      </c>
      <c r="T614" t="s">
        <v>11801</v>
      </c>
      <c r="U614" t="s">
        <v>11802</v>
      </c>
      <c r="V614" t="s">
        <v>11803</v>
      </c>
      <c r="W614" t="s">
        <v>11804</v>
      </c>
      <c r="X614" t="s">
        <v>11805</v>
      </c>
      <c r="Y614" t="s">
        <v>11806</v>
      </c>
      <c r="Z614" t="s">
        <v>11807</v>
      </c>
      <c r="AA614" t="s">
        <v>11808</v>
      </c>
      <c r="AB614" t="s">
        <v>11809</v>
      </c>
      <c r="AC614" t="s">
        <v>11810</v>
      </c>
      <c r="AD614" t="s">
        <v>11811</v>
      </c>
      <c r="AE614" t="s">
        <v>11812</v>
      </c>
      <c r="AF614" t="s">
        <v>74</v>
      </c>
      <c r="AG614">
        <v>41</v>
      </c>
      <c r="AH614">
        <v>0</v>
      </c>
      <c r="AI614">
        <v>0</v>
      </c>
      <c r="AJ614">
        <v>0</v>
      </c>
      <c r="AK614">
        <v>0</v>
      </c>
      <c r="AL614" t="s">
        <v>87</v>
      </c>
      <c r="AM614" t="s">
        <v>88</v>
      </c>
      <c r="AN614" t="s">
        <v>89</v>
      </c>
      <c r="AO614" t="s">
        <v>11813</v>
      </c>
      <c r="AP614" t="s">
        <v>11814</v>
      </c>
      <c r="AQ614" t="s">
        <v>74</v>
      </c>
      <c r="AR614" t="s">
        <v>11815</v>
      </c>
      <c r="AS614" t="s">
        <v>11816</v>
      </c>
      <c r="AT614" t="s">
        <v>11754</v>
      </c>
      <c r="AU614">
        <v>2023</v>
      </c>
      <c r="AV614" t="s">
        <v>74</v>
      </c>
      <c r="AW614" t="s">
        <v>74</v>
      </c>
      <c r="AX614" t="s">
        <v>74</v>
      </c>
      <c r="AY614" t="s">
        <v>74</v>
      </c>
      <c r="AZ614" t="s">
        <v>74</v>
      </c>
      <c r="BA614" t="s">
        <v>74</v>
      </c>
      <c r="BB614" t="s">
        <v>74</v>
      </c>
      <c r="BC614" t="s">
        <v>74</v>
      </c>
      <c r="BD614" t="s">
        <v>74</v>
      </c>
      <c r="BE614" t="s">
        <v>11817</v>
      </c>
      <c r="BF614" t="str">
        <f>HYPERLINK("http://dx.doi.org/10.1111/aec.13410","http://dx.doi.org/10.1111/aec.13410")</f>
        <v>http://dx.doi.org/10.1111/aec.13410</v>
      </c>
      <c r="BG614" t="s">
        <v>74</v>
      </c>
      <c r="BH614" t="s">
        <v>7524</v>
      </c>
      <c r="BI614">
        <v>14</v>
      </c>
      <c r="BJ614" t="s">
        <v>3316</v>
      </c>
      <c r="BK614" t="s">
        <v>119</v>
      </c>
      <c r="BL614" t="s">
        <v>3317</v>
      </c>
      <c r="BM614" t="s">
        <v>11818</v>
      </c>
      <c r="BN614" t="s">
        <v>74</v>
      </c>
      <c r="BO614" t="s">
        <v>122</v>
      </c>
      <c r="BP614" t="s">
        <v>74</v>
      </c>
      <c r="BQ614" t="s">
        <v>74</v>
      </c>
      <c r="BR614" t="s">
        <v>99</v>
      </c>
      <c r="BS614" t="s">
        <v>11819</v>
      </c>
      <c r="BT614" t="str">
        <f>HYPERLINK("https%3A%2F%2Fwww.webofscience.com%2Fwos%2Fwoscc%2Ffull-record%2FWOS:001048557000001","View Full Record in Web of Science")</f>
        <v>View Full Record in Web of Science</v>
      </c>
    </row>
    <row r="615" spans="1:72" x14ac:dyDescent="0.15">
      <c r="A615" t="s">
        <v>72</v>
      </c>
      <c r="B615" t="s">
        <v>11820</v>
      </c>
      <c r="C615" t="s">
        <v>74</v>
      </c>
      <c r="D615" t="s">
        <v>74</v>
      </c>
      <c r="E615" t="s">
        <v>74</v>
      </c>
      <c r="F615" t="s">
        <v>11821</v>
      </c>
      <c r="G615" t="s">
        <v>74</v>
      </c>
      <c r="H615" t="s">
        <v>74</v>
      </c>
      <c r="I615" t="s">
        <v>11822</v>
      </c>
      <c r="J615" t="s">
        <v>11823</v>
      </c>
      <c r="K615" t="s">
        <v>74</v>
      </c>
      <c r="L615" t="s">
        <v>74</v>
      </c>
      <c r="M615" t="s">
        <v>78</v>
      </c>
      <c r="N615" t="s">
        <v>594</v>
      </c>
      <c r="O615" t="s">
        <v>74</v>
      </c>
      <c r="P615" t="s">
        <v>74</v>
      </c>
      <c r="Q615" t="s">
        <v>74</v>
      </c>
      <c r="R615" t="s">
        <v>74</v>
      </c>
      <c r="S615" t="s">
        <v>74</v>
      </c>
      <c r="T615" t="s">
        <v>11824</v>
      </c>
      <c r="U615" t="s">
        <v>11825</v>
      </c>
      <c r="V615" t="s">
        <v>11826</v>
      </c>
      <c r="W615" t="s">
        <v>11827</v>
      </c>
      <c r="X615" t="s">
        <v>11828</v>
      </c>
      <c r="Y615" t="s">
        <v>11829</v>
      </c>
      <c r="Z615" t="s">
        <v>11830</v>
      </c>
      <c r="AA615" t="s">
        <v>74</v>
      </c>
      <c r="AB615" t="s">
        <v>74</v>
      </c>
      <c r="AC615" t="s">
        <v>11831</v>
      </c>
      <c r="AD615" t="s">
        <v>11832</v>
      </c>
      <c r="AE615" t="s">
        <v>11833</v>
      </c>
      <c r="AF615" t="s">
        <v>74</v>
      </c>
      <c r="AG615">
        <v>66</v>
      </c>
      <c r="AH615">
        <v>0</v>
      </c>
      <c r="AI615">
        <v>0</v>
      </c>
      <c r="AJ615">
        <v>0</v>
      </c>
      <c r="AK615">
        <v>0</v>
      </c>
      <c r="AL615" t="s">
        <v>87</v>
      </c>
      <c r="AM615" t="s">
        <v>88</v>
      </c>
      <c r="AN615" t="s">
        <v>89</v>
      </c>
      <c r="AO615" t="s">
        <v>11834</v>
      </c>
      <c r="AP615" t="s">
        <v>11835</v>
      </c>
      <c r="AQ615" t="s">
        <v>74</v>
      </c>
      <c r="AR615" t="s">
        <v>11836</v>
      </c>
      <c r="AS615" t="s">
        <v>11837</v>
      </c>
      <c r="AT615" t="s">
        <v>11754</v>
      </c>
      <c r="AU615">
        <v>2023</v>
      </c>
      <c r="AV615" t="s">
        <v>74</v>
      </c>
      <c r="AW615" t="s">
        <v>74</v>
      </c>
      <c r="AX615" t="s">
        <v>74</v>
      </c>
      <c r="AY615" t="s">
        <v>74</v>
      </c>
      <c r="AZ615" t="s">
        <v>74</v>
      </c>
      <c r="BA615" t="s">
        <v>74</v>
      </c>
      <c r="BB615" t="s">
        <v>74</v>
      </c>
      <c r="BC615" t="s">
        <v>74</v>
      </c>
      <c r="BD615" t="s">
        <v>74</v>
      </c>
      <c r="BE615" t="s">
        <v>11838</v>
      </c>
      <c r="BF615" t="str">
        <f>HYPERLINK("http://dx.doi.org/10.1111/nejo.12438","http://dx.doi.org/10.1111/nejo.12438")</f>
        <v>http://dx.doi.org/10.1111/nejo.12438</v>
      </c>
      <c r="BG615" t="s">
        <v>74</v>
      </c>
      <c r="BH615" t="s">
        <v>7524</v>
      </c>
      <c r="BI615">
        <v>20</v>
      </c>
      <c r="BJ615" t="s">
        <v>11839</v>
      </c>
      <c r="BK615" t="s">
        <v>546</v>
      </c>
      <c r="BL615" t="s">
        <v>2449</v>
      </c>
      <c r="BM615" t="s">
        <v>11840</v>
      </c>
      <c r="BN615" t="s">
        <v>74</v>
      </c>
      <c r="BO615" t="s">
        <v>122</v>
      </c>
      <c r="BP615" t="s">
        <v>74</v>
      </c>
      <c r="BQ615" t="s">
        <v>74</v>
      </c>
      <c r="BR615" t="s">
        <v>99</v>
      </c>
      <c r="BS615" t="s">
        <v>11841</v>
      </c>
      <c r="BT615" t="str">
        <f>HYPERLINK("https%3A%2F%2Fwww.webofscience.com%2Fwos%2Fwoscc%2Ffull-record%2FWOS:001047998800001","View Full Record in Web of Science")</f>
        <v>View Full Record in Web of Science</v>
      </c>
    </row>
    <row r="616" spans="1:72" x14ac:dyDescent="0.15">
      <c r="A616" t="s">
        <v>72</v>
      </c>
      <c r="B616" t="s">
        <v>11842</v>
      </c>
      <c r="C616" t="s">
        <v>74</v>
      </c>
      <c r="D616" t="s">
        <v>74</v>
      </c>
      <c r="E616" t="s">
        <v>74</v>
      </c>
      <c r="F616" t="s">
        <v>11843</v>
      </c>
      <c r="G616" t="s">
        <v>74</v>
      </c>
      <c r="H616" t="s">
        <v>74</v>
      </c>
      <c r="I616" t="s">
        <v>11844</v>
      </c>
      <c r="J616" t="s">
        <v>4225</v>
      </c>
      <c r="K616" t="s">
        <v>74</v>
      </c>
      <c r="L616" t="s">
        <v>74</v>
      </c>
      <c r="M616" t="s">
        <v>78</v>
      </c>
      <c r="N616" t="s">
        <v>2743</v>
      </c>
      <c r="O616" t="s">
        <v>74</v>
      </c>
      <c r="P616" t="s">
        <v>74</v>
      </c>
      <c r="Q616" t="s">
        <v>74</v>
      </c>
      <c r="R616" t="s">
        <v>74</v>
      </c>
      <c r="S616" t="s">
        <v>74</v>
      </c>
      <c r="T616" t="s">
        <v>74</v>
      </c>
      <c r="U616" t="s">
        <v>74</v>
      </c>
      <c r="V616" t="s">
        <v>74</v>
      </c>
      <c r="W616" t="s">
        <v>74</v>
      </c>
      <c r="X616" t="s">
        <v>74</v>
      </c>
      <c r="Y616" t="s">
        <v>74</v>
      </c>
      <c r="Z616" t="s">
        <v>11845</v>
      </c>
      <c r="AA616" t="s">
        <v>74</v>
      </c>
      <c r="AB616" t="s">
        <v>74</v>
      </c>
      <c r="AC616" t="s">
        <v>74</v>
      </c>
      <c r="AD616" t="s">
        <v>74</v>
      </c>
      <c r="AE616" t="s">
        <v>74</v>
      </c>
      <c r="AF616" t="s">
        <v>74</v>
      </c>
      <c r="AG616">
        <v>2</v>
      </c>
      <c r="AH616">
        <v>0</v>
      </c>
      <c r="AI616">
        <v>0</v>
      </c>
      <c r="AJ616">
        <v>0</v>
      </c>
      <c r="AK616">
        <v>0</v>
      </c>
      <c r="AL616" t="s">
        <v>87</v>
      </c>
      <c r="AM616" t="s">
        <v>88</v>
      </c>
      <c r="AN616" t="s">
        <v>89</v>
      </c>
      <c r="AO616" t="s">
        <v>4233</v>
      </c>
      <c r="AP616" t="s">
        <v>4234</v>
      </c>
      <c r="AQ616" t="s">
        <v>74</v>
      </c>
      <c r="AR616" t="s">
        <v>4235</v>
      </c>
      <c r="AS616" t="s">
        <v>4236</v>
      </c>
      <c r="AT616" t="s">
        <v>11754</v>
      </c>
      <c r="AU616">
        <v>2023</v>
      </c>
      <c r="AV616" t="s">
        <v>74</v>
      </c>
      <c r="AW616" t="s">
        <v>74</v>
      </c>
      <c r="AX616" t="s">
        <v>74</v>
      </c>
      <c r="AY616" t="s">
        <v>74</v>
      </c>
      <c r="AZ616" t="s">
        <v>74</v>
      </c>
      <c r="BA616" t="s">
        <v>74</v>
      </c>
      <c r="BB616" t="s">
        <v>74</v>
      </c>
      <c r="BC616" t="s">
        <v>74</v>
      </c>
      <c r="BD616" t="s">
        <v>74</v>
      </c>
      <c r="BE616" t="s">
        <v>11846</v>
      </c>
      <c r="BF616" t="str">
        <f>HYPERLINK("http://dx.doi.org/10.1111/jocd.15931","http://dx.doi.org/10.1111/jocd.15931")</f>
        <v>http://dx.doi.org/10.1111/jocd.15931</v>
      </c>
      <c r="BG616" t="s">
        <v>74</v>
      </c>
      <c r="BH616" t="s">
        <v>7524</v>
      </c>
      <c r="BI616">
        <v>1</v>
      </c>
      <c r="BJ616" t="s">
        <v>2541</v>
      </c>
      <c r="BK616" t="s">
        <v>119</v>
      </c>
      <c r="BL616" t="s">
        <v>2541</v>
      </c>
      <c r="BM616" t="s">
        <v>11847</v>
      </c>
      <c r="BN616">
        <v>37574791</v>
      </c>
      <c r="BO616" t="s">
        <v>122</v>
      </c>
      <c r="BP616" t="s">
        <v>74</v>
      </c>
      <c r="BQ616" t="s">
        <v>74</v>
      </c>
      <c r="BR616" t="s">
        <v>99</v>
      </c>
      <c r="BS616" t="s">
        <v>11848</v>
      </c>
      <c r="BT616" t="str">
        <f>HYPERLINK("https%3A%2F%2Fwww.webofscience.com%2Fwos%2Fwoscc%2Ffull-record%2FWOS:001048530300001","View Full Record in Web of Science")</f>
        <v>View Full Record in Web of Science</v>
      </c>
    </row>
    <row r="617" spans="1:72" x14ac:dyDescent="0.15">
      <c r="A617" t="s">
        <v>72</v>
      </c>
      <c r="B617" t="s">
        <v>11849</v>
      </c>
      <c r="C617" t="s">
        <v>74</v>
      </c>
      <c r="D617" t="s">
        <v>74</v>
      </c>
      <c r="E617" t="s">
        <v>74</v>
      </c>
      <c r="F617" t="s">
        <v>11850</v>
      </c>
      <c r="G617" t="s">
        <v>74</v>
      </c>
      <c r="H617" t="s">
        <v>74</v>
      </c>
      <c r="I617" t="s">
        <v>11851</v>
      </c>
      <c r="J617" t="s">
        <v>5095</v>
      </c>
      <c r="K617" t="s">
        <v>74</v>
      </c>
      <c r="L617" t="s">
        <v>74</v>
      </c>
      <c r="M617" t="s">
        <v>78</v>
      </c>
      <c r="N617" t="s">
        <v>338</v>
      </c>
      <c r="O617" t="s">
        <v>74</v>
      </c>
      <c r="P617" t="s">
        <v>74</v>
      </c>
      <c r="Q617" t="s">
        <v>74</v>
      </c>
      <c r="R617" t="s">
        <v>74</v>
      </c>
      <c r="S617" t="s">
        <v>74</v>
      </c>
      <c r="T617" t="s">
        <v>11852</v>
      </c>
      <c r="U617" t="s">
        <v>11853</v>
      </c>
      <c r="V617" t="s">
        <v>11854</v>
      </c>
      <c r="W617" t="s">
        <v>11855</v>
      </c>
      <c r="X617" t="s">
        <v>11856</v>
      </c>
      <c r="Y617" t="s">
        <v>11857</v>
      </c>
      <c r="Z617" t="s">
        <v>11858</v>
      </c>
      <c r="AA617" t="s">
        <v>74</v>
      </c>
      <c r="AB617" t="s">
        <v>11859</v>
      </c>
      <c r="AC617" t="s">
        <v>11860</v>
      </c>
      <c r="AD617" t="s">
        <v>11861</v>
      </c>
      <c r="AE617" t="s">
        <v>11862</v>
      </c>
      <c r="AF617" t="s">
        <v>74</v>
      </c>
      <c r="AG617">
        <v>37</v>
      </c>
      <c r="AH617">
        <v>0</v>
      </c>
      <c r="AI617">
        <v>0</v>
      </c>
      <c r="AJ617">
        <v>3</v>
      </c>
      <c r="AK617">
        <v>3</v>
      </c>
      <c r="AL617" t="s">
        <v>426</v>
      </c>
      <c r="AM617" t="s">
        <v>427</v>
      </c>
      <c r="AN617" t="s">
        <v>428</v>
      </c>
      <c r="AO617" t="s">
        <v>5106</v>
      </c>
      <c r="AP617" t="s">
        <v>5107</v>
      </c>
      <c r="AQ617" t="s">
        <v>74</v>
      </c>
      <c r="AR617" t="s">
        <v>5108</v>
      </c>
      <c r="AS617" t="s">
        <v>5109</v>
      </c>
      <c r="AT617" t="s">
        <v>11754</v>
      </c>
      <c r="AU617">
        <v>2023</v>
      </c>
      <c r="AV617" t="s">
        <v>74</v>
      </c>
      <c r="AW617" t="s">
        <v>74</v>
      </c>
      <c r="AX617" t="s">
        <v>74</v>
      </c>
      <c r="AY617" t="s">
        <v>74</v>
      </c>
      <c r="AZ617" t="s">
        <v>74</v>
      </c>
      <c r="BA617" t="s">
        <v>74</v>
      </c>
      <c r="BB617" t="s">
        <v>74</v>
      </c>
      <c r="BC617" t="s">
        <v>74</v>
      </c>
      <c r="BD617" t="s">
        <v>74</v>
      </c>
      <c r="BE617" t="s">
        <v>11863</v>
      </c>
      <c r="BF617" t="str">
        <f>HYPERLINK("http://dx.doi.org/10.1002/lpor.202300014","http://dx.doi.org/10.1002/lpor.202300014")</f>
        <v>http://dx.doi.org/10.1002/lpor.202300014</v>
      </c>
      <c r="BG617" t="s">
        <v>74</v>
      </c>
      <c r="BH617" t="s">
        <v>7524</v>
      </c>
      <c r="BI617">
        <v>7</v>
      </c>
      <c r="BJ617" t="s">
        <v>5111</v>
      </c>
      <c r="BK617" t="s">
        <v>119</v>
      </c>
      <c r="BL617" t="s">
        <v>5112</v>
      </c>
      <c r="BM617" t="s">
        <v>11864</v>
      </c>
      <c r="BN617" t="s">
        <v>74</v>
      </c>
      <c r="BO617" t="s">
        <v>74</v>
      </c>
      <c r="BP617" t="s">
        <v>74</v>
      </c>
      <c r="BQ617" t="s">
        <v>74</v>
      </c>
      <c r="BR617" t="s">
        <v>99</v>
      </c>
      <c r="BS617" t="s">
        <v>11865</v>
      </c>
      <c r="BT617" t="str">
        <f>HYPERLINK("https%3A%2F%2Fwww.webofscience.com%2Fwos%2Fwoscc%2Ffull-record%2FWOS:001048087100001","View Full Record in Web of Science")</f>
        <v>View Full Record in Web of Science</v>
      </c>
    </row>
    <row r="618" spans="1:72" x14ac:dyDescent="0.15">
      <c r="A618" t="s">
        <v>72</v>
      </c>
      <c r="B618" t="s">
        <v>11866</v>
      </c>
      <c r="C618" t="s">
        <v>74</v>
      </c>
      <c r="D618" t="s">
        <v>74</v>
      </c>
      <c r="E618" t="s">
        <v>74</v>
      </c>
      <c r="F618" t="s">
        <v>11867</v>
      </c>
      <c r="G618" t="s">
        <v>74</v>
      </c>
      <c r="H618" t="s">
        <v>74</v>
      </c>
      <c r="I618" t="s">
        <v>11868</v>
      </c>
      <c r="J618" t="s">
        <v>11869</v>
      </c>
      <c r="K618" t="s">
        <v>74</v>
      </c>
      <c r="L618" t="s">
        <v>74</v>
      </c>
      <c r="M618" t="s">
        <v>78</v>
      </c>
      <c r="N618" t="s">
        <v>79</v>
      </c>
      <c r="O618" t="s">
        <v>74</v>
      </c>
      <c r="P618" t="s">
        <v>74</v>
      </c>
      <c r="Q618" t="s">
        <v>74</v>
      </c>
      <c r="R618" t="s">
        <v>74</v>
      </c>
      <c r="S618" t="s">
        <v>74</v>
      </c>
      <c r="T618" t="s">
        <v>11870</v>
      </c>
      <c r="U618" t="s">
        <v>11871</v>
      </c>
      <c r="V618" t="s">
        <v>11872</v>
      </c>
      <c r="W618" t="s">
        <v>11873</v>
      </c>
      <c r="X618" t="s">
        <v>74</v>
      </c>
      <c r="Y618" t="s">
        <v>11874</v>
      </c>
      <c r="Z618" t="s">
        <v>11875</v>
      </c>
      <c r="AA618" t="s">
        <v>11876</v>
      </c>
      <c r="AB618" t="s">
        <v>11877</v>
      </c>
      <c r="AC618" t="s">
        <v>74</v>
      </c>
      <c r="AD618" t="s">
        <v>74</v>
      </c>
      <c r="AE618" t="s">
        <v>74</v>
      </c>
      <c r="AF618" t="s">
        <v>74</v>
      </c>
      <c r="AG618">
        <v>16</v>
      </c>
      <c r="AH618">
        <v>0</v>
      </c>
      <c r="AI618">
        <v>0</v>
      </c>
      <c r="AJ618">
        <v>0</v>
      </c>
      <c r="AK618">
        <v>0</v>
      </c>
      <c r="AL618" t="s">
        <v>87</v>
      </c>
      <c r="AM618" t="s">
        <v>88</v>
      </c>
      <c r="AN618" t="s">
        <v>89</v>
      </c>
      <c r="AO618" t="s">
        <v>11878</v>
      </c>
      <c r="AP618" t="s">
        <v>11879</v>
      </c>
      <c r="AQ618" t="s">
        <v>74</v>
      </c>
      <c r="AR618" t="s">
        <v>11880</v>
      </c>
      <c r="AS618" t="s">
        <v>11881</v>
      </c>
      <c r="AT618" t="s">
        <v>6725</v>
      </c>
      <c r="AU618">
        <v>2023</v>
      </c>
      <c r="AV618">
        <v>17</v>
      </c>
      <c r="AW618">
        <v>9</v>
      </c>
      <c r="AX618" t="s">
        <v>74</v>
      </c>
      <c r="AY618" t="s">
        <v>74</v>
      </c>
      <c r="AZ618" t="s">
        <v>74</v>
      </c>
      <c r="BA618" t="s">
        <v>74</v>
      </c>
      <c r="BB618">
        <v>962</v>
      </c>
      <c r="BC618">
        <v>965</v>
      </c>
      <c r="BD618" t="s">
        <v>74</v>
      </c>
      <c r="BE618" t="s">
        <v>11882</v>
      </c>
      <c r="BF618" t="str">
        <f>HYPERLINK("http://dx.doi.org/10.1111/crj.13684","http://dx.doi.org/10.1111/crj.13684")</f>
        <v>http://dx.doi.org/10.1111/crj.13684</v>
      </c>
      <c r="BG618" t="s">
        <v>74</v>
      </c>
      <c r="BH618" t="s">
        <v>7524</v>
      </c>
      <c r="BI618">
        <v>4</v>
      </c>
      <c r="BJ618" t="s">
        <v>11003</v>
      </c>
      <c r="BK618" t="s">
        <v>119</v>
      </c>
      <c r="BL618" t="s">
        <v>11003</v>
      </c>
      <c r="BM618" t="s">
        <v>11883</v>
      </c>
      <c r="BN618">
        <v>37573789</v>
      </c>
      <c r="BO618" t="s">
        <v>6877</v>
      </c>
      <c r="BP618" t="s">
        <v>74</v>
      </c>
      <c r="BQ618" t="s">
        <v>74</v>
      </c>
      <c r="BR618" t="s">
        <v>99</v>
      </c>
      <c r="BS618" t="s">
        <v>11884</v>
      </c>
      <c r="BT618" t="str">
        <f>HYPERLINK("https%3A%2F%2Fwww.webofscience.com%2Fwos%2Fwoscc%2Ffull-record%2FWOS:001047330700001","View Full Record in Web of Science")</f>
        <v>View Full Record in Web of Science</v>
      </c>
    </row>
    <row r="619" spans="1:72" x14ac:dyDescent="0.15">
      <c r="A619" t="s">
        <v>72</v>
      </c>
      <c r="B619" t="s">
        <v>11885</v>
      </c>
      <c r="C619" t="s">
        <v>74</v>
      </c>
      <c r="D619" t="s">
        <v>74</v>
      </c>
      <c r="E619" t="s">
        <v>74</v>
      </c>
      <c r="F619" t="s">
        <v>11886</v>
      </c>
      <c r="G619" t="s">
        <v>74</v>
      </c>
      <c r="H619" t="s">
        <v>74</v>
      </c>
      <c r="I619" t="s">
        <v>11887</v>
      </c>
      <c r="J619" t="s">
        <v>11888</v>
      </c>
      <c r="K619" t="s">
        <v>74</v>
      </c>
      <c r="L619" t="s">
        <v>74</v>
      </c>
      <c r="M619" t="s">
        <v>78</v>
      </c>
      <c r="N619" t="s">
        <v>338</v>
      </c>
      <c r="O619" t="s">
        <v>74</v>
      </c>
      <c r="P619" t="s">
        <v>74</v>
      </c>
      <c r="Q619" t="s">
        <v>74</v>
      </c>
      <c r="R619" t="s">
        <v>74</v>
      </c>
      <c r="S619" t="s">
        <v>74</v>
      </c>
      <c r="T619" t="s">
        <v>74</v>
      </c>
      <c r="U619" t="s">
        <v>11889</v>
      </c>
      <c r="V619" t="s">
        <v>11890</v>
      </c>
      <c r="W619" t="s">
        <v>11891</v>
      </c>
      <c r="X619" t="s">
        <v>11892</v>
      </c>
      <c r="Y619" t="s">
        <v>11893</v>
      </c>
      <c r="Z619" t="s">
        <v>11894</v>
      </c>
      <c r="AA619" t="s">
        <v>74</v>
      </c>
      <c r="AB619" t="s">
        <v>11895</v>
      </c>
      <c r="AC619" t="s">
        <v>74</v>
      </c>
      <c r="AD619" t="s">
        <v>74</v>
      </c>
      <c r="AE619" t="s">
        <v>74</v>
      </c>
      <c r="AF619" t="s">
        <v>74</v>
      </c>
      <c r="AG619">
        <v>99</v>
      </c>
      <c r="AH619">
        <v>0</v>
      </c>
      <c r="AI619">
        <v>0</v>
      </c>
      <c r="AJ619">
        <v>0</v>
      </c>
      <c r="AK619">
        <v>0</v>
      </c>
      <c r="AL619" t="s">
        <v>87</v>
      </c>
      <c r="AM619" t="s">
        <v>88</v>
      </c>
      <c r="AN619" t="s">
        <v>89</v>
      </c>
      <c r="AO619" t="s">
        <v>11896</v>
      </c>
      <c r="AP619" t="s">
        <v>11897</v>
      </c>
      <c r="AQ619" t="s">
        <v>74</v>
      </c>
      <c r="AR619" t="s">
        <v>11898</v>
      </c>
      <c r="AS619" t="s">
        <v>11899</v>
      </c>
      <c r="AT619" t="s">
        <v>11754</v>
      </c>
      <c r="AU619">
        <v>2023</v>
      </c>
      <c r="AV619" t="s">
        <v>74</v>
      </c>
      <c r="AW619" t="s">
        <v>74</v>
      </c>
      <c r="AX619" t="s">
        <v>74</v>
      </c>
      <c r="AY619" t="s">
        <v>74</v>
      </c>
      <c r="AZ619" t="s">
        <v>74</v>
      </c>
      <c r="BA619" t="s">
        <v>74</v>
      </c>
      <c r="BB619" t="s">
        <v>74</v>
      </c>
      <c r="BC619" t="s">
        <v>74</v>
      </c>
      <c r="BD619" t="s">
        <v>74</v>
      </c>
      <c r="BE619" t="s">
        <v>11900</v>
      </c>
      <c r="BF619" t="str">
        <f>HYPERLINK("http://dx.doi.org/10.1002/sdr.1742","http://dx.doi.org/10.1002/sdr.1742")</f>
        <v>http://dx.doi.org/10.1002/sdr.1742</v>
      </c>
      <c r="BG619" t="s">
        <v>74</v>
      </c>
      <c r="BH619" t="s">
        <v>7524</v>
      </c>
      <c r="BI619">
        <v>28</v>
      </c>
      <c r="BJ619" t="s">
        <v>11901</v>
      </c>
      <c r="BK619" t="s">
        <v>546</v>
      </c>
      <c r="BL619" t="s">
        <v>3575</v>
      </c>
      <c r="BM619" t="s">
        <v>11902</v>
      </c>
      <c r="BN619" t="s">
        <v>74</v>
      </c>
      <c r="BO619" t="s">
        <v>122</v>
      </c>
      <c r="BP619" t="s">
        <v>74</v>
      </c>
      <c r="BQ619" t="s">
        <v>74</v>
      </c>
      <c r="BR619" t="s">
        <v>99</v>
      </c>
      <c r="BS619" t="s">
        <v>11903</v>
      </c>
      <c r="BT619" t="str">
        <f>HYPERLINK("https%3A%2F%2Fwww.webofscience.com%2Fwos%2Fwoscc%2Ffull-record%2FWOS:001048550400001","View Full Record in Web of Science")</f>
        <v>View Full Record in Web of Science</v>
      </c>
    </row>
    <row r="620" spans="1:72" x14ac:dyDescent="0.15">
      <c r="A620" t="s">
        <v>72</v>
      </c>
      <c r="B620" t="s">
        <v>11904</v>
      </c>
      <c r="C620" t="s">
        <v>74</v>
      </c>
      <c r="D620" t="s">
        <v>74</v>
      </c>
      <c r="E620" t="s">
        <v>74</v>
      </c>
      <c r="F620" t="s">
        <v>11905</v>
      </c>
      <c r="G620" t="s">
        <v>74</v>
      </c>
      <c r="H620" t="s">
        <v>74</v>
      </c>
      <c r="I620" t="s">
        <v>11906</v>
      </c>
      <c r="J620" t="s">
        <v>11907</v>
      </c>
      <c r="K620" t="s">
        <v>74</v>
      </c>
      <c r="L620" t="s">
        <v>74</v>
      </c>
      <c r="M620" t="s">
        <v>78</v>
      </c>
      <c r="N620" t="s">
        <v>338</v>
      </c>
      <c r="O620" t="s">
        <v>74</v>
      </c>
      <c r="P620" t="s">
        <v>74</v>
      </c>
      <c r="Q620" t="s">
        <v>74</v>
      </c>
      <c r="R620" t="s">
        <v>74</v>
      </c>
      <c r="S620" t="s">
        <v>74</v>
      </c>
      <c r="T620" t="s">
        <v>11908</v>
      </c>
      <c r="U620" t="s">
        <v>11909</v>
      </c>
      <c r="V620" t="s">
        <v>11910</v>
      </c>
      <c r="W620" t="s">
        <v>11911</v>
      </c>
      <c r="X620" t="s">
        <v>11912</v>
      </c>
      <c r="Y620" t="s">
        <v>11913</v>
      </c>
      <c r="Z620" t="s">
        <v>11914</v>
      </c>
      <c r="AA620" t="s">
        <v>11915</v>
      </c>
      <c r="AB620" t="s">
        <v>11916</v>
      </c>
      <c r="AC620" t="s">
        <v>74</v>
      </c>
      <c r="AD620" t="s">
        <v>74</v>
      </c>
      <c r="AE620" t="s">
        <v>74</v>
      </c>
      <c r="AF620" t="s">
        <v>74</v>
      </c>
      <c r="AG620">
        <v>70</v>
      </c>
      <c r="AH620">
        <v>0</v>
      </c>
      <c r="AI620">
        <v>0</v>
      </c>
      <c r="AJ620">
        <v>1</v>
      </c>
      <c r="AK620">
        <v>1</v>
      </c>
      <c r="AL620" t="s">
        <v>87</v>
      </c>
      <c r="AM620" t="s">
        <v>88</v>
      </c>
      <c r="AN620" t="s">
        <v>89</v>
      </c>
      <c r="AO620" t="s">
        <v>11917</v>
      </c>
      <c r="AP620" t="s">
        <v>11918</v>
      </c>
      <c r="AQ620" t="s">
        <v>74</v>
      </c>
      <c r="AR620" t="s">
        <v>11919</v>
      </c>
      <c r="AS620" t="s">
        <v>11920</v>
      </c>
      <c r="AT620" t="s">
        <v>11754</v>
      </c>
      <c r="AU620">
        <v>2023</v>
      </c>
      <c r="AV620" t="s">
        <v>74</v>
      </c>
      <c r="AW620" t="s">
        <v>74</v>
      </c>
      <c r="AX620" t="s">
        <v>74</v>
      </c>
      <c r="AY620" t="s">
        <v>74</v>
      </c>
      <c r="AZ620" t="s">
        <v>74</v>
      </c>
      <c r="BA620" t="s">
        <v>74</v>
      </c>
      <c r="BB620" t="s">
        <v>74</v>
      </c>
      <c r="BC620" t="s">
        <v>74</v>
      </c>
      <c r="BD620" t="s">
        <v>74</v>
      </c>
      <c r="BE620" t="s">
        <v>11921</v>
      </c>
      <c r="BF620" t="str">
        <f>HYPERLINK("http://dx.doi.org/10.1002/casp.2736","http://dx.doi.org/10.1002/casp.2736")</f>
        <v>http://dx.doi.org/10.1002/casp.2736</v>
      </c>
      <c r="BG620" t="s">
        <v>74</v>
      </c>
      <c r="BH620" t="s">
        <v>7524</v>
      </c>
      <c r="BI620">
        <v>15</v>
      </c>
      <c r="BJ620" t="s">
        <v>1209</v>
      </c>
      <c r="BK620" t="s">
        <v>546</v>
      </c>
      <c r="BL620" t="s">
        <v>1210</v>
      </c>
      <c r="BM620" t="s">
        <v>11922</v>
      </c>
      <c r="BN620" t="s">
        <v>74</v>
      </c>
      <c r="BO620" t="s">
        <v>122</v>
      </c>
      <c r="BP620" t="s">
        <v>74</v>
      </c>
      <c r="BQ620" t="s">
        <v>74</v>
      </c>
      <c r="BR620" t="s">
        <v>99</v>
      </c>
      <c r="BS620" t="s">
        <v>11923</v>
      </c>
      <c r="BT620" t="str">
        <f>HYPERLINK("https%3A%2F%2Fwww.webofscience.com%2Fwos%2Fwoscc%2Ffull-record%2FWOS:001048534300001","View Full Record in Web of Science")</f>
        <v>View Full Record in Web of Science</v>
      </c>
    </row>
    <row r="621" spans="1:72" x14ac:dyDescent="0.15">
      <c r="A621" t="s">
        <v>72</v>
      </c>
      <c r="B621" t="s">
        <v>11924</v>
      </c>
      <c r="C621" t="s">
        <v>74</v>
      </c>
      <c r="D621" t="s">
        <v>74</v>
      </c>
      <c r="E621" t="s">
        <v>74</v>
      </c>
      <c r="F621" t="s">
        <v>11925</v>
      </c>
      <c r="G621" t="s">
        <v>74</v>
      </c>
      <c r="H621" t="s">
        <v>74</v>
      </c>
      <c r="I621" t="s">
        <v>11926</v>
      </c>
      <c r="J621" t="s">
        <v>4265</v>
      </c>
      <c r="K621" t="s">
        <v>74</v>
      </c>
      <c r="L621" t="s">
        <v>74</v>
      </c>
      <c r="M621" t="s">
        <v>78</v>
      </c>
      <c r="N621" t="s">
        <v>338</v>
      </c>
      <c r="O621" t="s">
        <v>74</v>
      </c>
      <c r="P621" t="s">
        <v>74</v>
      </c>
      <c r="Q621" t="s">
        <v>74</v>
      </c>
      <c r="R621" t="s">
        <v>74</v>
      </c>
      <c r="S621" t="s">
        <v>74</v>
      </c>
      <c r="T621" t="s">
        <v>11927</v>
      </c>
      <c r="U621" t="s">
        <v>11928</v>
      </c>
      <c r="V621" t="s">
        <v>11929</v>
      </c>
      <c r="W621" t="s">
        <v>11930</v>
      </c>
      <c r="X621" t="s">
        <v>11931</v>
      </c>
      <c r="Y621" t="s">
        <v>11932</v>
      </c>
      <c r="Z621" t="s">
        <v>11933</v>
      </c>
      <c r="AA621" t="s">
        <v>11934</v>
      </c>
      <c r="AB621" t="s">
        <v>11935</v>
      </c>
      <c r="AC621" t="s">
        <v>74</v>
      </c>
      <c r="AD621" t="s">
        <v>74</v>
      </c>
      <c r="AE621" t="s">
        <v>74</v>
      </c>
      <c r="AF621" t="s">
        <v>74</v>
      </c>
      <c r="AG621">
        <v>28</v>
      </c>
      <c r="AH621">
        <v>0</v>
      </c>
      <c r="AI621">
        <v>0</v>
      </c>
      <c r="AJ621">
        <v>2</v>
      </c>
      <c r="AK621">
        <v>2</v>
      </c>
      <c r="AL621" t="s">
        <v>87</v>
      </c>
      <c r="AM621" t="s">
        <v>88</v>
      </c>
      <c r="AN621" t="s">
        <v>89</v>
      </c>
      <c r="AO621" t="s">
        <v>4272</v>
      </c>
      <c r="AP621" t="s">
        <v>4273</v>
      </c>
      <c r="AQ621" t="s">
        <v>74</v>
      </c>
      <c r="AR621" t="s">
        <v>4274</v>
      </c>
      <c r="AS621" t="s">
        <v>4275</v>
      </c>
      <c r="AT621" t="s">
        <v>11754</v>
      </c>
      <c r="AU621">
        <v>2023</v>
      </c>
      <c r="AV621" t="s">
        <v>74</v>
      </c>
      <c r="AW621" t="s">
        <v>74</v>
      </c>
      <c r="AX621" t="s">
        <v>74</v>
      </c>
      <c r="AY621" t="s">
        <v>74</v>
      </c>
      <c r="AZ621" t="s">
        <v>74</v>
      </c>
      <c r="BA621" t="s">
        <v>74</v>
      </c>
      <c r="BB621" t="s">
        <v>74</v>
      </c>
      <c r="BC621" t="s">
        <v>74</v>
      </c>
      <c r="BD621" t="s">
        <v>74</v>
      </c>
      <c r="BE621" t="s">
        <v>11936</v>
      </c>
      <c r="BF621" t="str">
        <f>HYPERLINK("http://dx.doi.org/10.1002/jdd.13352","http://dx.doi.org/10.1002/jdd.13352")</f>
        <v>http://dx.doi.org/10.1002/jdd.13352</v>
      </c>
      <c r="BG621" t="s">
        <v>74</v>
      </c>
      <c r="BH621" t="s">
        <v>7524</v>
      </c>
      <c r="BI621">
        <v>10</v>
      </c>
      <c r="BJ621" t="s">
        <v>314</v>
      </c>
      <c r="BK621" t="s">
        <v>119</v>
      </c>
      <c r="BL621" t="s">
        <v>314</v>
      </c>
      <c r="BM621" t="s">
        <v>11937</v>
      </c>
      <c r="BN621">
        <v>37574703</v>
      </c>
      <c r="BO621" t="s">
        <v>122</v>
      </c>
      <c r="BP621" t="s">
        <v>74</v>
      </c>
      <c r="BQ621" t="s">
        <v>74</v>
      </c>
      <c r="BR621" t="s">
        <v>99</v>
      </c>
      <c r="BS621" t="s">
        <v>11938</v>
      </c>
      <c r="BT621" t="str">
        <f>HYPERLINK("https%3A%2F%2Fwww.webofscience.com%2Fwos%2Fwoscc%2Ffull-record%2FWOS:001047686400001","View Full Record in Web of Science")</f>
        <v>View Full Record in Web of Science</v>
      </c>
    </row>
    <row r="622" spans="1:72" x14ac:dyDescent="0.15">
      <c r="A622" t="s">
        <v>72</v>
      </c>
      <c r="B622" t="s">
        <v>11939</v>
      </c>
      <c r="C622" t="s">
        <v>74</v>
      </c>
      <c r="D622" t="s">
        <v>74</v>
      </c>
      <c r="E622" t="s">
        <v>74</v>
      </c>
      <c r="F622" t="s">
        <v>11940</v>
      </c>
      <c r="G622" t="s">
        <v>74</v>
      </c>
      <c r="H622" t="s">
        <v>74</v>
      </c>
      <c r="I622" t="s">
        <v>11941</v>
      </c>
      <c r="J622" t="s">
        <v>4302</v>
      </c>
      <c r="K622" t="s">
        <v>74</v>
      </c>
      <c r="L622" t="s">
        <v>74</v>
      </c>
      <c r="M622" t="s">
        <v>78</v>
      </c>
      <c r="N622" t="s">
        <v>338</v>
      </c>
      <c r="O622" t="s">
        <v>74</v>
      </c>
      <c r="P622" t="s">
        <v>74</v>
      </c>
      <c r="Q622" t="s">
        <v>74</v>
      </c>
      <c r="R622" t="s">
        <v>74</v>
      </c>
      <c r="S622" t="s">
        <v>74</v>
      </c>
      <c r="T622" t="s">
        <v>11942</v>
      </c>
      <c r="U622" t="s">
        <v>11943</v>
      </c>
      <c r="V622" t="s">
        <v>11944</v>
      </c>
      <c r="W622" t="s">
        <v>11945</v>
      </c>
      <c r="X622" t="s">
        <v>11946</v>
      </c>
      <c r="Y622" t="s">
        <v>11947</v>
      </c>
      <c r="Z622" t="s">
        <v>11948</v>
      </c>
      <c r="AA622" t="s">
        <v>74</v>
      </c>
      <c r="AB622" t="s">
        <v>11949</v>
      </c>
      <c r="AC622" t="s">
        <v>74</v>
      </c>
      <c r="AD622" t="s">
        <v>74</v>
      </c>
      <c r="AE622" t="s">
        <v>74</v>
      </c>
      <c r="AF622" t="s">
        <v>74</v>
      </c>
      <c r="AG622">
        <v>34</v>
      </c>
      <c r="AH622">
        <v>0</v>
      </c>
      <c r="AI622">
        <v>0</v>
      </c>
      <c r="AJ622">
        <v>0</v>
      </c>
      <c r="AK622">
        <v>0</v>
      </c>
      <c r="AL622" t="s">
        <v>87</v>
      </c>
      <c r="AM622" t="s">
        <v>88</v>
      </c>
      <c r="AN622" t="s">
        <v>89</v>
      </c>
      <c r="AO622" t="s">
        <v>4313</v>
      </c>
      <c r="AP622" t="s">
        <v>4314</v>
      </c>
      <c r="AQ622" t="s">
        <v>74</v>
      </c>
      <c r="AR622" t="s">
        <v>4315</v>
      </c>
      <c r="AS622" t="s">
        <v>4316</v>
      </c>
      <c r="AT622" t="s">
        <v>11950</v>
      </c>
      <c r="AU622">
        <v>2023</v>
      </c>
      <c r="AV622" t="s">
        <v>74</v>
      </c>
      <c r="AW622" t="s">
        <v>74</v>
      </c>
      <c r="AX622" t="s">
        <v>74</v>
      </c>
      <c r="AY622" t="s">
        <v>74</v>
      </c>
      <c r="AZ622" t="s">
        <v>74</v>
      </c>
      <c r="BA622" t="s">
        <v>74</v>
      </c>
      <c r="BB622" t="s">
        <v>74</v>
      </c>
      <c r="BC622" t="s">
        <v>74</v>
      </c>
      <c r="BD622" t="s">
        <v>74</v>
      </c>
      <c r="BE622" t="s">
        <v>11951</v>
      </c>
      <c r="BF622" t="str">
        <f>HYPERLINK("http://dx.doi.org/10.1111/bjh.19009","http://dx.doi.org/10.1111/bjh.19009")</f>
        <v>http://dx.doi.org/10.1111/bjh.19009</v>
      </c>
      <c r="BG622" t="s">
        <v>74</v>
      </c>
      <c r="BH622" t="s">
        <v>7524</v>
      </c>
      <c r="BI622">
        <v>7</v>
      </c>
      <c r="BJ622" t="s">
        <v>1625</v>
      </c>
      <c r="BK622" t="s">
        <v>119</v>
      </c>
      <c r="BL622" t="s">
        <v>1625</v>
      </c>
      <c r="BM622" t="s">
        <v>11952</v>
      </c>
      <c r="BN622">
        <v>37571926</v>
      </c>
      <c r="BO622" t="s">
        <v>122</v>
      </c>
      <c r="BP622" t="s">
        <v>74</v>
      </c>
      <c r="BQ622" t="s">
        <v>74</v>
      </c>
      <c r="BR622" t="s">
        <v>99</v>
      </c>
      <c r="BS622" t="s">
        <v>11953</v>
      </c>
      <c r="BT622" t="str">
        <f>HYPERLINK("https%3A%2F%2Fwww.webofscience.com%2Fwos%2Fwoscc%2Ffull-record%2FWOS:001046023500001","View Full Record in Web of Science")</f>
        <v>View Full Record in Web of Science</v>
      </c>
    </row>
    <row r="623" spans="1:72" x14ac:dyDescent="0.15">
      <c r="A623" t="s">
        <v>72</v>
      </c>
      <c r="B623" t="s">
        <v>11954</v>
      </c>
      <c r="C623" t="s">
        <v>74</v>
      </c>
      <c r="D623" t="s">
        <v>74</v>
      </c>
      <c r="E623" t="s">
        <v>74</v>
      </c>
      <c r="F623" t="s">
        <v>11955</v>
      </c>
      <c r="G623" t="s">
        <v>74</v>
      </c>
      <c r="H623" t="s">
        <v>74</v>
      </c>
      <c r="I623" t="s">
        <v>11956</v>
      </c>
      <c r="J623" t="s">
        <v>11957</v>
      </c>
      <c r="K623" t="s">
        <v>74</v>
      </c>
      <c r="L623" t="s">
        <v>74</v>
      </c>
      <c r="M623" t="s">
        <v>78</v>
      </c>
      <c r="N623" t="s">
        <v>10440</v>
      </c>
      <c r="O623" t="s">
        <v>74</v>
      </c>
      <c r="P623" t="s">
        <v>74</v>
      </c>
      <c r="Q623" t="s">
        <v>74</v>
      </c>
      <c r="R623" t="s">
        <v>74</v>
      </c>
      <c r="S623" t="s">
        <v>74</v>
      </c>
      <c r="T623" t="s">
        <v>74</v>
      </c>
      <c r="U623" t="s">
        <v>74</v>
      </c>
      <c r="V623" t="s">
        <v>74</v>
      </c>
      <c r="W623" t="s">
        <v>74</v>
      </c>
      <c r="X623" t="s">
        <v>74</v>
      </c>
      <c r="Y623" t="s">
        <v>74</v>
      </c>
      <c r="Z623" t="s">
        <v>74</v>
      </c>
      <c r="AA623" t="s">
        <v>74</v>
      </c>
      <c r="AB623" t="s">
        <v>74</v>
      </c>
      <c r="AC623" t="s">
        <v>74</v>
      </c>
      <c r="AD623" t="s">
        <v>74</v>
      </c>
      <c r="AE623" t="s">
        <v>74</v>
      </c>
      <c r="AF623" t="s">
        <v>74</v>
      </c>
      <c r="AG623">
        <v>1</v>
      </c>
      <c r="AH623">
        <v>0</v>
      </c>
      <c r="AI623">
        <v>0</v>
      </c>
      <c r="AJ623">
        <v>0</v>
      </c>
      <c r="AK623">
        <v>0</v>
      </c>
      <c r="AL623" t="s">
        <v>87</v>
      </c>
      <c r="AM623" t="s">
        <v>88</v>
      </c>
      <c r="AN623" t="s">
        <v>89</v>
      </c>
      <c r="AO623" t="s">
        <v>11958</v>
      </c>
      <c r="AP623" t="s">
        <v>11959</v>
      </c>
      <c r="AQ623" t="s">
        <v>74</v>
      </c>
      <c r="AR623" t="s">
        <v>11957</v>
      </c>
      <c r="AS623" t="s">
        <v>11960</v>
      </c>
      <c r="AT623" t="s">
        <v>11950</v>
      </c>
      <c r="AU623">
        <v>2023</v>
      </c>
      <c r="AV623" t="s">
        <v>74</v>
      </c>
      <c r="AW623" t="s">
        <v>74</v>
      </c>
      <c r="AX623" t="s">
        <v>74</v>
      </c>
      <c r="AY623" t="s">
        <v>74</v>
      </c>
      <c r="AZ623" t="s">
        <v>74</v>
      </c>
      <c r="BA623" t="s">
        <v>74</v>
      </c>
      <c r="BB623" t="s">
        <v>74</v>
      </c>
      <c r="BC623" t="s">
        <v>74</v>
      </c>
      <c r="BD623" t="s">
        <v>74</v>
      </c>
      <c r="BE623" t="s">
        <v>11961</v>
      </c>
      <c r="BF623" t="str">
        <f>HYPERLINK("http://dx.doi.org/10.1002/lipd.12378","http://dx.doi.org/10.1002/lipd.12378")</f>
        <v>http://dx.doi.org/10.1002/lipd.12378</v>
      </c>
      <c r="BG623" t="s">
        <v>74</v>
      </c>
      <c r="BH623" t="s">
        <v>7524</v>
      </c>
      <c r="BI623">
        <v>1</v>
      </c>
      <c r="BJ623" t="s">
        <v>11962</v>
      </c>
      <c r="BK623" t="s">
        <v>119</v>
      </c>
      <c r="BL623" t="s">
        <v>11962</v>
      </c>
      <c r="BM623" t="s">
        <v>11963</v>
      </c>
      <c r="BN623" t="s">
        <v>74</v>
      </c>
      <c r="BO623" t="s">
        <v>301</v>
      </c>
      <c r="BP623" t="s">
        <v>74</v>
      </c>
      <c r="BQ623" t="s">
        <v>74</v>
      </c>
      <c r="BR623" t="s">
        <v>99</v>
      </c>
      <c r="BS623" t="s">
        <v>11964</v>
      </c>
      <c r="BT623" t="str">
        <f>HYPERLINK("https%3A%2F%2Fwww.webofscience.com%2Fwos%2Fwoscc%2Ffull-record%2FWOS:001047351200001","View Full Record in Web of Science")</f>
        <v>View Full Record in Web of Science</v>
      </c>
    </row>
    <row r="624" spans="1:72" x14ac:dyDescent="0.15">
      <c r="A624" t="s">
        <v>72</v>
      </c>
      <c r="B624" t="s">
        <v>11965</v>
      </c>
      <c r="C624" t="s">
        <v>74</v>
      </c>
      <c r="D624" t="s">
        <v>74</v>
      </c>
      <c r="E624" t="s">
        <v>74</v>
      </c>
      <c r="F624" t="s">
        <v>11966</v>
      </c>
      <c r="G624" t="s">
        <v>74</v>
      </c>
      <c r="H624" t="s">
        <v>74</v>
      </c>
      <c r="I624" t="s">
        <v>11967</v>
      </c>
      <c r="J624" t="s">
        <v>11968</v>
      </c>
      <c r="K624" t="s">
        <v>74</v>
      </c>
      <c r="L624" t="s">
        <v>74</v>
      </c>
      <c r="M624" t="s">
        <v>78</v>
      </c>
      <c r="N624" t="s">
        <v>338</v>
      </c>
      <c r="O624" t="s">
        <v>74</v>
      </c>
      <c r="P624" t="s">
        <v>74</v>
      </c>
      <c r="Q624" t="s">
        <v>74</v>
      </c>
      <c r="R624" t="s">
        <v>74</v>
      </c>
      <c r="S624" t="s">
        <v>74</v>
      </c>
      <c r="T624" t="s">
        <v>11969</v>
      </c>
      <c r="U624" t="s">
        <v>11970</v>
      </c>
      <c r="V624" t="s">
        <v>11971</v>
      </c>
      <c r="W624" t="s">
        <v>11972</v>
      </c>
      <c r="X624" t="s">
        <v>11973</v>
      </c>
      <c r="Y624" t="s">
        <v>11974</v>
      </c>
      <c r="Z624" t="s">
        <v>11975</v>
      </c>
      <c r="AA624" t="s">
        <v>74</v>
      </c>
      <c r="AB624" t="s">
        <v>11976</v>
      </c>
      <c r="AC624" t="s">
        <v>11977</v>
      </c>
      <c r="AD624" t="s">
        <v>11978</v>
      </c>
      <c r="AE624" t="s">
        <v>11979</v>
      </c>
      <c r="AF624" t="s">
        <v>74</v>
      </c>
      <c r="AG624">
        <v>46</v>
      </c>
      <c r="AH624">
        <v>0</v>
      </c>
      <c r="AI624">
        <v>0</v>
      </c>
      <c r="AJ624">
        <v>1</v>
      </c>
      <c r="AK624">
        <v>1</v>
      </c>
      <c r="AL624" t="s">
        <v>87</v>
      </c>
      <c r="AM624" t="s">
        <v>88</v>
      </c>
      <c r="AN624" t="s">
        <v>89</v>
      </c>
      <c r="AO624" t="s">
        <v>11980</v>
      </c>
      <c r="AP624" t="s">
        <v>11981</v>
      </c>
      <c r="AQ624" t="s">
        <v>74</v>
      </c>
      <c r="AR624" t="s">
        <v>11982</v>
      </c>
      <c r="AS624" t="s">
        <v>11983</v>
      </c>
      <c r="AT624" t="s">
        <v>11950</v>
      </c>
      <c r="AU624">
        <v>2023</v>
      </c>
      <c r="AV624" t="s">
        <v>74</v>
      </c>
      <c r="AW624" t="s">
        <v>74</v>
      </c>
      <c r="AX624" t="s">
        <v>74</v>
      </c>
      <c r="AY624" t="s">
        <v>74</v>
      </c>
      <c r="AZ624" t="s">
        <v>74</v>
      </c>
      <c r="BA624" t="s">
        <v>74</v>
      </c>
      <c r="BB624" t="s">
        <v>74</v>
      </c>
      <c r="BC624" t="s">
        <v>74</v>
      </c>
      <c r="BD624" t="s">
        <v>74</v>
      </c>
      <c r="BE624" t="s">
        <v>11984</v>
      </c>
      <c r="BF624" t="str">
        <f>HYPERLINK("http://dx.doi.org/10.1002/acp.4124","http://dx.doi.org/10.1002/acp.4124")</f>
        <v>http://dx.doi.org/10.1002/acp.4124</v>
      </c>
      <c r="BG624" t="s">
        <v>74</v>
      </c>
      <c r="BH624" t="s">
        <v>7524</v>
      </c>
      <c r="BI624">
        <v>13</v>
      </c>
      <c r="BJ624" t="s">
        <v>11985</v>
      </c>
      <c r="BK624" t="s">
        <v>546</v>
      </c>
      <c r="BL624" t="s">
        <v>1210</v>
      </c>
      <c r="BM624" t="s">
        <v>11986</v>
      </c>
      <c r="BN624" t="s">
        <v>74</v>
      </c>
      <c r="BO624" t="s">
        <v>301</v>
      </c>
      <c r="BP624" t="s">
        <v>74</v>
      </c>
      <c r="BQ624" t="s">
        <v>74</v>
      </c>
      <c r="BR624" t="s">
        <v>99</v>
      </c>
      <c r="BS624" t="s">
        <v>11987</v>
      </c>
      <c r="BT624" t="str">
        <f>HYPERLINK("https%3A%2F%2Fwww.webofscience.com%2Fwos%2Fwoscc%2Ffull-record%2FWOS:001047326800001","View Full Record in Web of Science")</f>
        <v>View Full Record in Web of Science</v>
      </c>
    </row>
    <row r="625" spans="1:72" x14ac:dyDescent="0.15">
      <c r="A625" t="s">
        <v>72</v>
      </c>
      <c r="B625" t="s">
        <v>11988</v>
      </c>
      <c r="C625" t="s">
        <v>74</v>
      </c>
      <c r="D625" t="s">
        <v>74</v>
      </c>
      <c r="E625" t="s">
        <v>74</v>
      </c>
      <c r="F625" t="s">
        <v>11989</v>
      </c>
      <c r="G625" t="s">
        <v>74</v>
      </c>
      <c r="H625" t="s">
        <v>74</v>
      </c>
      <c r="I625" t="s">
        <v>11990</v>
      </c>
      <c r="J625" t="s">
        <v>11991</v>
      </c>
      <c r="K625" t="s">
        <v>74</v>
      </c>
      <c r="L625" t="s">
        <v>74</v>
      </c>
      <c r="M625" t="s">
        <v>78</v>
      </c>
      <c r="N625" t="s">
        <v>2743</v>
      </c>
      <c r="O625" t="s">
        <v>74</v>
      </c>
      <c r="P625" t="s">
        <v>74</v>
      </c>
      <c r="Q625" t="s">
        <v>74</v>
      </c>
      <c r="R625" t="s">
        <v>74</v>
      </c>
      <c r="S625" t="s">
        <v>74</v>
      </c>
      <c r="T625" t="s">
        <v>74</v>
      </c>
      <c r="U625" t="s">
        <v>74</v>
      </c>
      <c r="V625" t="s">
        <v>74</v>
      </c>
      <c r="W625" t="s">
        <v>11992</v>
      </c>
      <c r="X625" t="s">
        <v>2219</v>
      </c>
      <c r="Y625" t="s">
        <v>11993</v>
      </c>
      <c r="Z625" t="s">
        <v>11994</v>
      </c>
      <c r="AA625" t="s">
        <v>74</v>
      </c>
      <c r="AB625" t="s">
        <v>74</v>
      </c>
      <c r="AC625" t="s">
        <v>74</v>
      </c>
      <c r="AD625" t="s">
        <v>74</v>
      </c>
      <c r="AE625" t="s">
        <v>74</v>
      </c>
      <c r="AF625" t="s">
        <v>74</v>
      </c>
      <c r="AG625">
        <v>3</v>
      </c>
      <c r="AH625">
        <v>0</v>
      </c>
      <c r="AI625">
        <v>0</v>
      </c>
      <c r="AJ625">
        <v>1</v>
      </c>
      <c r="AK625">
        <v>1</v>
      </c>
      <c r="AL625" t="s">
        <v>87</v>
      </c>
      <c r="AM625" t="s">
        <v>88</v>
      </c>
      <c r="AN625" t="s">
        <v>89</v>
      </c>
      <c r="AO625" t="s">
        <v>11995</v>
      </c>
      <c r="AP625" t="s">
        <v>11996</v>
      </c>
      <c r="AQ625" t="s">
        <v>74</v>
      </c>
      <c r="AR625" t="s">
        <v>11991</v>
      </c>
      <c r="AS625" t="s">
        <v>11997</v>
      </c>
      <c r="AT625" t="s">
        <v>11950</v>
      </c>
      <c r="AU625">
        <v>2023</v>
      </c>
      <c r="AV625" t="s">
        <v>74</v>
      </c>
      <c r="AW625" t="s">
        <v>74</v>
      </c>
      <c r="AX625" t="s">
        <v>74</v>
      </c>
      <c r="AY625" t="s">
        <v>74</v>
      </c>
      <c r="AZ625" t="s">
        <v>74</v>
      </c>
      <c r="BA625" t="s">
        <v>74</v>
      </c>
      <c r="BB625" t="s">
        <v>74</v>
      </c>
      <c r="BC625" t="s">
        <v>74</v>
      </c>
      <c r="BD625" t="s">
        <v>74</v>
      </c>
      <c r="BE625" t="s">
        <v>11998</v>
      </c>
      <c r="BF625" t="str">
        <f>HYPERLINK("http://dx.doi.org/10.1002/lary.30946","http://dx.doi.org/10.1002/lary.30946")</f>
        <v>http://dx.doi.org/10.1002/lary.30946</v>
      </c>
      <c r="BG625" t="s">
        <v>74</v>
      </c>
      <c r="BH625" t="s">
        <v>7524</v>
      </c>
      <c r="BI625">
        <v>1</v>
      </c>
      <c r="BJ625" t="s">
        <v>11999</v>
      </c>
      <c r="BK625" t="s">
        <v>119</v>
      </c>
      <c r="BL625" t="s">
        <v>12000</v>
      </c>
      <c r="BM625" t="s">
        <v>12001</v>
      </c>
      <c r="BN625">
        <v>37572048</v>
      </c>
      <c r="BO625" t="s">
        <v>301</v>
      </c>
      <c r="BP625" t="s">
        <v>74</v>
      </c>
      <c r="BQ625" t="s">
        <v>74</v>
      </c>
      <c r="BR625" t="s">
        <v>99</v>
      </c>
      <c r="BS625" t="s">
        <v>12002</v>
      </c>
      <c r="BT625" t="str">
        <f>HYPERLINK("https%3A%2F%2Fwww.webofscience.com%2Fwos%2Fwoscc%2Ffull-record%2FWOS:001047413400001","View Full Record in Web of Science")</f>
        <v>View Full Record in Web of Science</v>
      </c>
    </row>
    <row r="626" spans="1:72" x14ac:dyDescent="0.15">
      <c r="A626" t="s">
        <v>72</v>
      </c>
      <c r="B626" t="s">
        <v>12003</v>
      </c>
      <c r="C626" t="s">
        <v>74</v>
      </c>
      <c r="D626" t="s">
        <v>74</v>
      </c>
      <c r="E626" t="s">
        <v>74</v>
      </c>
      <c r="F626" t="s">
        <v>12004</v>
      </c>
      <c r="G626" t="s">
        <v>74</v>
      </c>
      <c r="H626" t="s">
        <v>74</v>
      </c>
      <c r="I626" t="s">
        <v>12005</v>
      </c>
      <c r="J626" t="s">
        <v>12006</v>
      </c>
      <c r="K626" t="s">
        <v>74</v>
      </c>
      <c r="L626" t="s">
        <v>74</v>
      </c>
      <c r="M626" t="s">
        <v>78</v>
      </c>
      <c r="N626" t="s">
        <v>3392</v>
      </c>
      <c r="O626" t="s">
        <v>74</v>
      </c>
      <c r="P626" t="s">
        <v>74</v>
      </c>
      <c r="Q626" t="s">
        <v>74</v>
      </c>
      <c r="R626" t="s">
        <v>74</v>
      </c>
      <c r="S626" t="s">
        <v>74</v>
      </c>
      <c r="T626" t="s">
        <v>12007</v>
      </c>
      <c r="U626" t="s">
        <v>12008</v>
      </c>
      <c r="V626" t="s">
        <v>12009</v>
      </c>
      <c r="W626" t="s">
        <v>12010</v>
      </c>
      <c r="X626" t="s">
        <v>12011</v>
      </c>
      <c r="Y626" t="s">
        <v>12012</v>
      </c>
      <c r="Z626" t="s">
        <v>12013</v>
      </c>
      <c r="AA626" t="s">
        <v>74</v>
      </c>
      <c r="AB626" t="s">
        <v>12014</v>
      </c>
      <c r="AC626" t="s">
        <v>12015</v>
      </c>
      <c r="AD626" t="s">
        <v>12016</v>
      </c>
      <c r="AE626" t="s">
        <v>12017</v>
      </c>
      <c r="AF626" t="s">
        <v>74</v>
      </c>
      <c r="AG626">
        <v>57</v>
      </c>
      <c r="AH626">
        <v>0</v>
      </c>
      <c r="AI626">
        <v>0</v>
      </c>
      <c r="AJ626">
        <v>0</v>
      </c>
      <c r="AK626">
        <v>0</v>
      </c>
      <c r="AL626" t="s">
        <v>87</v>
      </c>
      <c r="AM626" t="s">
        <v>88</v>
      </c>
      <c r="AN626" t="s">
        <v>89</v>
      </c>
      <c r="AO626" t="s">
        <v>12018</v>
      </c>
      <c r="AP626" t="s">
        <v>12019</v>
      </c>
      <c r="AQ626" t="s">
        <v>74</v>
      </c>
      <c r="AR626" t="s">
        <v>12006</v>
      </c>
      <c r="AS626" t="s">
        <v>12020</v>
      </c>
      <c r="AT626" t="s">
        <v>6725</v>
      </c>
      <c r="AU626">
        <v>2023</v>
      </c>
      <c r="AV626">
        <v>32</v>
      </c>
      <c r="AW626">
        <v>9</v>
      </c>
      <c r="AX626" t="s">
        <v>74</v>
      </c>
      <c r="AY626" t="s">
        <v>74</v>
      </c>
      <c r="AZ626" t="s">
        <v>74</v>
      </c>
      <c r="BA626" t="s">
        <v>74</v>
      </c>
      <c r="BB626">
        <v>1348</v>
      </c>
      <c r="BC626">
        <v>1358</v>
      </c>
      <c r="BD626" t="s">
        <v>74</v>
      </c>
      <c r="BE626" t="s">
        <v>12021</v>
      </c>
      <c r="BF626" t="str">
        <f>HYPERLINK("http://dx.doi.org/10.1002/pon.6199","http://dx.doi.org/10.1002/pon.6199")</f>
        <v>http://dx.doi.org/10.1002/pon.6199</v>
      </c>
      <c r="BG626" t="s">
        <v>74</v>
      </c>
      <c r="BH626" t="s">
        <v>7524</v>
      </c>
      <c r="BI626">
        <v>11</v>
      </c>
      <c r="BJ626" t="s">
        <v>12022</v>
      </c>
      <c r="BK626" t="s">
        <v>409</v>
      </c>
      <c r="BL626" t="s">
        <v>12023</v>
      </c>
      <c r="BM626" t="s">
        <v>12024</v>
      </c>
      <c r="BN626">
        <v>37571918</v>
      </c>
      <c r="BO626" t="s">
        <v>74</v>
      </c>
      <c r="BP626" t="s">
        <v>74</v>
      </c>
      <c r="BQ626" t="s">
        <v>74</v>
      </c>
      <c r="BR626" t="s">
        <v>99</v>
      </c>
      <c r="BS626" t="s">
        <v>12025</v>
      </c>
      <c r="BT626" t="str">
        <f>HYPERLINK("https%3A%2F%2Fwww.webofscience.com%2Fwos%2Fwoscc%2Ffull-record%2FWOS:001046127100001","View Full Record in Web of Science")</f>
        <v>View Full Record in Web of Science</v>
      </c>
    </row>
    <row r="627" spans="1:72" x14ac:dyDescent="0.15">
      <c r="A627" t="s">
        <v>72</v>
      </c>
      <c r="B627" t="s">
        <v>12026</v>
      </c>
      <c r="C627" t="s">
        <v>74</v>
      </c>
      <c r="D627" t="s">
        <v>74</v>
      </c>
      <c r="E627" t="s">
        <v>74</v>
      </c>
      <c r="F627" t="s">
        <v>12027</v>
      </c>
      <c r="G627" t="s">
        <v>74</v>
      </c>
      <c r="H627" t="s">
        <v>74</v>
      </c>
      <c r="I627" t="s">
        <v>12028</v>
      </c>
      <c r="J627" t="s">
        <v>12029</v>
      </c>
      <c r="K627" t="s">
        <v>74</v>
      </c>
      <c r="L627" t="s">
        <v>74</v>
      </c>
      <c r="M627" t="s">
        <v>78</v>
      </c>
      <c r="N627" t="s">
        <v>338</v>
      </c>
      <c r="O627" t="s">
        <v>74</v>
      </c>
      <c r="P627" t="s">
        <v>74</v>
      </c>
      <c r="Q627" t="s">
        <v>74</v>
      </c>
      <c r="R627" t="s">
        <v>74</v>
      </c>
      <c r="S627" t="s">
        <v>74</v>
      </c>
      <c r="T627" t="s">
        <v>12030</v>
      </c>
      <c r="U627" t="s">
        <v>12031</v>
      </c>
      <c r="V627" t="s">
        <v>12032</v>
      </c>
      <c r="W627" t="s">
        <v>12033</v>
      </c>
      <c r="X627" t="s">
        <v>12034</v>
      </c>
      <c r="Y627" t="s">
        <v>12035</v>
      </c>
      <c r="Z627" t="s">
        <v>12036</v>
      </c>
      <c r="AA627" t="s">
        <v>74</v>
      </c>
      <c r="AB627" t="s">
        <v>12037</v>
      </c>
      <c r="AC627" t="s">
        <v>12038</v>
      </c>
      <c r="AD627" t="s">
        <v>12039</v>
      </c>
      <c r="AE627" t="s">
        <v>12040</v>
      </c>
      <c r="AF627" t="s">
        <v>74</v>
      </c>
      <c r="AG627">
        <v>29</v>
      </c>
      <c r="AH627">
        <v>0</v>
      </c>
      <c r="AI627">
        <v>0</v>
      </c>
      <c r="AJ627">
        <v>0</v>
      </c>
      <c r="AK627">
        <v>0</v>
      </c>
      <c r="AL627" t="s">
        <v>87</v>
      </c>
      <c r="AM627" t="s">
        <v>88</v>
      </c>
      <c r="AN627" t="s">
        <v>89</v>
      </c>
      <c r="AO627" t="s">
        <v>12041</v>
      </c>
      <c r="AP627" t="s">
        <v>12042</v>
      </c>
      <c r="AQ627" t="s">
        <v>74</v>
      </c>
      <c r="AR627" t="s">
        <v>12043</v>
      </c>
      <c r="AS627" t="s">
        <v>12044</v>
      </c>
      <c r="AT627" t="s">
        <v>11950</v>
      </c>
      <c r="AU627">
        <v>2023</v>
      </c>
      <c r="AV627" t="s">
        <v>74</v>
      </c>
      <c r="AW627" t="s">
        <v>74</v>
      </c>
      <c r="AX627" t="s">
        <v>74</v>
      </c>
      <c r="AY627" t="s">
        <v>74</v>
      </c>
      <c r="AZ627" t="s">
        <v>74</v>
      </c>
      <c r="BA627" t="s">
        <v>74</v>
      </c>
      <c r="BB627" t="s">
        <v>74</v>
      </c>
      <c r="BC627" t="s">
        <v>74</v>
      </c>
      <c r="BD627" t="s">
        <v>74</v>
      </c>
      <c r="BE627" t="s">
        <v>12045</v>
      </c>
      <c r="BF627" t="str">
        <f>HYPERLINK("http://dx.doi.org/10.1111/jgs.18548","http://dx.doi.org/10.1111/jgs.18548")</f>
        <v>http://dx.doi.org/10.1111/jgs.18548</v>
      </c>
      <c r="BG627" t="s">
        <v>74</v>
      </c>
      <c r="BH627" t="s">
        <v>7524</v>
      </c>
      <c r="BI627">
        <v>9</v>
      </c>
      <c r="BJ627" t="s">
        <v>8267</v>
      </c>
      <c r="BK627" t="s">
        <v>409</v>
      </c>
      <c r="BL627" t="s">
        <v>8268</v>
      </c>
      <c r="BM627" t="s">
        <v>12046</v>
      </c>
      <c r="BN627">
        <v>37572061</v>
      </c>
      <c r="BO627" t="s">
        <v>301</v>
      </c>
      <c r="BP627" t="s">
        <v>74</v>
      </c>
      <c r="BQ627" t="s">
        <v>74</v>
      </c>
      <c r="BR627" t="s">
        <v>99</v>
      </c>
      <c r="BS627" t="s">
        <v>12047</v>
      </c>
      <c r="BT627" t="str">
        <f>HYPERLINK("https%3A%2F%2Fwww.webofscience.com%2Fwos%2Fwoscc%2Ffull-record%2FWOS:001046693700001","View Full Record in Web of Science")</f>
        <v>View Full Record in Web of Science</v>
      </c>
    </row>
    <row r="628" spans="1:72" x14ac:dyDescent="0.15">
      <c r="A628" t="s">
        <v>72</v>
      </c>
      <c r="B628" t="s">
        <v>12048</v>
      </c>
      <c r="C628" t="s">
        <v>74</v>
      </c>
      <c r="D628" t="s">
        <v>74</v>
      </c>
      <c r="E628" t="s">
        <v>74</v>
      </c>
      <c r="F628" t="s">
        <v>12049</v>
      </c>
      <c r="G628" t="s">
        <v>74</v>
      </c>
      <c r="H628" t="s">
        <v>74</v>
      </c>
      <c r="I628" t="s">
        <v>12050</v>
      </c>
      <c r="J628" t="s">
        <v>12051</v>
      </c>
      <c r="K628" t="s">
        <v>74</v>
      </c>
      <c r="L628" t="s">
        <v>74</v>
      </c>
      <c r="M628" t="s">
        <v>78</v>
      </c>
      <c r="N628" t="s">
        <v>338</v>
      </c>
      <c r="O628" t="s">
        <v>74</v>
      </c>
      <c r="P628" t="s">
        <v>74</v>
      </c>
      <c r="Q628" t="s">
        <v>74</v>
      </c>
      <c r="R628" t="s">
        <v>74</v>
      </c>
      <c r="S628" t="s">
        <v>74</v>
      </c>
      <c r="T628" t="s">
        <v>74</v>
      </c>
      <c r="U628" t="s">
        <v>12052</v>
      </c>
      <c r="V628" t="s">
        <v>12053</v>
      </c>
      <c r="W628" t="s">
        <v>12054</v>
      </c>
      <c r="X628" t="s">
        <v>12055</v>
      </c>
      <c r="Y628" t="s">
        <v>12056</v>
      </c>
      <c r="Z628" t="s">
        <v>12057</v>
      </c>
      <c r="AA628" t="s">
        <v>12058</v>
      </c>
      <c r="AB628" t="s">
        <v>12059</v>
      </c>
      <c r="AC628" t="s">
        <v>12060</v>
      </c>
      <c r="AD628" t="s">
        <v>12061</v>
      </c>
      <c r="AE628" t="s">
        <v>12062</v>
      </c>
      <c r="AF628" t="s">
        <v>74</v>
      </c>
      <c r="AG628">
        <v>83</v>
      </c>
      <c r="AH628">
        <v>0</v>
      </c>
      <c r="AI628">
        <v>0</v>
      </c>
      <c r="AJ628">
        <v>2</v>
      </c>
      <c r="AK628">
        <v>2</v>
      </c>
      <c r="AL628" t="s">
        <v>87</v>
      </c>
      <c r="AM628" t="s">
        <v>88</v>
      </c>
      <c r="AN628" t="s">
        <v>89</v>
      </c>
      <c r="AO628" t="s">
        <v>12063</v>
      </c>
      <c r="AP628" t="s">
        <v>12064</v>
      </c>
      <c r="AQ628" t="s">
        <v>74</v>
      </c>
      <c r="AR628" t="s">
        <v>12065</v>
      </c>
      <c r="AS628" t="s">
        <v>12066</v>
      </c>
      <c r="AT628" t="s">
        <v>11950</v>
      </c>
      <c r="AU628">
        <v>2023</v>
      </c>
      <c r="AV628" t="s">
        <v>74</v>
      </c>
      <c r="AW628" t="s">
        <v>74</v>
      </c>
      <c r="AX628" t="s">
        <v>74</v>
      </c>
      <c r="AY628" t="s">
        <v>74</v>
      </c>
      <c r="AZ628" t="s">
        <v>74</v>
      </c>
      <c r="BA628" t="s">
        <v>74</v>
      </c>
      <c r="BB628" t="s">
        <v>74</v>
      </c>
      <c r="BC628" t="s">
        <v>74</v>
      </c>
      <c r="BD628" t="s">
        <v>74</v>
      </c>
      <c r="BE628" t="s">
        <v>12067</v>
      </c>
      <c r="BF628" t="str">
        <f>HYPERLINK("http://dx.doi.org/10.1002/ana.26716","http://dx.doi.org/10.1002/ana.26716")</f>
        <v>http://dx.doi.org/10.1002/ana.26716</v>
      </c>
      <c r="BG628" t="s">
        <v>74</v>
      </c>
      <c r="BH628" t="s">
        <v>7524</v>
      </c>
      <c r="BI628">
        <v>17</v>
      </c>
      <c r="BJ628" t="s">
        <v>1670</v>
      </c>
      <c r="BK628" t="s">
        <v>119</v>
      </c>
      <c r="BL628" t="s">
        <v>1562</v>
      </c>
      <c r="BM628" t="s">
        <v>12068</v>
      </c>
      <c r="BN628">
        <v>37255483</v>
      </c>
      <c r="BO628" t="s">
        <v>122</v>
      </c>
      <c r="BP628" t="s">
        <v>74</v>
      </c>
      <c r="BQ628" t="s">
        <v>74</v>
      </c>
      <c r="BR628" t="s">
        <v>99</v>
      </c>
      <c r="BS628" t="s">
        <v>12069</v>
      </c>
      <c r="BT628" t="str">
        <f>HYPERLINK("https%3A%2F%2Fwww.webofscience.com%2Fwos%2Fwoscc%2Ffull-record%2FWOS:001047421800001","View Full Record in Web of Science")</f>
        <v>View Full Record in Web of Science</v>
      </c>
    </row>
    <row r="629" spans="1:72" x14ac:dyDescent="0.15">
      <c r="A629" t="s">
        <v>72</v>
      </c>
      <c r="B629" t="s">
        <v>12070</v>
      </c>
      <c r="C629" t="s">
        <v>74</v>
      </c>
      <c r="D629" t="s">
        <v>74</v>
      </c>
      <c r="E629" t="s">
        <v>74</v>
      </c>
      <c r="F629" t="s">
        <v>12071</v>
      </c>
      <c r="G629" t="s">
        <v>74</v>
      </c>
      <c r="H629" t="s">
        <v>74</v>
      </c>
      <c r="I629" t="s">
        <v>12072</v>
      </c>
      <c r="J629" t="s">
        <v>10317</v>
      </c>
      <c r="K629" t="s">
        <v>74</v>
      </c>
      <c r="L629" t="s">
        <v>74</v>
      </c>
      <c r="M629" t="s">
        <v>78</v>
      </c>
      <c r="N629" t="s">
        <v>79</v>
      </c>
      <c r="O629" t="s">
        <v>74</v>
      </c>
      <c r="P629" t="s">
        <v>74</v>
      </c>
      <c r="Q629" t="s">
        <v>74</v>
      </c>
      <c r="R629" t="s">
        <v>74</v>
      </c>
      <c r="S629" t="s">
        <v>74</v>
      </c>
      <c r="T629" t="s">
        <v>12073</v>
      </c>
      <c r="U629" t="s">
        <v>12074</v>
      </c>
      <c r="V629" t="s">
        <v>12075</v>
      </c>
      <c r="W629" t="s">
        <v>12076</v>
      </c>
      <c r="X629" t="s">
        <v>12077</v>
      </c>
      <c r="Y629" t="s">
        <v>12078</v>
      </c>
      <c r="Z629" t="s">
        <v>12079</v>
      </c>
      <c r="AA629" t="s">
        <v>74</v>
      </c>
      <c r="AB629" t="s">
        <v>12080</v>
      </c>
      <c r="AC629" t="s">
        <v>12081</v>
      </c>
      <c r="AD629" t="s">
        <v>12082</v>
      </c>
      <c r="AE629" t="s">
        <v>12083</v>
      </c>
      <c r="AF629" t="s">
        <v>74</v>
      </c>
      <c r="AG629">
        <v>32</v>
      </c>
      <c r="AH629">
        <v>1</v>
      </c>
      <c r="AI629">
        <v>1</v>
      </c>
      <c r="AJ629">
        <v>0</v>
      </c>
      <c r="AK629">
        <v>0</v>
      </c>
      <c r="AL629" t="s">
        <v>87</v>
      </c>
      <c r="AM629" t="s">
        <v>88</v>
      </c>
      <c r="AN629" t="s">
        <v>89</v>
      </c>
      <c r="AO629" t="s">
        <v>10324</v>
      </c>
      <c r="AP629" t="s">
        <v>10325</v>
      </c>
      <c r="AQ629" t="s">
        <v>74</v>
      </c>
      <c r="AR629" t="s">
        <v>10326</v>
      </c>
      <c r="AS629" t="s">
        <v>10327</v>
      </c>
      <c r="AT629" t="s">
        <v>10328</v>
      </c>
      <c r="AU629">
        <v>2023</v>
      </c>
      <c r="AV629">
        <v>219</v>
      </c>
      <c r="AW629">
        <v>6</v>
      </c>
      <c r="AX629" t="s">
        <v>74</v>
      </c>
      <c r="AY629" t="s">
        <v>74</v>
      </c>
      <c r="AZ629" t="s">
        <v>74</v>
      </c>
      <c r="BA629" t="s">
        <v>74</v>
      </c>
      <c r="BB629">
        <v>263</v>
      </c>
      <c r="BC629">
        <v>269</v>
      </c>
      <c r="BD629" t="s">
        <v>74</v>
      </c>
      <c r="BE629" t="s">
        <v>12084</v>
      </c>
      <c r="BF629" t="str">
        <f>HYPERLINK("http://dx.doi.org/10.5694/mja2.52062","http://dx.doi.org/10.5694/mja2.52062")</f>
        <v>http://dx.doi.org/10.5694/mja2.52062</v>
      </c>
      <c r="BG629" t="s">
        <v>74</v>
      </c>
      <c r="BH629" t="s">
        <v>7524</v>
      </c>
      <c r="BI629">
        <v>7</v>
      </c>
      <c r="BJ629" t="s">
        <v>4689</v>
      </c>
      <c r="BK629" t="s">
        <v>119</v>
      </c>
      <c r="BL629" t="s">
        <v>4690</v>
      </c>
      <c r="BM629" t="s">
        <v>10330</v>
      </c>
      <c r="BN629">
        <v>37573148</v>
      </c>
      <c r="BO629" t="s">
        <v>122</v>
      </c>
      <c r="BP629" t="s">
        <v>74</v>
      </c>
      <c r="BQ629" t="s">
        <v>74</v>
      </c>
      <c r="BR629" t="s">
        <v>99</v>
      </c>
      <c r="BS629" t="s">
        <v>12085</v>
      </c>
      <c r="BT629" t="str">
        <f>HYPERLINK("https%3A%2F%2Fwww.webofscience.com%2Fwos%2Fwoscc%2Ffull-record%2FWOS:001046842500001","View Full Record in Web of Science")</f>
        <v>View Full Record in Web of Science</v>
      </c>
    </row>
    <row r="630" spans="1:72" x14ac:dyDescent="0.15">
      <c r="A630" t="s">
        <v>72</v>
      </c>
      <c r="B630" t="s">
        <v>12086</v>
      </c>
      <c r="C630" t="s">
        <v>74</v>
      </c>
      <c r="D630" t="s">
        <v>74</v>
      </c>
      <c r="E630" t="s">
        <v>74</v>
      </c>
      <c r="F630" t="s">
        <v>12087</v>
      </c>
      <c r="G630" t="s">
        <v>74</v>
      </c>
      <c r="H630" t="s">
        <v>74</v>
      </c>
      <c r="I630" t="s">
        <v>12088</v>
      </c>
      <c r="J630" t="s">
        <v>9656</v>
      </c>
      <c r="K630" t="s">
        <v>74</v>
      </c>
      <c r="L630" t="s">
        <v>74</v>
      </c>
      <c r="M630" t="s">
        <v>78</v>
      </c>
      <c r="N630" t="s">
        <v>338</v>
      </c>
      <c r="O630" t="s">
        <v>74</v>
      </c>
      <c r="P630" t="s">
        <v>74</v>
      </c>
      <c r="Q630" t="s">
        <v>74</v>
      </c>
      <c r="R630" t="s">
        <v>74</v>
      </c>
      <c r="S630" t="s">
        <v>74</v>
      </c>
      <c r="T630" t="s">
        <v>12089</v>
      </c>
      <c r="U630" t="s">
        <v>12090</v>
      </c>
      <c r="V630" t="s">
        <v>12091</v>
      </c>
      <c r="W630" t="s">
        <v>12092</v>
      </c>
      <c r="X630" t="s">
        <v>12093</v>
      </c>
      <c r="Y630" t="s">
        <v>12094</v>
      </c>
      <c r="Z630" t="s">
        <v>12095</v>
      </c>
      <c r="AA630" t="s">
        <v>74</v>
      </c>
      <c r="AB630" t="s">
        <v>12096</v>
      </c>
      <c r="AC630" t="s">
        <v>74</v>
      </c>
      <c r="AD630" t="s">
        <v>74</v>
      </c>
      <c r="AE630" t="s">
        <v>74</v>
      </c>
      <c r="AF630" t="s">
        <v>74</v>
      </c>
      <c r="AG630">
        <v>16</v>
      </c>
      <c r="AH630">
        <v>0</v>
      </c>
      <c r="AI630">
        <v>0</v>
      </c>
      <c r="AJ630">
        <v>2</v>
      </c>
      <c r="AK630">
        <v>2</v>
      </c>
      <c r="AL630" t="s">
        <v>87</v>
      </c>
      <c r="AM630" t="s">
        <v>88</v>
      </c>
      <c r="AN630" t="s">
        <v>89</v>
      </c>
      <c r="AO630" t="s">
        <v>9663</v>
      </c>
      <c r="AP630" t="s">
        <v>74</v>
      </c>
      <c r="AQ630" t="s">
        <v>74</v>
      </c>
      <c r="AR630" t="s">
        <v>9656</v>
      </c>
      <c r="AS630" t="s">
        <v>9664</v>
      </c>
      <c r="AT630" t="s">
        <v>11950</v>
      </c>
      <c r="AU630">
        <v>2023</v>
      </c>
      <c r="AV630" t="s">
        <v>74</v>
      </c>
      <c r="AW630" t="s">
        <v>74</v>
      </c>
      <c r="AX630" t="s">
        <v>74</v>
      </c>
      <c r="AY630" t="s">
        <v>74</v>
      </c>
      <c r="AZ630" t="s">
        <v>74</v>
      </c>
      <c r="BA630" t="s">
        <v>74</v>
      </c>
      <c r="BB630" t="s">
        <v>74</v>
      </c>
      <c r="BC630" t="s">
        <v>74</v>
      </c>
      <c r="BD630" t="s">
        <v>74</v>
      </c>
      <c r="BE630" t="s">
        <v>12097</v>
      </c>
      <c r="BF630" t="str">
        <f>HYPERLINK("http://dx.doi.org/10.1002/2211-5463.13686","http://dx.doi.org/10.1002/2211-5463.13686")</f>
        <v>http://dx.doi.org/10.1002/2211-5463.13686</v>
      </c>
      <c r="BG630" t="s">
        <v>74</v>
      </c>
      <c r="BH630" t="s">
        <v>7524</v>
      </c>
      <c r="BI630">
        <v>8</v>
      </c>
      <c r="BJ630" t="s">
        <v>212</v>
      </c>
      <c r="BK630" t="s">
        <v>119</v>
      </c>
      <c r="BL630" t="s">
        <v>212</v>
      </c>
      <c r="BM630" t="s">
        <v>12098</v>
      </c>
      <c r="BN630">
        <v>37548115</v>
      </c>
      <c r="BO630" t="s">
        <v>234</v>
      </c>
      <c r="BP630" t="s">
        <v>74</v>
      </c>
      <c r="BQ630" t="s">
        <v>74</v>
      </c>
      <c r="BR630" t="s">
        <v>99</v>
      </c>
      <c r="BS630" t="s">
        <v>12099</v>
      </c>
      <c r="BT630" t="str">
        <f>HYPERLINK("https%3A%2F%2Fwww.webofscience.com%2Fwos%2Fwoscc%2Ffull-record%2FWOS:001047171600001","View Full Record in Web of Science")</f>
        <v>View Full Record in Web of Science</v>
      </c>
    </row>
    <row r="631" spans="1:72" x14ac:dyDescent="0.15">
      <c r="A631" t="s">
        <v>72</v>
      </c>
      <c r="B631" t="s">
        <v>12100</v>
      </c>
      <c r="C631" t="s">
        <v>74</v>
      </c>
      <c r="D631" t="s">
        <v>74</v>
      </c>
      <c r="E631" t="s">
        <v>74</v>
      </c>
      <c r="F631" t="s">
        <v>12101</v>
      </c>
      <c r="G631" t="s">
        <v>74</v>
      </c>
      <c r="H631" t="s">
        <v>74</v>
      </c>
      <c r="I631" t="s">
        <v>12102</v>
      </c>
      <c r="J631" t="s">
        <v>2702</v>
      </c>
      <c r="K631" t="s">
        <v>74</v>
      </c>
      <c r="L631" t="s">
        <v>74</v>
      </c>
      <c r="M631" t="s">
        <v>78</v>
      </c>
      <c r="N631" t="s">
        <v>338</v>
      </c>
      <c r="O631" t="s">
        <v>74</v>
      </c>
      <c r="P631" t="s">
        <v>74</v>
      </c>
      <c r="Q631" t="s">
        <v>74</v>
      </c>
      <c r="R631" t="s">
        <v>74</v>
      </c>
      <c r="S631" t="s">
        <v>74</v>
      </c>
      <c r="T631" t="s">
        <v>12103</v>
      </c>
      <c r="U631" t="s">
        <v>12104</v>
      </c>
      <c r="V631" t="s">
        <v>12105</v>
      </c>
      <c r="W631" t="s">
        <v>12106</v>
      </c>
      <c r="X631" t="s">
        <v>12107</v>
      </c>
      <c r="Y631" t="s">
        <v>12108</v>
      </c>
      <c r="Z631" t="s">
        <v>12109</v>
      </c>
      <c r="AA631" t="s">
        <v>12110</v>
      </c>
      <c r="AB631" t="s">
        <v>12111</v>
      </c>
      <c r="AC631" t="s">
        <v>74</v>
      </c>
      <c r="AD631" t="s">
        <v>74</v>
      </c>
      <c r="AE631" t="s">
        <v>74</v>
      </c>
      <c r="AF631" t="s">
        <v>74</v>
      </c>
      <c r="AG631">
        <v>111</v>
      </c>
      <c r="AH631">
        <v>0</v>
      </c>
      <c r="AI631">
        <v>0</v>
      </c>
      <c r="AJ631">
        <v>4</v>
      </c>
      <c r="AK631">
        <v>4</v>
      </c>
      <c r="AL631" t="s">
        <v>87</v>
      </c>
      <c r="AM631" t="s">
        <v>88</v>
      </c>
      <c r="AN631" t="s">
        <v>89</v>
      </c>
      <c r="AO631" t="s">
        <v>2714</v>
      </c>
      <c r="AP631" t="s">
        <v>2715</v>
      </c>
      <c r="AQ631" t="s">
        <v>74</v>
      </c>
      <c r="AR631" t="s">
        <v>2716</v>
      </c>
      <c r="AS631" t="s">
        <v>2717</v>
      </c>
      <c r="AT631" t="s">
        <v>11950</v>
      </c>
      <c r="AU631">
        <v>2023</v>
      </c>
      <c r="AV631" t="s">
        <v>74</v>
      </c>
      <c r="AW631" t="s">
        <v>74</v>
      </c>
      <c r="AX631" t="s">
        <v>74</v>
      </c>
      <c r="AY631" t="s">
        <v>74</v>
      </c>
      <c r="AZ631" t="s">
        <v>74</v>
      </c>
      <c r="BA631" t="s">
        <v>74</v>
      </c>
      <c r="BB631" t="s">
        <v>74</v>
      </c>
      <c r="BC631" t="s">
        <v>74</v>
      </c>
      <c r="BD631" t="s">
        <v>74</v>
      </c>
      <c r="BE631" t="s">
        <v>12112</v>
      </c>
      <c r="BF631" t="str">
        <f>HYPERLINK("http://dx.doi.org/10.1002/mar.21884","http://dx.doi.org/10.1002/mar.21884")</f>
        <v>http://dx.doi.org/10.1002/mar.21884</v>
      </c>
      <c r="BG631" t="s">
        <v>74</v>
      </c>
      <c r="BH631" t="s">
        <v>7524</v>
      </c>
      <c r="BI631">
        <v>26</v>
      </c>
      <c r="BJ631" t="s">
        <v>2720</v>
      </c>
      <c r="BK631" t="s">
        <v>546</v>
      </c>
      <c r="BL631" t="s">
        <v>2721</v>
      </c>
      <c r="BM631" t="s">
        <v>12113</v>
      </c>
      <c r="BN631" t="s">
        <v>74</v>
      </c>
      <c r="BO631" t="s">
        <v>122</v>
      </c>
      <c r="BP631" t="s">
        <v>74</v>
      </c>
      <c r="BQ631" t="s">
        <v>74</v>
      </c>
      <c r="BR631" t="s">
        <v>99</v>
      </c>
      <c r="BS631" t="s">
        <v>12114</v>
      </c>
      <c r="BT631" t="str">
        <f>HYPERLINK("https%3A%2F%2Fwww.webofscience.com%2Fwos%2Fwoscc%2Ffull-record%2FWOS:001046825100001","View Full Record in Web of Science")</f>
        <v>View Full Record in Web of Science</v>
      </c>
    </row>
    <row r="632" spans="1:72" x14ac:dyDescent="0.15">
      <c r="A632" t="s">
        <v>72</v>
      </c>
      <c r="B632" t="s">
        <v>12115</v>
      </c>
      <c r="C632" t="s">
        <v>74</v>
      </c>
      <c r="D632" t="s">
        <v>74</v>
      </c>
      <c r="E632" t="s">
        <v>74</v>
      </c>
      <c r="F632" t="s">
        <v>12116</v>
      </c>
      <c r="G632" t="s">
        <v>74</v>
      </c>
      <c r="H632" t="s">
        <v>74</v>
      </c>
      <c r="I632" t="s">
        <v>12117</v>
      </c>
      <c r="J632" t="s">
        <v>12118</v>
      </c>
      <c r="K632" t="s">
        <v>74</v>
      </c>
      <c r="L632" t="s">
        <v>74</v>
      </c>
      <c r="M632" t="s">
        <v>78</v>
      </c>
      <c r="N632" t="s">
        <v>338</v>
      </c>
      <c r="O632" t="s">
        <v>74</v>
      </c>
      <c r="P632" t="s">
        <v>74</v>
      </c>
      <c r="Q632" t="s">
        <v>74</v>
      </c>
      <c r="R632" t="s">
        <v>74</v>
      </c>
      <c r="S632" t="s">
        <v>74</v>
      </c>
      <c r="T632" t="s">
        <v>12119</v>
      </c>
      <c r="U632" t="s">
        <v>12120</v>
      </c>
      <c r="V632" t="s">
        <v>12121</v>
      </c>
      <c r="W632" t="s">
        <v>12122</v>
      </c>
      <c r="X632" t="s">
        <v>12123</v>
      </c>
      <c r="Y632" t="s">
        <v>12124</v>
      </c>
      <c r="Z632" t="s">
        <v>12125</v>
      </c>
      <c r="AA632" t="s">
        <v>74</v>
      </c>
      <c r="AB632" t="s">
        <v>74</v>
      </c>
      <c r="AC632" t="s">
        <v>12126</v>
      </c>
      <c r="AD632" t="s">
        <v>12127</v>
      </c>
      <c r="AE632" t="s">
        <v>12128</v>
      </c>
      <c r="AF632" t="s">
        <v>74</v>
      </c>
      <c r="AG632">
        <v>40</v>
      </c>
      <c r="AH632">
        <v>0</v>
      </c>
      <c r="AI632">
        <v>0</v>
      </c>
      <c r="AJ632">
        <v>3</v>
      </c>
      <c r="AK632">
        <v>3</v>
      </c>
      <c r="AL632" t="s">
        <v>87</v>
      </c>
      <c r="AM632" t="s">
        <v>88</v>
      </c>
      <c r="AN632" t="s">
        <v>89</v>
      </c>
      <c r="AO632" t="s">
        <v>12129</v>
      </c>
      <c r="AP632" t="s">
        <v>12130</v>
      </c>
      <c r="AQ632" t="s">
        <v>74</v>
      </c>
      <c r="AR632" t="s">
        <v>12131</v>
      </c>
      <c r="AS632" t="s">
        <v>12132</v>
      </c>
      <c r="AT632" t="s">
        <v>11950</v>
      </c>
      <c r="AU632">
        <v>2023</v>
      </c>
      <c r="AV632" t="s">
        <v>74</v>
      </c>
      <c r="AW632" t="s">
        <v>74</v>
      </c>
      <c r="AX632" t="s">
        <v>74</v>
      </c>
      <c r="AY632" t="s">
        <v>74</v>
      </c>
      <c r="AZ632" t="s">
        <v>74</v>
      </c>
      <c r="BA632" t="s">
        <v>74</v>
      </c>
      <c r="BB632" t="s">
        <v>74</v>
      </c>
      <c r="BC632" t="s">
        <v>74</v>
      </c>
      <c r="BD632" t="s">
        <v>74</v>
      </c>
      <c r="BE632" t="s">
        <v>12133</v>
      </c>
      <c r="BF632" t="str">
        <f>HYPERLINK("http://dx.doi.org/10.1111/sode.12704","http://dx.doi.org/10.1111/sode.12704")</f>
        <v>http://dx.doi.org/10.1111/sode.12704</v>
      </c>
      <c r="BG632" t="s">
        <v>74</v>
      </c>
      <c r="BH632" t="s">
        <v>7524</v>
      </c>
      <c r="BI632">
        <v>16</v>
      </c>
      <c r="BJ632" t="s">
        <v>6428</v>
      </c>
      <c r="BK632" t="s">
        <v>546</v>
      </c>
      <c r="BL632" t="s">
        <v>1210</v>
      </c>
      <c r="BM632" t="s">
        <v>12134</v>
      </c>
      <c r="BN632" t="s">
        <v>74</v>
      </c>
      <c r="BO632" t="s">
        <v>301</v>
      </c>
      <c r="BP632" t="s">
        <v>74</v>
      </c>
      <c r="BQ632" t="s">
        <v>74</v>
      </c>
      <c r="BR632" t="s">
        <v>99</v>
      </c>
      <c r="BS632" t="s">
        <v>12135</v>
      </c>
      <c r="BT632" t="str">
        <f>HYPERLINK("https%3A%2F%2Fwww.webofscience.com%2Fwos%2Fwoscc%2Ffull-record%2FWOS:001046475700001","View Full Record in Web of Science")</f>
        <v>View Full Record in Web of Science</v>
      </c>
    </row>
    <row r="633" spans="1:72" x14ac:dyDescent="0.15">
      <c r="A633" t="s">
        <v>72</v>
      </c>
      <c r="B633" t="s">
        <v>12136</v>
      </c>
      <c r="C633" t="s">
        <v>74</v>
      </c>
      <c r="D633" t="s">
        <v>74</v>
      </c>
      <c r="E633" t="s">
        <v>74</v>
      </c>
      <c r="F633" t="s">
        <v>12137</v>
      </c>
      <c r="G633" t="s">
        <v>74</v>
      </c>
      <c r="H633" t="s">
        <v>74</v>
      </c>
      <c r="I633" t="s">
        <v>12138</v>
      </c>
      <c r="J633" t="s">
        <v>9656</v>
      </c>
      <c r="K633" t="s">
        <v>74</v>
      </c>
      <c r="L633" t="s">
        <v>74</v>
      </c>
      <c r="M633" t="s">
        <v>78</v>
      </c>
      <c r="N633" t="s">
        <v>338</v>
      </c>
      <c r="O633" t="s">
        <v>74</v>
      </c>
      <c r="P633" t="s">
        <v>74</v>
      </c>
      <c r="Q633" t="s">
        <v>74</v>
      </c>
      <c r="R633" t="s">
        <v>74</v>
      </c>
      <c r="S633" t="s">
        <v>74</v>
      </c>
      <c r="T633" t="s">
        <v>12139</v>
      </c>
      <c r="U633" t="s">
        <v>12140</v>
      </c>
      <c r="V633" t="s">
        <v>12141</v>
      </c>
      <c r="W633" t="s">
        <v>12142</v>
      </c>
      <c r="X633" t="s">
        <v>12143</v>
      </c>
      <c r="Y633" t="s">
        <v>12144</v>
      </c>
      <c r="Z633" t="s">
        <v>12145</v>
      </c>
      <c r="AA633" t="s">
        <v>74</v>
      </c>
      <c r="AB633" t="s">
        <v>74</v>
      </c>
      <c r="AC633" t="s">
        <v>12146</v>
      </c>
      <c r="AD633" t="s">
        <v>12147</v>
      </c>
      <c r="AE633" t="s">
        <v>12148</v>
      </c>
      <c r="AF633" t="s">
        <v>74</v>
      </c>
      <c r="AG633">
        <v>53</v>
      </c>
      <c r="AH633">
        <v>0</v>
      </c>
      <c r="AI633">
        <v>0</v>
      </c>
      <c r="AJ633">
        <v>3</v>
      </c>
      <c r="AK633">
        <v>3</v>
      </c>
      <c r="AL633" t="s">
        <v>87</v>
      </c>
      <c r="AM633" t="s">
        <v>88</v>
      </c>
      <c r="AN633" t="s">
        <v>89</v>
      </c>
      <c r="AO633" t="s">
        <v>9663</v>
      </c>
      <c r="AP633" t="s">
        <v>74</v>
      </c>
      <c r="AQ633" t="s">
        <v>74</v>
      </c>
      <c r="AR633" t="s">
        <v>9656</v>
      </c>
      <c r="AS633" t="s">
        <v>9664</v>
      </c>
      <c r="AT633" t="s">
        <v>11950</v>
      </c>
      <c r="AU633">
        <v>2023</v>
      </c>
      <c r="AV633" t="s">
        <v>74</v>
      </c>
      <c r="AW633" t="s">
        <v>74</v>
      </c>
      <c r="AX633" t="s">
        <v>74</v>
      </c>
      <c r="AY633" t="s">
        <v>74</v>
      </c>
      <c r="AZ633" t="s">
        <v>74</v>
      </c>
      <c r="BA633" t="s">
        <v>74</v>
      </c>
      <c r="BB633" t="s">
        <v>74</v>
      </c>
      <c r="BC633" t="s">
        <v>74</v>
      </c>
      <c r="BD633" t="s">
        <v>74</v>
      </c>
      <c r="BE633" t="s">
        <v>12149</v>
      </c>
      <c r="BF633" t="str">
        <f>HYPERLINK("http://dx.doi.org/10.1002/2211-5463.13684","http://dx.doi.org/10.1002/2211-5463.13684")</f>
        <v>http://dx.doi.org/10.1002/2211-5463.13684</v>
      </c>
      <c r="BG633" t="s">
        <v>74</v>
      </c>
      <c r="BH633" t="s">
        <v>7524</v>
      </c>
      <c r="BI633">
        <v>15</v>
      </c>
      <c r="BJ633" t="s">
        <v>212</v>
      </c>
      <c r="BK633" t="s">
        <v>119</v>
      </c>
      <c r="BL633" t="s">
        <v>212</v>
      </c>
      <c r="BM633" t="s">
        <v>12150</v>
      </c>
      <c r="BN633">
        <v>37525933</v>
      </c>
      <c r="BO633" t="s">
        <v>234</v>
      </c>
      <c r="BP633" t="s">
        <v>74</v>
      </c>
      <c r="BQ633" t="s">
        <v>74</v>
      </c>
      <c r="BR633" t="s">
        <v>99</v>
      </c>
      <c r="BS633" t="s">
        <v>12151</v>
      </c>
      <c r="BT633" t="str">
        <f>HYPERLINK("https%3A%2F%2Fwww.webofscience.com%2Fwos%2Fwoscc%2Ffull-record%2FWOS:001046786400001","View Full Record in Web of Science")</f>
        <v>View Full Record in Web of Science</v>
      </c>
    </row>
    <row r="634" spans="1:72" x14ac:dyDescent="0.15">
      <c r="A634" t="s">
        <v>72</v>
      </c>
      <c r="B634" t="s">
        <v>12152</v>
      </c>
      <c r="C634" t="s">
        <v>74</v>
      </c>
      <c r="D634" t="s">
        <v>74</v>
      </c>
      <c r="E634" t="s">
        <v>74</v>
      </c>
      <c r="F634" t="s">
        <v>12153</v>
      </c>
      <c r="G634" t="s">
        <v>74</v>
      </c>
      <c r="H634" t="s">
        <v>74</v>
      </c>
      <c r="I634" t="s">
        <v>12154</v>
      </c>
      <c r="J634" t="s">
        <v>12155</v>
      </c>
      <c r="K634" t="s">
        <v>74</v>
      </c>
      <c r="L634" t="s">
        <v>74</v>
      </c>
      <c r="M634" t="s">
        <v>78</v>
      </c>
      <c r="N634" t="s">
        <v>79</v>
      </c>
      <c r="O634" t="s">
        <v>74</v>
      </c>
      <c r="P634" t="s">
        <v>74</v>
      </c>
      <c r="Q634" t="s">
        <v>74</v>
      </c>
      <c r="R634" t="s">
        <v>74</v>
      </c>
      <c r="S634" t="s">
        <v>74</v>
      </c>
      <c r="T634" t="s">
        <v>12156</v>
      </c>
      <c r="U634" t="s">
        <v>12157</v>
      </c>
      <c r="V634" t="s">
        <v>12158</v>
      </c>
      <c r="W634" t="s">
        <v>12159</v>
      </c>
      <c r="X634" t="s">
        <v>12160</v>
      </c>
      <c r="Y634" t="s">
        <v>12161</v>
      </c>
      <c r="Z634" t="s">
        <v>12162</v>
      </c>
      <c r="AA634" t="s">
        <v>74</v>
      </c>
      <c r="AB634" t="s">
        <v>74</v>
      </c>
      <c r="AC634" t="s">
        <v>12163</v>
      </c>
      <c r="AD634" t="s">
        <v>12164</v>
      </c>
      <c r="AE634" t="s">
        <v>12165</v>
      </c>
      <c r="AF634" t="s">
        <v>74</v>
      </c>
      <c r="AG634">
        <v>44</v>
      </c>
      <c r="AH634">
        <v>0</v>
      </c>
      <c r="AI634">
        <v>0</v>
      </c>
      <c r="AJ634">
        <v>11</v>
      </c>
      <c r="AK634">
        <v>11</v>
      </c>
      <c r="AL634" t="s">
        <v>87</v>
      </c>
      <c r="AM634" t="s">
        <v>88</v>
      </c>
      <c r="AN634" t="s">
        <v>89</v>
      </c>
      <c r="AO634" t="s">
        <v>12166</v>
      </c>
      <c r="AP634" t="s">
        <v>12167</v>
      </c>
      <c r="AQ634" t="s">
        <v>74</v>
      </c>
      <c r="AR634" t="s">
        <v>12168</v>
      </c>
      <c r="AS634" t="s">
        <v>12169</v>
      </c>
      <c r="AT634" t="s">
        <v>185</v>
      </c>
      <c r="AU634">
        <v>2023</v>
      </c>
      <c r="AV634">
        <v>37</v>
      </c>
      <c r="AW634">
        <v>10</v>
      </c>
      <c r="AX634" t="s">
        <v>74</v>
      </c>
      <c r="AY634" t="s">
        <v>74</v>
      </c>
      <c r="AZ634" t="s">
        <v>74</v>
      </c>
      <c r="BA634" t="s">
        <v>74</v>
      </c>
      <c r="BB634" t="s">
        <v>74</v>
      </c>
      <c r="BC634" t="s">
        <v>74</v>
      </c>
      <c r="BD634" t="s">
        <v>74</v>
      </c>
      <c r="BE634" t="s">
        <v>12170</v>
      </c>
      <c r="BF634" t="str">
        <f>HYPERLINK("http://dx.doi.org/10.1002/aoc.7217","http://dx.doi.org/10.1002/aoc.7217")</f>
        <v>http://dx.doi.org/10.1002/aoc.7217</v>
      </c>
      <c r="BG634" t="s">
        <v>74</v>
      </c>
      <c r="BH634" t="s">
        <v>7524</v>
      </c>
      <c r="BI634">
        <v>11</v>
      </c>
      <c r="BJ634" t="s">
        <v>12171</v>
      </c>
      <c r="BK634" t="s">
        <v>119</v>
      </c>
      <c r="BL634" t="s">
        <v>524</v>
      </c>
      <c r="BM634" t="s">
        <v>12172</v>
      </c>
      <c r="BN634" t="s">
        <v>74</v>
      </c>
      <c r="BO634" t="s">
        <v>74</v>
      </c>
      <c r="BP634" t="s">
        <v>74</v>
      </c>
      <c r="BQ634" t="s">
        <v>74</v>
      </c>
      <c r="BR634" t="s">
        <v>99</v>
      </c>
      <c r="BS634" t="s">
        <v>12173</v>
      </c>
      <c r="BT634" t="str">
        <f>HYPERLINK("https%3A%2F%2Fwww.webofscience.com%2Fwos%2Fwoscc%2Ffull-record%2FWOS:001046134500001","View Full Record in Web of Science")</f>
        <v>View Full Record in Web of Science</v>
      </c>
    </row>
    <row r="635" spans="1:72" x14ac:dyDescent="0.15">
      <c r="A635" t="s">
        <v>72</v>
      </c>
      <c r="B635" t="s">
        <v>12174</v>
      </c>
      <c r="C635" t="s">
        <v>74</v>
      </c>
      <c r="D635" t="s">
        <v>74</v>
      </c>
      <c r="E635" t="s">
        <v>74</v>
      </c>
      <c r="F635" t="s">
        <v>12175</v>
      </c>
      <c r="G635" t="s">
        <v>74</v>
      </c>
      <c r="H635" t="s">
        <v>74</v>
      </c>
      <c r="I635" t="s">
        <v>12176</v>
      </c>
      <c r="J635" t="s">
        <v>4626</v>
      </c>
      <c r="K635" t="s">
        <v>74</v>
      </c>
      <c r="L635" t="s">
        <v>74</v>
      </c>
      <c r="M635" t="s">
        <v>78</v>
      </c>
      <c r="N635" t="s">
        <v>594</v>
      </c>
      <c r="O635" t="s">
        <v>74</v>
      </c>
      <c r="P635" t="s">
        <v>74</v>
      </c>
      <c r="Q635" t="s">
        <v>74</v>
      </c>
      <c r="R635" t="s">
        <v>74</v>
      </c>
      <c r="S635" t="s">
        <v>74</v>
      </c>
      <c r="T635" t="s">
        <v>12177</v>
      </c>
      <c r="U635" t="s">
        <v>12178</v>
      </c>
      <c r="V635" t="s">
        <v>12179</v>
      </c>
      <c r="W635" t="s">
        <v>12180</v>
      </c>
      <c r="X635" t="s">
        <v>12181</v>
      </c>
      <c r="Y635" t="s">
        <v>12182</v>
      </c>
      <c r="Z635" t="s">
        <v>12183</v>
      </c>
      <c r="AA635" t="s">
        <v>12184</v>
      </c>
      <c r="AB635" t="s">
        <v>12185</v>
      </c>
      <c r="AC635" t="s">
        <v>12186</v>
      </c>
      <c r="AD635" t="s">
        <v>3742</v>
      </c>
      <c r="AE635" t="s">
        <v>12187</v>
      </c>
      <c r="AF635" t="s">
        <v>74</v>
      </c>
      <c r="AG635">
        <v>345</v>
      </c>
      <c r="AH635">
        <v>0</v>
      </c>
      <c r="AI635">
        <v>0</v>
      </c>
      <c r="AJ635">
        <v>14</v>
      </c>
      <c r="AK635">
        <v>14</v>
      </c>
      <c r="AL635" t="s">
        <v>87</v>
      </c>
      <c r="AM635" t="s">
        <v>88</v>
      </c>
      <c r="AN635" t="s">
        <v>89</v>
      </c>
      <c r="AO635" t="s">
        <v>4639</v>
      </c>
      <c r="AP635" t="s">
        <v>4640</v>
      </c>
      <c r="AQ635" t="s">
        <v>74</v>
      </c>
      <c r="AR635" t="s">
        <v>4641</v>
      </c>
      <c r="AS635" t="s">
        <v>4642</v>
      </c>
      <c r="AT635" t="s">
        <v>12188</v>
      </c>
      <c r="AU635">
        <v>2023</v>
      </c>
      <c r="AV635" t="s">
        <v>74</v>
      </c>
      <c r="AW635" t="s">
        <v>74</v>
      </c>
      <c r="AX635" t="s">
        <v>74</v>
      </c>
      <c r="AY635" t="s">
        <v>74</v>
      </c>
      <c r="AZ635" t="s">
        <v>74</v>
      </c>
      <c r="BA635" t="s">
        <v>74</v>
      </c>
      <c r="BB635" t="s">
        <v>74</v>
      </c>
      <c r="BC635" t="s">
        <v>74</v>
      </c>
      <c r="BD635" t="s">
        <v>74</v>
      </c>
      <c r="BE635" t="s">
        <v>12189</v>
      </c>
      <c r="BF635" t="str">
        <f>HYPERLINK("http://dx.doi.org/10.1002/adhm.202300882","http://dx.doi.org/10.1002/adhm.202300882")</f>
        <v>http://dx.doi.org/10.1002/adhm.202300882</v>
      </c>
      <c r="BG635" t="s">
        <v>74</v>
      </c>
      <c r="BH635" t="s">
        <v>7524</v>
      </c>
      <c r="BI635">
        <v>56</v>
      </c>
      <c r="BJ635" t="s">
        <v>4644</v>
      </c>
      <c r="BK635" t="s">
        <v>119</v>
      </c>
      <c r="BL635" t="s">
        <v>4645</v>
      </c>
      <c r="BM635" t="s">
        <v>12190</v>
      </c>
      <c r="BN635">
        <v>37539730</v>
      </c>
      <c r="BO635" t="s">
        <v>301</v>
      </c>
      <c r="BP635" t="s">
        <v>74</v>
      </c>
      <c r="BQ635" t="s">
        <v>74</v>
      </c>
      <c r="BR635" t="s">
        <v>99</v>
      </c>
      <c r="BS635" t="s">
        <v>12191</v>
      </c>
      <c r="BT635" t="str">
        <f>HYPERLINK("https%3A%2F%2Fwww.webofscience.com%2Fwos%2Fwoscc%2Ffull-record%2FWOS:001045488400001","View Full Record in Web of Science")</f>
        <v>View Full Record in Web of Science</v>
      </c>
    </row>
    <row r="636" spans="1:72" x14ac:dyDescent="0.15">
      <c r="A636" t="s">
        <v>72</v>
      </c>
      <c r="B636" t="s">
        <v>12192</v>
      </c>
      <c r="C636" t="s">
        <v>74</v>
      </c>
      <c r="D636" t="s">
        <v>74</v>
      </c>
      <c r="E636" t="s">
        <v>74</v>
      </c>
      <c r="F636" t="s">
        <v>12193</v>
      </c>
      <c r="G636" t="s">
        <v>74</v>
      </c>
      <c r="H636" t="s">
        <v>74</v>
      </c>
      <c r="I636" t="s">
        <v>12194</v>
      </c>
      <c r="J636" t="s">
        <v>11534</v>
      </c>
      <c r="K636" t="s">
        <v>74</v>
      </c>
      <c r="L636" t="s">
        <v>74</v>
      </c>
      <c r="M636" t="s">
        <v>78</v>
      </c>
      <c r="N636" t="s">
        <v>2419</v>
      </c>
      <c r="O636" t="s">
        <v>74</v>
      </c>
      <c r="P636" t="s">
        <v>74</v>
      </c>
      <c r="Q636" t="s">
        <v>74</v>
      </c>
      <c r="R636" t="s">
        <v>74</v>
      </c>
      <c r="S636" t="s">
        <v>74</v>
      </c>
      <c r="T636" t="s">
        <v>74</v>
      </c>
      <c r="U636" t="s">
        <v>74</v>
      </c>
      <c r="V636" t="s">
        <v>74</v>
      </c>
      <c r="W636" t="s">
        <v>12195</v>
      </c>
      <c r="X636" t="s">
        <v>12196</v>
      </c>
      <c r="Y636" t="s">
        <v>12197</v>
      </c>
      <c r="Z636" t="s">
        <v>12198</v>
      </c>
      <c r="AA636" t="s">
        <v>74</v>
      </c>
      <c r="AB636" t="s">
        <v>74</v>
      </c>
      <c r="AC636" t="s">
        <v>74</v>
      </c>
      <c r="AD636" t="s">
        <v>74</v>
      </c>
      <c r="AE636" t="s">
        <v>74</v>
      </c>
      <c r="AF636" t="s">
        <v>74</v>
      </c>
      <c r="AG636">
        <v>1</v>
      </c>
      <c r="AH636">
        <v>0</v>
      </c>
      <c r="AI636">
        <v>0</v>
      </c>
      <c r="AJ636">
        <v>0</v>
      </c>
      <c r="AK636">
        <v>0</v>
      </c>
      <c r="AL636" t="s">
        <v>87</v>
      </c>
      <c r="AM636" t="s">
        <v>88</v>
      </c>
      <c r="AN636" t="s">
        <v>89</v>
      </c>
      <c r="AO636" t="s">
        <v>11538</v>
      </c>
      <c r="AP636" t="s">
        <v>11539</v>
      </c>
      <c r="AQ636" t="s">
        <v>74</v>
      </c>
      <c r="AR636" t="s">
        <v>11540</v>
      </c>
      <c r="AS636" t="s">
        <v>11541</v>
      </c>
      <c r="AT636" t="s">
        <v>12188</v>
      </c>
      <c r="AU636">
        <v>2023</v>
      </c>
      <c r="AV636" t="s">
        <v>74</v>
      </c>
      <c r="AW636" t="s">
        <v>74</v>
      </c>
      <c r="AX636" t="s">
        <v>74</v>
      </c>
      <c r="AY636" t="s">
        <v>74</v>
      </c>
      <c r="AZ636" t="s">
        <v>74</v>
      </c>
      <c r="BA636" t="s">
        <v>74</v>
      </c>
      <c r="BB636" t="s">
        <v>74</v>
      </c>
      <c r="BC636" t="s">
        <v>74</v>
      </c>
      <c r="BD636" t="s">
        <v>74</v>
      </c>
      <c r="BE636" t="s">
        <v>12199</v>
      </c>
      <c r="BF636" t="str">
        <f>HYPERLINK("http://dx.doi.org/10.1002/jhbs.22281","http://dx.doi.org/10.1002/jhbs.22281")</f>
        <v>http://dx.doi.org/10.1002/jhbs.22281</v>
      </c>
      <c r="BG636" t="s">
        <v>74</v>
      </c>
      <c r="BH636" t="s">
        <v>7524</v>
      </c>
      <c r="BI636">
        <v>3</v>
      </c>
      <c r="BJ636" t="s">
        <v>11543</v>
      </c>
      <c r="BK636" t="s">
        <v>546</v>
      </c>
      <c r="BL636" t="s">
        <v>6875</v>
      </c>
      <c r="BM636" t="s">
        <v>12200</v>
      </c>
      <c r="BN636" t="s">
        <v>74</v>
      </c>
      <c r="BO636" t="s">
        <v>74</v>
      </c>
      <c r="BP636" t="s">
        <v>74</v>
      </c>
      <c r="BQ636" t="s">
        <v>74</v>
      </c>
      <c r="BR636" t="s">
        <v>99</v>
      </c>
      <c r="BS636" t="s">
        <v>12201</v>
      </c>
      <c r="BT636" t="str">
        <f>HYPERLINK("https%3A%2F%2Fwww.webofscience.com%2Fwos%2Fwoscc%2Ffull-record%2FWOS:001046633600001","View Full Record in Web of Science")</f>
        <v>View Full Record in Web of Science</v>
      </c>
    </row>
    <row r="637" spans="1:72" x14ac:dyDescent="0.15">
      <c r="A637" t="s">
        <v>72</v>
      </c>
      <c r="B637" t="s">
        <v>12202</v>
      </c>
      <c r="C637" t="s">
        <v>74</v>
      </c>
      <c r="D637" t="s">
        <v>74</v>
      </c>
      <c r="E637" t="s">
        <v>74</v>
      </c>
      <c r="F637" t="s">
        <v>12203</v>
      </c>
      <c r="G637" t="s">
        <v>74</v>
      </c>
      <c r="H637" t="s">
        <v>74</v>
      </c>
      <c r="I637" t="s">
        <v>12204</v>
      </c>
      <c r="J637" t="s">
        <v>2397</v>
      </c>
      <c r="K637" t="s">
        <v>74</v>
      </c>
      <c r="L637" t="s">
        <v>74</v>
      </c>
      <c r="M637" t="s">
        <v>78</v>
      </c>
      <c r="N637" t="s">
        <v>10440</v>
      </c>
      <c r="O637" t="s">
        <v>74</v>
      </c>
      <c r="P637" t="s">
        <v>74</v>
      </c>
      <c r="Q637" t="s">
        <v>74</v>
      </c>
      <c r="R637" t="s">
        <v>74</v>
      </c>
      <c r="S637" t="s">
        <v>74</v>
      </c>
      <c r="T637" t="s">
        <v>74</v>
      </c>
      <c r="U637" t="s">
        <v>74</v>
      </c>
      <c r="V637" t="s">
        <v>74</v>
      </c>
      <c r="W637" t="s">
        <v>74</v>
      </c>
      <c r="X637" t="s">
        <v>74</v>
      </c>
      <c r="Y637" t="s">
        <v>74</v>
      </c>
      <c r="Z637" t="s">
        <v>74</v>
      </c>
      <c r="AA637" t="s">
        <v>74</v>
      </c>
      <c r="AB637" t="s">
        <v>74</v>
      </c>
      <c r="AC637" t="s">
        <v>74</v>
      </c>
      <c r="AD637" t="s">
        <v>74</v>
      </c>
      <c r="AE637" t="s">
        <v>74</v>
      </c>
      <c r="AF637" t="s">
        <v>74</v>
      </c>
      <c r="AG637">
        <v>1</v>
      </c>
      <c r="AH637">
        <v>0</v>
      </c>
      <c r="AI637">
        <v>0</v>
      </c>
      <c r="AJ637">
        <v>0</v>
      </c>
      <c r="AK637">
        <v>0</v>
      </c>
      <c r="AL637" t="s">
        <v>87</v>
      </c>
      <c r="AM637" t="s">
        <v>88</v>
      </c>
      <c r="AN637" t="s">
        <v>89</v>
      </c>
      <c r="AO637" t="s">
        <v>2408</v>
      </c>
      <c r="AP637" t="s">
        <v>2409</v>
      </c>
      <c r="AQ637" t="s">
        <v>74</v>
      </c>
      <c r="AR637" t="s">
        <v>2410</v>
      </c>
      <c r="AS637" t="s">
        <v>2411</v>
      </c>
      <c r="AT637" t="s">
        <v>12188</v>
      </c>
      <c r="AU637">
        <v>2023</v>
      </c>
      <c r="AV637" t="s">
        <v>74</v>
      </c>
      <c r="AW637" t="s">
        <v>74</v>
      </c>
      <c r="AX637" t="s">
        <v>74</v>
      </c>
      <c r="AY637" t="s">
        <v>74</v>
      </c>
      <c r="AZ637" t="s">
        <v>74</v>
      </c>
      <c r="BA637" t="s">
        <v>74</v>
      </c>
      <c r="BB637" t="s">
        <v>74</v>
      </c>
      <c r="BC637" t="s">
        <v>74</v>
      </c>
      <c r="BD637" t="s">
        <v>74</v>
      </c>
      <c r="BE637" t="s">
        <v>12205</v>
      </c>
      <c r="BF637" t="str">
        <f>HYPERLINK("http://dx.doi.org/10.1002/jmri.28933","http://dx.doi.org/10.1002/jmri.28933")</f>
        <v>http://dx.doi.org/10.1002/jmri.28933</v>
      </c>
      <c r="BG637" t="s">
        <v>74</v>
      </c>
      <c r="BH637" t="s">
        <v>7524</v>
      </c>
      <c r="BI637">
        <v>1</v>
      </c>
      <c r="BJ637" t="s">
        <v>1290</v>
      </c>
      <c r="BK637" t="s">
        <v>119</v>
      </c>
      <c r="BL637" t="s">
        <v>1290</v>
      </c>
      <c r="BM637" t="s">
        <v>12206</v>
      </c>
      <c r="BN637" t="s">
        <v>74</v>
      </c>
      <c r="BO637" t="s">
        <v>301</v>
      </c>
      <c r="BP637" t="s">
        <v>74</v>
      </c>
      <c r="BQ637" t="s">
        <v>74</v>
      </c>
      <c r="BR637" t="s">
        <v>99</v>
      </c>
      <c r="BS637" t="s">
        <v>12207</v>
      </c>
      <c r="BT637" t="str">
        <f>HYPERLINK("https%3A%2F%2Fwww.webofscience.com%2Fwos%2Fwoscc%2Ffull-record%2FWOS:001046431800001","View Full Record in Web of Science")</f>
        <v>View Full Record in Web of Science</v>
      </c>
    </row>
    <row r="638" spans="1:72" x14ac:dyDescent="0.15">
      <c r="A638" t="s">
        <v>72</v>
      </c>
      <c r="B638" t="s">
        <v>12208</v>
      </c>
      <c r="C638" t="s">
        <v>74</v>
      </c>
      <c r="D638" t="s">
        <v>74</v>
      </c>
      <c r="E638" t="s">
        <v>74</v>
      </c>
      <c r="F638" t="s">
        <v>12209</v>
      </c>
      <c r="G638" t="s">
        <v>74</v>
      </c>
      <c r="H638" t="s">
        <v>74</v>
      </c>
      <c r="I638" t="s">
        <v>12210</v>
      </c>
      <c r="J638" t="s">
        <v>2028</v>
      </c>
      <c r="K638" t="s">
        <v>74</v>
      </c>
      <c r="L638" t="s">
        <v>74</v>
      </c>
      <c r="M638" t="s">
        <v>78</v>
      </c>
      <c r="N638" t="s">
        <v>79</v>
      </c>
      <c r="O638" t="s">
        <v>74</v>
      </c>
      <c r="P638" t="s">
        <v>74</v>
      </c>
      <c r="Q638" t="s">
        <v>74</v>
      </c>
      <c r="R638" t="s">
        <v>74</v>
      </c>
      <c r="S638" t="s">
        <v>74</v>
      </c>
      <c r="T638" t="s">
        <v>12211</v>
      </c>
      <c r="U638" t="s">
        <v>12212</v>
      </c>
      <c r="V638" t="s">
        <v>12213</v>
      </c>
      <c r="W638" t="s">
        <v>12214</v>
      </c>
      <c r="X638" t="s">
        <v>12215</v>
      </c>
      <c r="Y638" t="s">
        <v>12216</v>
      </c>
      <c r="Z638" t="s">
        <v>12217</v>
      </c>
      <c r="AA638" t="s">
        <v>12218</v>
      </c>
      <c r="AB638" t="s">
        <v>12219</v>
      </c>
      <c r="AC638" t="s">
        <v>74</v>
      </c>
      <c r="AD638" t="s">
        <v>74</v>
      </c>
      <c r="AE638" t="s">
        <v>74</v>
      </c>
      <c r="AF638" t="s">
        <v>74</v>
      </c>
      <c r="AG638">
        <v>42</v>
      </c>
      <c r="AH638">
        <v>0</v>
      </c>
      <c r="AI638">
        <v>0</v>
      </c>
      <c r="AJ638">
        <v>0</v>
      </c>
      <c r="AK638">
        <v>0</v>
      </c>
      <c r="AL638" t="s">
        <v>426</v>
      </c>
      <c r="AM638" t="s">
        <v>427</v>
      </c>
      <c r="AN638" t="s">
        <v>428</v>
      </c>
      <c r="AO638" t="s">
        <v>2037</v>
      </c>
      <c r="AP638" t="s">
        <v>74</v>
      </c>
      <c r="AQ638" t="s">
        <v>74</v>
      </c>
      <c r="AR638" t="s">
        <v>2028</v>
      </c>
      <c r="AS638" t="s">
        <v>2038</v>
      </c>
      <c r="AT638" t="s">
        <v>12220</v>
      </c>
      <c r="AU638">
        <v>2023</v>
      </c>
      <c r="AV638">
        <v>8</v>
      </c>
      <c r="AW638">
        <v>30</v>
      </c>
      <c r="AX638" t="s">
        <v>74</v>
      </c>
      <c r="AY638" t="s">
        <v>74</v>
      </c>
      <c r="AZ638" t="s">
        <v>74</v>
      </c>
      <c r="BA638" t="s">
        <v>74</v>
      </c>
      <c r="BB638" t="s">
        <v>74</v>
      </c>
      <c r="BC638" t="s">
        <v>74</v>
      </c>
      <c r="BD638" t="s">
        <v>12221</v>
      </c>
      <c r="BE638" t="s">
        <v>12222</v>
      </c>
      <c r="BF638" t="str">
        <f>HYPERLINK("http://dx.doi.org/10.1002/slct.202302094","http://dx.doi.org/10.1002/slct.202302094")</f>
        <v>http://dx.doi.org/10.1002/slct.202302094</v>
      </c>
      <c r="BG638" t="s">
        <v>74</v>
      </c>
      <c r="BH638" t="s">
        <v>74</v>
      </c>
      <c r="BI638">
        <v>5</v>
      </c>
      <c r="BJ638" t="s">
        <v>523</v>
      </c>
      <c r="BK638" t="s">
        <v>119</v>
      </c>
      <c r="BL638" t="s">
        <v>524</v>
      </c>
      <c r="BM638" t="s">
        <v>12223</v>
      </c>
      <c r="BN638" t="s">
        <v>74</v>
      </c>
      <c r="BO638" t="s">
        <v>301</v>
      </c>
      <c r="BP638" t="s">
        <v>74</v>
      </c>
      <c r="BQ638" t="s">
        <v>74</v>
      </c>
      <c r="BR638" t="s">
        <v>99</v>
      </c>
      <c r="BS638" t="s">
        <v>12224</v>
      </c>
      <c r="BT638" t="str">
        <f>HYPERLINK("https%3A%2F%2Fwww.webofscience.com%2Fwos%2Fwoscc%2Ffull-record%2FWOS:001043129000001","View Full Record in Web of Science")</f>
        <v>View Full Record in Web of Science</v>
      </c>
    </row>
    <row r="639" spans="1:72" x14ac:dyDescent="0.15">
      <c r="A639" t="s">
        <v>72</v>
      </c>
      <c r="B639" t="s">
        <v>12225</v>
      </c>
      <c r="C639" t="s">
        <v>74</v>
      </c>
      <c r="D639" t="s">
        <v>74</v>
      </c>
      <c r="E639" t="s">
        <v>74</v>
      </c>
      <c r="F639" t="s">
        <v>12226</v>
      </c>
      <c r="G639" t="s">
        <v>74</v>
      </c>
      <c r="H639" t="s">
        <v>74</v>
      </c>
      <c r="I639" t="s">
        <v>12227</v>
      </c>
      <c r="J639" t="s">
        <v>12228</v>
      </c>
      <c r="K639" t="s">
        <v>74</v>
      </c>
      <c r="L639" t="s">
        <v>74</v>
      </c>
      <c r="M639" t="s">
        <v>78</v>
      </c>
      <c r="N639" t="s">
        <v>79</v>
      </c>
      <c r="O639" t="s">
        <v>74</v>
      </c>
      <c r="P639" t="s">
        <v>74</v>
      </c>
      <c r="Q639" t="s">
        <v>74</v>
      </c>
      <c r="R639" t="s">
        <v>74</v>
      </c>
      <c r="S639" t="s">
        <v>74</v>
      </c>
      <c r="T639" t="s">
        <v>74</v>
      </c>
      <c r="U639" t="s">
        <v>74</v>
      </c>
      <c r="V639" t="s">
        <v>74</v>
      </c>
      <c r="W639" t="s">
        <v>12229</v>
      </c>
      <c r="X639" t="s">
        <v>12230</v>
      </c>
      <c r="Y639" t="s">
        <v>12231</v>
      </c>
      <c r="Z639" t="s">
        <v>12232</v>
      </c>
      <c r="AA639" t="s">
        <v>74</v>
      </c>
      <c r="AB639" t="s">
        <v>12233</v>
      </c>
      <c r="AC639" t="s">
        <v>12234</v>
      </c>
      <c r="AD639" t="s">
        <v>12235</v>
      </c>
      <c r="AE639" t="s">
        <v>12236</v>
      </c>
      <c r="AF639" t="s">
        <v>74</v>
      </c>
      <c r="AG639">
        <v>0</v>
      </c>
      <c r="AH639">
        <v>0</v>
      </c>
      <c r="AI639">
        <v>0</v>
      </c>
      <c r="AJ639">
        <v>0</v>
      </c>
      <c r="AK639">
        <v>0</v>
      </c>
      <c r="AL639" t="s">
        <v>87</v>
      </c>
      <c r="AM639" t="s">
        <v>88</v>
      </c>
      <c r="AN639" t="s">
        <v>89</v>
      </c>
      <c r="AO639" t="s">
        <v>74</v>
      </c>
      <c r="AP639" t="s">
        <v>12237</v>
      </c>
      <c r="AQ639" t="s">
        <v>74</v>
      </c>
      <c r="AR639" t="s">
        <v>12238</v>
      </c>
      <c r="AS639" t="s">
        <v>12239</v>
      </c>
      <c r="AT639" t="s">
        <v>6725</v>
      </c>
      <c r="AU639">
        <v>2023</v>
      </c>
      <c r="AV639">
        <v>18</v>
      </c>
      <c r="AW639">
        <v>9</v>
      </c>
      <c r="AX639" t="s">
        <v>74</v>
      </c>
      <c r="AY639" t="s">
        <v>74</v>
      </c>
      <c r="AZ639" t="s">
        <v>74</v>
      </c>
      <c r="BA639" t="s">
        <v>74</v>
      </c>
      <c r="BB639" t="s">
        <v>74</v>
      </c>
      <c r="BC639" t="s">
        <v>74</v>
      </c>
      <c r="BD639" t="s">
        <v>74</v>
      </c>
      <c r="BE639" t="s">
        <v>12240</v>
      </c>
      <c r="BF639" t="str">
        <f>HYPERLINK("http://dx.doi.org/10.1111/phc3.12943","http://dx.doi.org/10.1111/phc3.12943")</f>
        <v>http://dx.doi.org/10.1111/phc3.12943</v>
      </c>
      <c r="BG639" t="s">
        <v>74</v>
      </c>
      <c r="BH639" t="s">
        <v>7524</v>
      </c>
      <c r="BI639">
        <v>3</v>
      </c>
      <c r="BJ639" t="s">
        <v>2594</v>
      </c>
      <c r="BK639" t="s">
        <v>498</v>
      </c>
      <c r="BL639" t="s">
        <v>2594</v>
      </c>
      <c r="BM639" t="s">
        <v>12241</v>
      </c>
      <c r="BN639" t="s">
        <v>74</v>
      </c>
      <c r="BO639" t="s">
        <v>122</v>
      </c>
      <c r="BP639" t="s">
        <v>74</v>
      </c>
      <c r="BQ639" t="s">
        <v>74</v>
      </c>
      <c r="BR639" t="s">
        <v>99</v>
      </c>
      <c r="BS639" t="s">
        <v>12242</v>
      </c>
      <c r="BT639" t="str">
        <f>HYPERLINK("https%3A%2F%2Fwww.webofscience.com%2Fwos%2Fwoscc%2Ffull-record%2FWOS:001045999600001","View Full Record in Web of Science")</f>
        <v>View Full Record in Web of Science</v>
      </c>
    </row>
    <row r="640" spans="1:72" x14ac:dyDescent="0.15">
      <c r="A640" t="s">
        <v>72</v>
      </c>
      <c r="B640" t="s">
        <v>12243</v>
      </c>
      <c r="C640" t="s">
        <v>74</v>
      </c>
      <c r="D640" t="s">
        <v>74</v>
      </c>
      <c r="E640" t="s">
        <v>74</v>
      </c>
      <c r="F640" t="s">
        <v>12244</v>
      </c>
      <c r="G640" t="s">
        <v>74</v>
      </c>
      <c r="H640" t="s">
        <v>74</v>
      </c>
      <c r="I640" t="s">
        <v>12245</v>
      </c>
      <c r="J640" t="s">
        <v>7129</v>
      </c>
      <c r="K640" t="s">
        <v>74</v>
      </c>
      <c r="L640" t="s">
        <v>74</v>
      </c>
      <c r="M640" t="s">
        <v>78</v>
      </c>
      <c r="N640" t="s">
        <v>338</v>
      </c>
      <c r="O640" t="s">
        <v>74</v>
      </c>
      <c r="P640" t="s">
        <v>74</v>
      </c>
      <c r="Q640" t="s">
        <v>74</v>
      </c>
      <c r="R640" t="s">
        <v>74</v>
      </c>
      <c r="S640" t="s">
        <v>74</v>
      </c>
      <c r="T640" t="s">
        <v>12246</v>
      </c>
      <c r="U640" t="s">
        <v>12247</v>
      </c>
      <c r="V640" t="s">
        <v>12248</v>
      </c>
      <c r="W640" t="s">
        <v>12249</v>
      </c>
      <c r="X640" t="s">
        <v>12250</v>
      </c>
      <c r="Y640" t="s">
        <v>12251</v>
      </c>
      <c r="Z640" t="s">
        <v>12252</v>
      </c>
      <c r="AA640" t="s">
        <v>74</v>
      </c>
      <c r="AB640" t="s">
        <v>12253</v>
      </c>
      <c r="AC640" t="s">
        <v>12254</v>
      </c>
      <c r="AD640" t="s">
        <v>12255</v>
      </c>
      <c r="AE640" t="s">
        <v>12256</v>
      </c>
      <c r="AF640" t="s">
        <v>74</v>
      </c>
      <c r="AG640">
        <v>38</v>
      </c>
      <c r="AH640">
        <v>0</v>
      </c>
      <c r="AI640">
        <v>0</v>
      </c>
      <c r="AJ640">
        <v>1</v>
      </c>
      <c r="AK640">
        <v>1</v>
      </c>
      <c r="AL640" t="s">
        <v>87</v>
      </c>
      <c r="AM640" t="s">
        <v>88</v>
      </c>
      <c r="AN640" t="s">
        <v>89</v>
      </c>
      <c r="AO640" t="s">
        <v>7140</v>
      </c>
      <c r="AP640" t="s">
        <v>7141</v>
      </c>
      <c r="AQ640" t="s">
        <v>74</v>
      </c>
      <c r="AR640" t="s">
        <v>7142</v>
      </c>
      <c r="AS640" t="s">
        <v>7143</v>
      </c>
      <c r="AT640" t="s">
        <v>12188</v>
      </c>
      <c r="AU640">
        <v>2023</v>
      </c>
      <c r="AV640" t="s">
        <v>74</v>
      </c>
      <c r="AW640" t="s">
        <v>74</v>
      </c>
      <c r="AX640" t="s">
        <v>74</v>
      </c>
      <c r="AY640" t="s">
        <v>74</v>
      </c>
      <c r="AZ640" t="s">
        <v>74</v>
      </c>
      <c r="BA640" t="s">
        <v>74</v>
      </c>
      <c r="BB640" t="s">
        <v>74</v>
      </c>
      <c r="BC640" t="s">
        <v>74</v>
      </c>
      <c r="BD640" t="s">
        <v>74</v>
      </c>
      <c r="BE640" t="s">
        <v>12257</v>
      </c>
      <c r="BF640" t="str">
        <f>HYPERLINK("http://dx.doi.org/10.1002/rnc.6939","http://dx.doi.org/10.1002/rnc.6939")</f>
        <v>http://dx.doi.org/10.1002/rnc.6939</v>
      </c>
      <c r="BG640" t="s">
        <v>74</v>
      </c>
      <c r="BH640" t="s">
        <v>7524</v>
      </c>
      <c r="BI640">
        <v>20</v>
      </c>
      <c r="BJ640" t="s">
        <v>7145</v>
      </c>
      <c r="BK640" t="s">
        <v>119</v>
      </c>
      <c r="BL640" t="s">
        <v>7146</v>
      </c>
      <c r="BM640" t="s">
        <v>12258</v>
      </c>
      <c r="BN640" t="s">
        <v>74</v>
      </c>
      <c r="BO640" t="s">
        <v>6956</v>
      </c>
      <c r="BP640" t="s">
        <v>74</v>
      </c>
      <c r="BQ640" t="s">
        <v>74</v>
      </c>
      <c r="BR640" t="s">
        <v>99</v>
      </c>
      <c r="BS640" t="s">
        <v>12259</v>
      </c>
      <c r="BT640" t="str">
        <f>HYPERLINK("https%3A%2F%2Fwww.webofscience.com%2Fwos%2Fwoscc%2Ffull-record%2FWOS:001045051600001","View Full Record in Web of Science")</f>
        <v>View Full Record in Web of Science</v>
      </c>
    </row>
    <row r="641" spans="1:72" x14ac:dyDescent="0.15">
      <c r="A641" t="s">
        <v>72</v>
      </c>
      <c r="B641" t="s">
        <v>12260</v>
      </c>
      <c r="C641" t="s">
        <v>74</v>
      </c>
      <c r="D641" t="s">
        <v>74</v>
      </c>
      <c r="E641" t="s">
        <v>74</v>
      </c>
      <c r="F641" t="s">
        <v>12261</v>
      </c>
      <c r="G641" t="s">
        <v>74</v>
      </c>
      <c r="H641" t="s">
        <v>74</v>
      </c>
      <c r="I641" t="s">
        <v>12262</v>
      </c>
      <c r="J641" t="s">
        <v>12263</v>
      </c>
      <c r="K641" t="s">
        <v>74</v>
      </c>
      <c r="L641" t="s">
        <v>74</v>
      </c>
      <c r="M641" t="s">
        <v>78</v>
      </c>
      <c r="N641" t="s">
        <v>338</v>
      </c>
      <c r="O641" t="s">
        <v>74</v>
      </c>
      <c r="P641" t="s">
        <v>74</v>
      </c>
      <c r="Q641" t="s">
        <v>74</v>
      </c>
      <c r="R641" t="s">
        <v>74</v>
      </c>
      <c r="S641" t="s">
        <v>74</v>
      </c>
      <c r="T641" t="s">
        <v>12264</v>
      </c>
      <c r="U641" t="s">
        <v>12265</v>
      </c>
      <c r="V641" t="s">
        <v>12266</v>
      </c>
      <c r="W641" t="s">
        <v>12267</v>
      </c>
      <c r="X641" t="s">
        <v>12268</v>
      </c>
      <c r="Y641" t="s">
        <v>12269</v>
      </c>
      <c r="Z641" t="s">
        <v>12270</v>
      </c>
      <c r="AA641" t="s">
        <v>12271</v>
      </c>
      <c r="AB641" t="s">
        <v>12272</v>
      </c>
      <c r="AC641" t="s">
        <v>12273</v>
      </c>
      <c r="AD641" t="s">
        <v>12274</v>
      </c>
      <c r="AE641" t="s">
        <v>12273</v>
      </c>
      <c r="AF641" t="s">
        <v>74</v>
      </c>
      <c r="AG641">
        <v>39</v>
      </c>
      <c r="AH641">
        <v>0</v>
      </c>
      <c r="AI641">
        <v>0</v>
      </c>
      <c r="AJ641">
        <v>2</v>
      </c>
      <c r="AK641">
        <v>2</v>
      </c>
      <c r="AL641" t="s">
        <v>87</v>
      </c>
      <c r="AM641" t="s">
        <v>88</v>
      </c>
      <c r="AN641" t="s">
        <v>89</v>
      </c>
      <c r="AO641" t="s">
        <v>12275</v>
      </c>
      <c r="AP641" t="s">
        <v>12276</v>
      </c>
      <c r="AQ641" t="s">
        <v>74</v>
      </c>
      <c r="AR641" t="s">
        <v>12277</v>
      </c>
      <c r="AS641" t="s">
        <v>12278</v>
      </c>
      <c r="AT641" t="s">
        <v>12188</v>
      </c>
      <c r="AU641">
        <v>2023</v>
      </c>
      <c r="AV641" t="s">
        <v>74</v>
      </c>
      <c r="AW641" t="s">
        <v>74</v>
      </c>
      <c r="AX641" t="s">
        <v>74</v>
      </c>
      <c r="AY641" t="s">
        <v>74</v>
      </c>
      <c r="AZ641" t="s">
        <v>74</v>
      </c>
      <c r="BA641" t="s">
        <v>74</v>
      </c>
      <c r="BB641" t="s">
        <v>74</v>
      </c>
      <c r="BC641" t="s">
        <v>74</v>
      </c>
      <c r="BD641" t="s">
        <v>74</v>
      </c>
      <c r="BE641" t="s">
        <v>12279</v>
      </c>
      <c r="BF641" t="str">
        <f>HYPERLINK("http://dx.doi.org/10.1111/apha.14029","http://dx.doi.org/10.1111/apha.14029")</f>
        <v>http://dx.doi.org/10.1111/apha.14029</v>
      </c>
      <c r="BG641" t="s">
        <v>74</v>
      </c>
      <c r="BH641" t="s">
        <v>7524</v>
      </c>
      <c r="BI641">
        <v>13</v>
      </c>
      <c r="BJ641" t="s">
        <v>7442</v>
      </c>
      <c r="BK641" t="s">
        <v>119</v>
      </c>
      <c r="BL641" t="s">
        <v>7442</v>
      </c>
      <c r="BM641" t="s">
        <v>12280</v>
      </c>
      <c r="BN641">
        <v>37563989</v>
      </c>
      <c r="BO641" t="s">
        <v>122</v>
      </c>
      <c r="BP641" t="s">
        <v>74</v>
      </c>
      <c r="BQ641" t="s">
        <v>74</v>
      </c>
      <c r="BR641" t="s">
        <v>99</v>
      </c>
      <c r="BS641" t="s">
        <v>12281</v>
      </c>
      <c r="BT641" t="str">
        <f>HYPERLINK("https%3A%2F%2Fwww.webofscience.com%2Fwos%2Fwoscc%2Ffull-record%2FWOS:001045484400001","View Full Record in Web of Science")</f>
        <v>View Full Record in Web of Science</v>
      </c>
    </row>
    <row r="642" spans="1:72" x14ac:dyDescent="0.15">
      <c r="A642" t="s">
        <v>72</v>
      </c>
      <c r="B642" t="s">
        <v>12282</v>
      </c>
      <c r="C642" t="s">
        <v>74</v>
      </c>
      <c r="D642" t="s">
        <v>74</v>
      </c>
      <c r="E642" t="s">
        <v>74</v>
      </c>
      <c r="F642" t="s">
        <v>12283</v>
      </c>
      <c r="G642" t="s">
        <v>74</v>
      </c>
      <c r="H642" t="s">
        <v>74</v>
      </c>
      <c r="I642" t="s">
        <v>12284</v>
      </c>
      <c r="J642" t="s">
        <v>2005</v>
      </c>
      <c r="K642" t="s">
        <v>74</v>
      </c>
      <c r="L642" t="s">
        <v>74</v>
      </c>
      <c r="M642" t="s">
        <v>78</v>
      </c>
      <c r="N642" t="s">
        <v>338</v>
      </c>
      <c r="O642" t="s">
        <v>74</v>
      </c>
      <c r="P642" t="s">
        <v>74</v>
      </c>
      <c r="Q642" t="s">
        <v>74</v>
      </c>
      <c r="R642" t="s">
        <v>74</v>
      </c>
      <c r="S642" t="s">
        <v>74</v>
      </c>
      <c r="T642" t="s">
        <v>12285</v>
      </c>
      <c r="U642" t="s">
        <v>12286</v>
      </c>
      <c r="V642" t="s">
        <v>12287</v>
      </c>
      <c r="W642" t="s">
        <v>12288</v>
      </c>
      <c r="X642" t="s">
        <v>12289</v>
      </c>
      <c r="Y642" t="s">
        <v>12290</v>
      </c>
      <c r="Z642" t="s">
        <v>12291</v>
      </c>
      <c r="AA642" t="s">
        <v>74</v>
      </c>
      <c r="AB642" t="s">
        <v>74</v>
      </c>
      <c r="AC642" t="s">
        <v>12292</v>
      </c>
      <c r="AD642" t="s">
        <v>12293</v>
      </c>
      <c r="AE642" t="s">
        <v>12294</v>
      </c>
      <c r="AF642" t="s">
        <v>74</v>
      </c>
      <c r="AG642">
        <v>55</v>
      </c>
      <c r="AH642">
        <v>0</v>
      </c>
      <c r="AI642">
        <v>0</v>
      </c>
      <c r="AJ642">
        <v>5</v>
      </c>
      <c r="AK642">
        <v>5</v>
      </c>
      <c r="AL642" t="s">
        <v>426</v>
      </c>
      <c r="AM642" t="s">
        <v>427</v>
      </c>
      <c r="AN642" t="s">
        <v>428</v>
      </c>
      <c r="AO642" t="s">
        <v>2016</v>
      </c>
      <c r="AP642" t="s">
        <v>2017</v>
      </c>
      <c r="AQ642" t="s">
        <v>74</v>
      </c>
      <c r="AR642" t="s">
        <v>2018</v>
      </c>
      <c r="AS642" t="s">
        <v>2019</v>
      </c>
      <c r="AT642" t="s">
        <v>12188</v>
      </c>
      <c r="AU642">
        <v>2023</v>
      </c>
      <c r="AV642" t="s">
        <v>74</v>
      </c>
      <c r="AW642" t="s">
        <v>74</v>
      </c>
      <c r="AX642" t="s">
        <v>74</v>
      </c>
      <c r="AY642" t="s">
        <v>74</v>
      </c>
      <c r="AZ642" t="s">
        <v>74</v>
      </c>
      <c r="BA642" t="s">
        <v>74</v>
      </c>
      <c r="BB642" t="s">
        <v>74</v>
      </c>
      <c r="BC642" t="s">
        <v>74</v>
      </c>
      <c r="BD642" t="s">
        <v>74</v>
      </c>
      <c r="BE642" t="s">
        <v>12295</v>
      </c>
      <c r="BF642" t="str">
        <f>HYPERLINK("http://dx.doi.org/10.1002/ente.202300493","http://dx.doi.org/10.1002/ente.202300493")</f>
        <v>http://dx.doi.org/10.1002/ente.202300493</v>
      </c>
      <c r="BG642" t="s">
        <v>74</v>
      </c>
      <c r="BH642" t="s">
        <v>7524</v>
      </c>
      <c r="BI642">
        <v>8</v>
      </c>
      <c r="BJ642" t="s">
        <v>2022</v>
      </c>
      <c r="BK642" t="s">
        <v>119</v>
      </c>
      <c r="BL642" t="s">
        <v>2022</v>
      </c>
      <c r="BM642" t="s">
        <v>12296</v>
      </c>
      <c r="BN642" t="s">
        <v>74</v>
      </c>
      <c r="BO642" t="s">
        <v>74</v>
      </c>
      <c r="BP642" t="s">
        <v>74</v>
      </c>
      <c r="BQ642" t="s">
        <v>74</v>
      </c>
      <c r="BR642" t="s">
        <v>99</v>
      </c>
      <c r="BS642" t="s">
        <v>12297</v>
      </c>
      <c r="BT642" t="str">
        <f>HYPERLINK("https%3A%2F%2Fwww.webofscience.com%2Fwos%2Fwoscc%2Ffull-record%2FWOS:001045965500001","View Full Record in Web of Science")</f>
        <v>View Full Record in Web of Science</v>
      </c>
    </row>
    <row r="643" spans="1:72" x14ac:dyDescent="0.15">
      <c r="A643" t="s">
        <v>72</v>
      </c>
      <c r="B643" t="s">
        <v>12298</v>
      </c>
      <c r="C643" t="s">
        <v>74</v>
      </c>
      <c r="D643" t="s">
        <v>74</v>
      </c>
      <c r="E643" t="s">
        <v>74</v>
      </c>
      <c r="F643" t="s">
        <v>12299</v>
      </c>
      <c r="G643" t="s">
        <v>74</v>
      </c>
      <c r="H643" t="s">
        <v>74</v>
      </c>
      <c r="I643" t="s">
        <v>12300</v>
      </c>
      <c r="J643" t="s">
        <v>2028</v>
      </c>
      <c r="K643" t="s">
        <v>74</v>
      </c>
      <c r="L643" t="s">
        <v>74</v>
      </c>
      <c r="M643" t="s">
        <v>78</v>
      </c>
      <c r="N643" t="s">
        <v>79</v>
      </c>
      <c r="O643" t="s">
        <v>74</v>
      </c>
      <c r="P643" t="s">
        <v>74</v>
      </c>
      <c r="Q643" t="s">
        <v>74</v>
      </c>
      <c r="R643" t="s">
        <v>74</v>
      </c>
      <c r="S643" t="s">
        <v>74</v>
      </c>
      <c r="T643" t="s">
        <v>12301</v>
      </c>
      <c r="U643" t="s">
        <v>12302</v>
      </c>
      <c r="V643" t="s">
        <v>12303</v>
      </c>
      <c r="W643" t="s">
        <v>12304</v>
      </c>
      <c r="X643" t="s">
        <v>12305</v>
      </c>
      <c r="Y643" t="s">
        <v>12306</v>
      </c>
      <c r="Z643" t="s">
        <v>12307</v>
      </c>
      <c r="AA643" t="s">
        <v>74</v>
      </c>
      <c r="AB643" t="s">
        <v>12308</v>
      </c>
      <c r="AC643" t="s">
        <v>12309</v>
      </c>
      <c r="AD643" t="s">
        <v>12310</v>
      </c>
      <c r="AE643" t="s">
        <v>12311</v>
      </c>
      <c r="AF643" t="s">
        <v>74</v>
      </c>
      <c r="AG643">
        <v>41</v>
      </c>
      <c r="AH643">
        <v>0</v>
      </c>
      <c r="AI643">
        <v>0</v>
      </c>
      <c r="AJ643">
        <v>1</v>
      </c>
      <c r="AK643">
        <v>1</v>
      </c>
      <c r="AL643" t="s">
        <v>426</v>
      </c>
      <c r="AM643" t="s">
        <v>427</v>
      </c>
      <c r="AN643" t="s">
        <v>428</v>
      </c>
      <c r="AO643" t="s">
        <v>2037</v>
      </c>
      <c r="AP643" t="s">
        <v>74</v>
      </c>
      <c r="AQ643" t="s">
        <v>74</v>
      </c>
      <c r="AR643" t="s">
        <v>2028</v>
      </c>
      <c r="AS643" t="s">
        <v>2038</v>
      </c>
      <c r="AT643" t="s">
        <v>12220</v>
      </c>
      <c r="AU643">
        <v>2023</v>
      </c>
      <c r="AV643">
        <v>8</v>
      </c>
      <c r="AW643">
        <v>30</v>
      </c>
      <c r="AX643" t="s">
        <v>74</v>
      </c>
      <c r="AY643" t="s">
        <v>74</v>
      </c>
      <c r="AZ643" t="s">
        <v>74</v>
      </c>
      <c r="BA643" t="s">
        <v>74</v>
      </c>
      <c r="BB643" t="s">
        <v>74</v>
      </c>
      <c r="BC643" t="s">
        <v>74</v>
      </c>
      <c r="BD643" t="s">
        <v>12312</v>
      </c>
      <c r="BE643" t="s">
        <v>12313</v>
      </c>
      <c r="BF643" t="str">
        <f>HYPERLINK("http://dx.doi.org/10.1002/slct.202204814","http://dx.doi.org/10.1002/slct.202204814")</f>
        <v>http://dx.doi.org/10.1002/slct.202204814</v>
      </c>
      <c r="BG643" t="s">
        <v>74</v>
      </c>
      <c r="BH643" t="s">
        <v>74</v>
      </c>
      <c r="BI643">
        <v>12</v>
      </c>
      <c r="BJ643" t="s">
        <v>523</v>
      </c>
      <c r="BK643" t="s">
        <v>119</v>
      </c>
      <c r="BL643" t="s">
        <v>524</v>
      </c>
      <c r="BM643" t="s">
        <v>12314</v>
      </c>
      <c r="BN643" t="s">
        <v>74</v>
      </c>
      <c r="BO643" t="s">
        <v>74</v>
      </c>
      <c r="BP643" t="s">
        <v>74</v>
      </c>
      <c r="BQ643" t="s">
        <v>74</v>
      </c>
      <c r="BR643" t="s">
        <v>99</v>
      </c>
      <c r="BS643" t="s">
        <v>12315</v>
      </c>
      <c r="BT643" t="str">
        <f>HYPERLINK("https%3A%2F%2Fwww.webofscience.com%2Fwos%2Fwoscc%2Ffull-record%2FWOS:001043127200001","View Full Record in Web of Science")</f>
        <v>View Full Record in Web of Science</v>
      </c>
    </row>
    <row r="644" spans="1:72" x14ac:dyDescent="0.15">
      <c r="A644" t="s">
        <v>72</v>
      </c>
      <c r="B644" t="s">
        <v>12316</v>
      </c>
      <c r="C644" t="s">
        <v>74</v>
      </c>
      <c r="D644" t="s">
        <v>74</v>
      </c>
      <c r="E644" t="s">
        <v>74</v>
      </c>
      <c r="F644" t="s">
        <v>12317</v>
      </c>
      <c r="G644" t="s">
        <v>74</v>
      </c>
      <c r="H644" t="s">
        <v>74</v>
      </c>
      <c r="I644" t="s">
        <v>12318</v>
      </c>
      <c r="J644" t="s">
        <v>12319</v>
      </c>
      <c r="K644" t="s">
        <v>74</v>
      </c>
      <c r="L644" t="s">
        <v>74</v>
      </c>
      <c r="M644" t="s">
        <v>12320</v>
      </c>
      <c r="N644" t="s">
        <v>1297</v>
      </c>
      <c r="O644" t="s">
        <v>74</v>
      </c>
      <c r="P644" t="s">
        <v>74</v>
      </c>
      <c r="Q644" t="s">
        <v>74</v>
      </c>
      <c r="R644" t="s">
        <v>74</v>
      </c>
      <c r="S644" t="s">
        <v>74</v>
      </c>
      <c r="T644" t="s">
        <v>74</v>
      </c>
      <c r="U644" t="s">
        <v>74</v>
      </c>
      <c r="V644" t="s">
        <v>74</v>
      </c>
      <c r="W644" t="s">
        <v>74</v>
      </c>
      <c r="X644" t="s">
        <v>74</v>
      </c>
      <c r="Y644" t="s">
        <v>74</v>
      </c>
      <c r="Z644" t="s">
        <v>74</v>
      </c>
      <c r="AA644" t="s">
        <v>74</v>
      </c>
      <c r="AB644" t="s">
        <v>74</v>
      </c>
      <c r="AC644" t="s">
        <v>74</v>
      </c>
      <c r="AD644" t="s">
        <v>74</v>
      </c>
      <c r="AE644" t="s">
        <v>74</v>
      </c>
      <c r="AF644" t="s">
        <v>74</v>
      </c>
      <c r="AG644">
        <v>1</v>
      </c>
      <c r="AH644">
        <v>0</v>
      </c>
      <c r="AI644">
        <v>0</v>
      </c>
      <c r="AJ644">
        <v>0</v>
      </c>
      <c r="AK644">
        <v>0</v>
      </c>
      <c r="AL644" t="s">
        <v>426</v>
      </c>
      <c r="AM644" t="s">
        <v>427</v>
      </c>
      <c r="AN644" t="s">
        <v>428</v>
      </c>
      <c r="AO644" t="s">
        <v>12321</v>
      </c>
      <c r="AP644" t="s">
        <v>12322</v>
      </c>
      <c r="AQ644" t="s">
        <v>74</v>
      </c>
      <c r="AR644" t="s">
        <v>12323</v>
      </c>
      <c r="AS644" t="s">
        <v>12324</v>
      </c>
      <c r="AT644" t="s">
        <v>12188</v>
      </c>
      <c r="AU644">
        <v>2023</v>
      </c>
      <c r="AV644" t="s">
        <v>74</v>
      </c>
      <c r="AW644" t="s">
        <v>74</v>
      </c>
      <c r="AX644" t="s">
        <v>74</v>
      </c>
      <c r="AY644" t="s">
        <v>74</v>
      </c>
      <c r="AZ644" t="s">
        <v>74</v>
      </c>
      <c r="BA644" t="s">
        <v>74</v>
      </c>
      <c r="BB644">
        <v>274</v>
      </c>
      <c r="BC644">
        <v>275</v>
      </c>
      <c r="BD644" t="s">
        <v>74</v>
      </c>
      <c r="BE644" t="s">
        <v>12325</v>
      </c>
      <c r="BF644" t="str">
        <f>HYPERLINK("http://dx.doi.org/10.1002/ciuz.202300029","http://dx.doi.org/10.1002/ciuz.202300029")</f>
        <v>http://dx.doi.org/10.1002/ciuz.202300029</v>
      </c>
      <c r="BG644" t="s">
        <v>74</v>
      </c>
      <c r="BH644" t="s">
        <v>7524</v>
      </c>
      <c r="BI644">
        <v>2</v>
      </c>
      <c r="BJ644" t="s">
        <v>523</v>
      </c>
      <c r="BK644" t="s">
        <v>119</v>
      </c>
      <c r="BL644" t="s">
        <v>524</v>
      </c>
      <c r="BM644" t="s">
        <v>12326</v>
      </c>
      <c r="BN644" t="s">
        <v>74</v>
      </c>
      <c r="BO644" t="s">
        <v>74</v>
      </c>
      <c r="BP644" t="s">
        <v>74</v>
      </c>
      <c r="BQ644" t="s">
        <v>74</v>
      </c>
      <c r="BR644" t="s">
        <v>99</v>
      </c>
      <c r="BS644" t="s">
        <v>12327</v>
      </c>
      <c r="BT644" t="str">
        <f>HYPERLINK("https%3A%2F%2Fwww.webofscience.com%2Fwos%2Fwoscc%2Ffull-record%2FWOS:001047264800001","View Full Record in Web of Science")</f>
        <v>View Full Record in Web of Science</v>
      </c>
    </row>
    <row r="645" spans="1:72" x14ac:dyDescent="0.15">
      <c r="A645" t="s">
        <v>72</v>
      </c>
      <c r="B645" t="s">
        <v>12328</v>
      </c>
      <c r="C645" t="s">
        <v>74</v>
      </c>
      <c r="D645" t="s">
        <v>74</v>
      </c>
      <c r="E645" t="s">
        <v>74</v>
      </c>
      <c r="F645" t="s">
        <v>12329</v>
      </c>
      <c r="G645" t="s">
        <v>74</v>
      </c>
      <c r="H645" t="s">
        <v>74</v>
      </c>
      <c r="I645" t="s">
        <v>12330</v>
      </c>
      <c r="J645" t="s">
        <v>12331</v>
      </c>
      <c r="K645" t="s">
        <v>74</v>
      </c>
      <c r="L645" t="s">
        <v>74</v>
      </c>
      <c r="M645" t="s">
        <v>78</v>
      </c>
      <c r="N645" t="s">
        <v>338</v>
      </c>
      <c r="O645" t="s">
        <v>74</v>
      </c>
      <c r="P645" t="s">
        <v>74</v>
      </c>
      <c r="Q645" t="s">
        <v>74</v>
      </c>
      <c r="R645" t="s">
        <v>74</v>
      </c>
      <c r="S645" t="s">
        <v>74</v>
      </c>
      <c r="T645" t="s">
        <v>12332</v>
      </c>
      <c r="U645" t="s">
        <v>12333</v>
      </c>
      <c r="V645" t="s">
        <v>12334</v>
      </c>
      <c r="W645" t="s">
        <v>12335</v>
      </c>
      <c r="X645" t="s">
        <v>12336</v>
      </c>
      <c r="Y645" t="s">
        <v>12337</v>
      </c>
      <c r="Z645" t="s">
        <v>12338</v>
      </c>
      <c r="AA645" t="s">
        <v>74</v>
      </c>
      <c r="AB645" t="s">
        <v>74</v>
      </c>
      <c r="AC645" t="s">
        <v>12339</v>
      </c>
      <c r="AD645" t="s">
        <v>12340</v>
      </c>
      <c r="AE645" t="s">
        <v>12341</v>
      </c>
      <c r="AF645" t="s">
        <v>74</v>
      </c>
      <c r="AG645">
        <v>37</v>
      </c>
      <c r="AH645">
        <v>0</v>
      </c>
      <c r="AI645">
        <v>0</v>
      </c>
      <c r="AJ645">
        <v>1</v>
      </c>
      <c r="AK645">
        <v>1</v>
      </c>
      <c r="AL645" t="s">
        <v>426</v>
      </c>
      <c r="AM645" t="s">
        <v>427</v>
      </c>
      <c r="AN645" t="s">
        <v>428</v>
      </c>
      <c r="AO645" t="s">
        <v>12342</v>
      </c>
      <c r="AP645" t="s">
        <v>12343</v>
      </c>
      <c r="AQ645" t="s">
        <v>74</v>
      </c>
      <c r="AR645" t="s">
        <v>12344</v>
      </c>
      <c r="AS645" t="s">
        <v>12345</v>
      </c>
      <c r="AT645" t="s">
        <v>12188</v>
      </c>
      <c r="AU645">
        <v>2023</v>
      </c>
      <c r="AV645" t="s">
        <v>74</v>
      </c>
      <c r="AW645" t="s">
        <v>74</v>
      </c>
      <c r="AX645" t="s">
        <v>74</v>
      </c>
      <c r="AY645" t="s">
        <v>74</v>
      </c>
      <c r="AZ645" t="s">
        <v>74</v>
      </c>
      <c r="BA645" t="s">
        <v>74</v>
      </c>
      <c r="BB645" t="s">
        <v>74</v>
      </c>
      <c r="BC645" t="s">
        <v>74</v>
      </c>
      <c r="BD645" t="s">
        <v>74</v>
      </c>
      <c r="BE645" t="s">
        <v>12346</v>
      </c>
      <c r="BF645" t="str">
        <f>HYPERLINK("http://dx.doi.org/10.1002/ppap.202300033","http://dx.doi.org/10.1002/ppap.202300033")</f>
        <v>http://dx.doi.org/10.1002/ppap.202300033</v>
      </c>
      <c r="BG645" t="s">
        <v>74</v>
      </c>
      <c r="BH645" t="s">
        <v>7524</v>
      </c>
      <c r="BI645">
        <v>10</v>
      </c>
      <c r="BJ645" t="s">
        <v>12347</v>
      </c>
      <c r="BK645" t="s">
        <v>119</v>
      </c>
      <c r="BL645" t="s">
        <v>12348</v>
      </c>
      <c r="BM645" t="s">
        <v>12349</v>
      </c>
      <c r="BN645" t="s">
        <v>74</v>
      </c>
      <c r="BO645" t="s">
        <v>74</v>
      </c>
      <c r="BP645" t="s">
        <v>74</v>
      </c>
      <c r="BQ645" t="s">
        <v>74</v>
      </c>
      <c r="BR645" t="s">
        <v>99</v>
      </c>
      <c r="BS645" t="s">
        <v>12350</v>
      </c>
      <c r="BT645" t="str">
        <f>HYPERLINK("https%3A%2F%2Fwww.webofscience.com%2Fwos%2Fwoscc%2Ffull-record%2FWOS:001045481100001","View Full Record in Web of Science")</f>
        <v>View Full Record in Web of Science</v>
      </c>
    </row>
    <row r="646" spans="1:72" x14ac:dyDescent="0.15">
      <c r="A646" t="s">
        <v>72</v>
      </c>
      <c r="B646" t="s">
        <v>12351</v>
      </c>
      <c r="C646" t="s">
        <v>74</v>
      </c>
      <c r="D646" t="s">
        <v>74</v>
      </c>
      <c r="E646" t="s">
        <v>74</v>
      </c>
      <c r="F646" t="s">
        <v>12352</v>
      </c>
      <c r="G646" t="s">
        <v>74</v>
      </c>
      <c r="H646" t="s">
        <v>74</v>
      </c>
      <c r="I646" t="s">
        <v>12353</v>
      </c>
      <c r="J646" t="s">
        <v>7629</v>
      </c>
      <c r="K646" t="s">
        <v>74</v>
      </c>
      <c r="L646" t="s">
        <v>74</v>
      </c>
      <c r="M646" t="s">
        <v>78</v>
      </c>
      <c r="N646" t="s">
        <v>338</v>
      </c>
      <c r="O646" t="s">
        <v>74</v>
      </c>
      <c r="P646" t="s">
        <v>74</v>
      </c>
      <c r="Q646" t="s">
        <v>74</v>
      </c>
      <c r="R646" t="s">
        <v>74</v>
      </c>
      <c r="S646" t="s">
        <v>74</v>
      </c>
      <c r="T646" t="s">
        <v>12354</v>
      </c>
      <c r="U646" t="s">
        <v>12355</v>
      </c>
      <c r="V646" t="s">
        <v>12356</v>
      </c>
      <c r="W646" t="s">
        <v>12357</v>
      </c>
      <c r="X646" t="s">
        <v>12358</v>
      </c>
      <c r="Y646" t="s">
        <v>12359</v>
      </c>
      <c r="Z646" t="s">
        <v>12360</v>
      </c>
      <c r="AA646" t="s">
        <v>12361</v>
      </c>
      <c r="AB646" t="s">
        <v>12362</v>
      </c>
      <c r="AC646" t="s">
        <v>12363</v>
      </c>
      <c r="AD646" t="s">
        <v>12364</v>
      </c>
      <c r="AE646" t="s">
        <v>12365</v>
      </c>
      <c r="AF646" t="s">
        <v>74</v>
      </c>
      <c r="AG646">
        <v>24</v>
      </c>
      <c r="AH646">
        <v>0</v>
      </c>
      <c r="AI646">
        <v>0</v>
      </c>
      <c r="AJ646">
        <v>2</v>
      </c>
      <c r="AK646">
        <v>2</v>
      </c>
      <c r="AL646" t="s">
        <v>426</v>
      </c>
      <c r="AM646" t="s">
        <v>427</v>
      </c>
      <c r="AN646" t="s">
        <v>428</v>
      </c>
      <c r="AO646" t="s">
        <v>7639</v>
      </c>
      <c r="AP646" t="s">
        <v>7640</v>
      </c>
      <c r="AQ646" t="s">
        <v>74</v>
      </c>
      <c r="AR646" t="s">
        <v>7641</v>
      </c>
      <c r="AS646" t="s">
        <v>7642</v>
      </c>
      <c r="AT646" t="s">
        <v>12188</v>
      </c>
      <c r="AU646">
        <v>2023</v>
      </c>
      <c r="AV646" t="s">
        <v>74</v>
      </c>
      <c r="AW646" t="s">
        <v>74</v>
      </c>
      <c r="AX646" t="s">
        <v>74</v>
      </c>
      <c r="AY646" t="s">
        <v>74</v>
      </c>
      <c r="AZ646" t="s">
        <v>74</v>
      </c>
      <c r="BA646" t="s">
        <v>74</v>
      </c>
      <c r="BB646" t="s">
        <v>74</v>
      </c>
      <c r="BC646" t="s">
        <v>74</v>
      </c>
      <c r="BD646" t="s">
        <v>74</v>
      </c>
      <c r="BE646" t="s">
        <v>12366</v>
      </c>
      <c r="BF646" t="str">
        <f>HYPERLINK("http://dx.doi.org/10.1002/jssc.202300175","http://dx.doi.org/10.1002/jssc.202300175")</f>
        <v>http://dx.doi.org/10.1002/jssc.202300175</v>
      </c>
      <c r="BG646" t="s">
        <v>74</v>
      </c>
      <c r="BH646" t="s">
        <v>7524</v>
      </c>
      <c r="BI646">
        <v>13</v>
      </c>
      <c r="BJ646" t="s">
        <v>7644</v>
      </c>
      <c r="BK646" t="s">
        <v>119</v>
      </c>
      <c r="BL646" t="s">
        <v>524</v>
      </c>
      <c r="BM646" t="s">
        <v>12367</v>
      </c>
      <c r="BN646">
        <v>37568244</v>
      </c>
      <c r="BO646" t="s">
        <v>74</v>
      </c>
      <c r="BP646" t="s">
        <v>74</v>
      </c>
      <c r="BQ646" t="s">
        <v>74</v>
      </c>
      <c r="BR646" t="s">
        <v>99</v>
      </c>
      <c r="BS646" t="s">
        <v>12368</v>
      </c>
      <c r="BT646" t="str">
        <f>HYPERLINK("https%3A%2F%2Fwww.webofscience.com%2Fwos%2Fwoscc%2Ffull-record%2FWOS:001046547000001","View Full Record in Web of Science")</f>
        <v>View Full Record in Web of Science</v>
      </c>
    </row>
    <row r="647" spans="1:72" x14ac:dyDescent="0.15">
      <c r="A647" t="s">
        <v>72</v>
      </c>
      <c r="B647" t="s">
        <v>12369</v>
      </c>
      <c r="C647" t="s">
        <v>74</v>
      </c>
      <c r="D647" t="s">
        <v>74</v>
      </c>
      <c r="E647" t="s">
        <v>74</v>
      </c>
      <c r="F647" t="s">
        <v>12370</v>
      </c>
      <c r="G647" t="s">
        <v>74</v>
      </c>
      <c r="H647" t="s">
        <v>74</v>
      </c>
      <c r="I647" t="s">
        <v>12371</v>
      </c>
      <c r="J647" t="s">
        <v>7629</v>
      </c>
      <c r="K647" t="s">
        <v>74</v>
      </c>
      <c r="L647" t="s">
        <v>74</v>
      </c>
      <c r="M647" t="s">
        <v>78</v>
      </c>
      <c r="N647" t="s">
        <v>338</v>
      </c>
      <c r="O647" t="s">
        <v>74</v>
      </c>
      <c r="P647" t="s">
        <v>74</v>
      </c>
      <c r="Q647" t="s">
        <v>74</v>
      </c>
      <c r="R647" t="s">
        <v>74</v>
      </c>
      <c r="S647" t="s">
        <v>74</v>
      </c>
      <c r="T647" t="s">
        <v>12372</v>
      </c>
      <c r="U647" t="s">
        <v>12373</v>
      </c>
      <c r="V647" t="s">
        <v>12374</v>
      </c>
      <c r="W647" t="s">
        <v>12375</v>
      </c>
      <c r="X647" t="s">
        <v>12376</v>
      </c>
      <c r="Y647" t="s">
        <v>12377</v>
      </c>
      <c r="Z647" t="s">
        <v>12378</v>
      </c>
      <c r="AA647" t="s">
        <v>74</v>
      </c>
      <c r="AB647" t="s">
        <v>74</v>
      </c>
      <c r="AC647" t="s">
        <v>74</v>
      </c>
      <c r="AD647" t="s">
        <v>74</v>
      </c>
      <c r="AE647" t="s">
        <v>74</v>
      </c>
      <c r="AF647" t="s">
        <v>74</v>
      </c>
      <c r="AG647">
        <v>57</v>
      </c>
      <c r="AH647">
        <v>0</v>
      </c>
      <c r="AI647">
        <v>0</v>
      </c>
      <c r="AJ647">
        <v>7</v>
      </c>
      <c r="AK647">
        <v>7</v>
      </c>
      <c r="AL647" t="s">
        <v>426</v>
      </c>
      <c r="AM647" t="s">
        <v>427</v>
      </c>
      <c r="AN647" t="s">
        <v>428</v>
      </c>
      <c r="AO647" t="s">
        <v>7639</v>
      </c>
      <c r="AP647" t="s">
        <v>7640</v>
      </c>
      <c r="AQ647" t="s">
        <v>74</v>
      </c>
      <c r="AR647" t="s">
        <v>7641</v>
      </c>
      <c r="AS647" t="s">
        <v>7642</v>
      </c>
      <c r="AT647" t="s">
        <v>12188</v>
      </c>
      <c r="AU647">
        <v>2023</v>
      </c>
      <c r="AV647" t="s">
        <v>74</v>
      </c>
      <c r="AW647" t="s">
        <v>74</v>
      </c>
      <c r="AX647" t="s">
        <v>74</v>
      </c>
      <c r="AY647" t="s">
        <v>74</v>
      </c>
      <c r="AZ647" t="s">
        <v>74</v>
      </c>
      <c r="BA647" t="s">
        <v>74</v>
      </c>
      <c r="BB647" t="s">
        <v>74</v>
      </c>
      <c r="BC647" t="s">
        <v>74</v>
      </c>
      <c r="BD647" t="s">
        <v>74</v>
      </c>
      <c r="BE647" t="s">
        <v>12379</v>
      </c>
      <c r="BF647" t="str">
        <f>HYPERLINK("http://dx.doi.org/10.1002/jssc.202300302","http://dx.doi.org/10.1002/jssc.202300302")</f>
        <v>http://dx.doi.org/10.1002/jssc.202300302</v>
      </c>
      <c r="BG647" t="s">
        <v>74</v>
      </c>
      <c r="BH647" t="s">
        <v>7524</v>
      </c>
      <c r="BI647">
        <v>10</v>
      </c>
      <c r="BJ647" t="s">
        <v>7644</v>
      </c>
      <c r="BK647" t="s">
        <v>119</v>
      </c>
      <c r="BL647" t="s">
        <v>524</v>
      </c>
      <c r="BM647" t="s">
        <v>12380</v>
      </c>
      <c r="BN647">
        <v>37568249</v>
      </c>
      <c r="BO647" t="s">
        <v>301</v>
      </c>
      <c r="BP647" t="s">
        <v>74</v>
      </c>
      <c r="BQ647" t="s">
        <v>74</v>
      </c>
      <c r="BR647" t="s">
        <v>99</v>
      </c>
      <c r="BS647" t="s">
        <v>12381</v>
      </c>
      <c r="BT647" t="str">
        <f>HYPERLINK("https%3A%2F%2Fwww.webofscience.com%2Fwos%2Fwoscc%2Ffull-record%2FWOS:001045933600001","View Full Record in Web of Science")</f>
        <v>View Full Record in Web of Science</v>
      </c>
    </row>
    <row r="648" spans="1:72" x14ac:dyDescent="0.15">
      <c r="A648" t="s">
        <v>72</v>
      </c>
      <c r="B648" t="s">
        <v>12382</v>
      </c>
      <c r="C648" t="s">
        <v>74</v>
      </c>
      <c r="D648" t="s">
        <v>74</v>
      </c>
      <c r="E648" t="s">
        <v>74</v>
      </c>
      <c r="F648" t="s">
        <v>12383</v>
      </c>
      <c r="G648" t="s">
        <v>74</v>
      </c>
      <c r="H648" t="s">
        <v>74</v>
      </c>
      <c r="I648" t="s">
        <v>12384</v>
      </c>
      <c r="J648" t="s">
        <v>12385</v>
      </c>
      <c r="K648" t="s">
        <v>74</v>
      </c>
      <c r="L648" t="s">
        <v>74</v>
      </c>
      <c r="M648" t="s">
        <v>78</v>
      </c>
      <c r="N648" t="s">
        <v>594</v>
      </c>
      <c r="O648" t="s">
        <v>74</v>
      </c>
      <c r="P648" t="s">
        <v>74</v>
      </c>
      <c r="Q648" t="s">
        <v>74</v>
      </c>
      <c r="R648" t="s">
        <v>74</v>
      </c>
      <c r="S648" t="s">
        <v>74</v>
      </c>
      <c r="T648" t="s">
        <v>12386</v>
      </c>
      <c r="U648" t="s">
        <v>12387</v>
      </c>
      <c r="V648" t="s">
        <v>12388</v>
      </c>
      <c r="W648" t="s">
        <v>12389</v>
      </c>
      <c r="X648" t="s">
        <v>7895</v>
      </c>
      <c r="Y648" t="s">
        <v>12390</v>
      </c>
      <c r="Z648" t="s">
        <v>12391</v>
      </c>
      <c r="AA648" t="s">
        <v>74</v>
      </c>
      <c r="AB648" t="s">
        <v>74</v>
      </c>
      <c r="AC648" t="s">
        <v>12392</v>
      </c>
      <c r="AD648" t="s">
        <v>12393</v>
      </c>
      <c r="AE648" t="s">
        <v>12394</v>
      </c>
      <c r="AF648" t="s">
        <v>74</v>
      </c>
      <c r="AG648">
        <v>163</v>
      </c>
      <c r="AH648">
        <v>0</v>
      </c>
      <c r="AI648">
        <v>0</v>
      </c>
      <c r="AJ648">
        <v>36</v>
      </c>
      <c r="AK648">
        <v>36</v>
      </c>
      <c r="AL648" t="s">
        <v>426</v>
      </c>
      <c r="AM648" t="s">
        <v>427</v>
      </c>
      <c r="AN648" t="s">
        <v>428</v>
      </c>
      <c r="AO648" t="s">
        <v>12395</v>
      </c>
      <c r="AP648" t="s">
        <v>74</v>
      </c>
      <c r="AQ648" t="s">
        <v>74</v>
      </c>
      <c r="AR648" t="s">
        <v>12385</v>
      </c>
      <c r="AS648" t="s">
        <v>12396</v>
      </c>
      <c r="AT648" t="s">
        <v>12188</v>
      </c>
      <c r="AU648">
        <v>2023</v>
      </c>
      <c r="AV648" t="s">
        <v>74</v>
      </c>
      <c r="AW648" t="s">
        <v>74</v>
      </c>
      <c r="AX648" t="s">
        <v>74</v>
      </c>
      <c r="AY648" t="s">
        <v>74</v>
      </c>
      <c r="AZ648" t="s">
        <v>74</v>
      </c>
      <c r="BA648" t="s">
        <v>74</v>
      </c>
      <c r="BB648" t="s">
        <v>74</v>
      </c>
      <c r="BC648" t="s">
        <v>74</v>
      </c>
      <c r="BD648" t="s">
        <v>74</v>
      </c>
      <c r="BE648" t="s">
        <v>12397</v>
      </c>
      <c r="BF648" t="str">
        <f>HYPERLINK("http://dx.doi.org/10.1002/smtd.202300687","http://dx.doi.org/10.1002/smtd.202300687")</f>
        <v>http://dx.doi.org/10.1002/smtd.202300687</v>
      </c>
      <c r="BG648" t="s">
        <v>74</v>
      </c>
      <c r="BH648" t="s">
        <v>7524</v>
      </c>
      <c r="BI648">
        <v>31</v>
      </c>
      <c r="BJ648" t="s">
        <v>1040</v>
      </c>
      <c r="BK648" t="s">
        <v>119</v>
      </c>
      <c r="BL648" t="s">
        <v>954</v>
      </c>
      <c r="BM648" t="s">
        <v>12398</v>
      </c>
      <c r="BN648">
        <v>37568245</v>
      </c>
      <c r="BO648" t="s">
        <v>74</v>
      </c>
      <c r="BP648" t="s">
        <v>74</v>
      </c>
      <c r="BQ648" t="s">
        <v>74</v>
      </c>
      <c r="BR648" t="s">
        <v>99</v>
      </c>
      <c r="BS648" t="s">
        <v>12399</v>
      </c>
      <c r="BT648" t="str">
        <f>HYPERLINK("https%3A%2F%2Fwww.webofscience.com%2Fwos%2Fwoscc%2Ffull-record%2FWOS:001045988900001","View Full Record in Web of Science")</f>
        <v>View Full Record in Web of Science</v>
      </c>
    </row>
    <row r="649" spans="1:72" x14ac:dyDescent="0.15">
      <c r="A649" t="s">
        <v>72</v>
      </c>
      <c r="B649" t="s">
        <v>12400</v>
      </c>
      <c r="C649" t="s">
        <v>74</v>
      </c>
      <c r="D649" t="s">
        <v>74</v>
      </c>
      <c r="E649" t="s">
        <v>74</v>
      </c>
      <c r="F649" t="s">
        <v>12401</v>
      </c>
      <c r="G649" t="s">
        <v>74</v>
      </c>
      <c r="H649" t="s">
        <v>74</v>
      </c>
      <c r="I649" t="s">
        <v>12402</v>
      </c>
      <c r="J649" t="s">
        <v>3370</v>
      </c>
      <c r="K649" t="s">
        <v>74</v>
      </c>
      <c r="L649" t="s">
        <v>74</v>
      </c>
      <c r="M649" t="s">
        <v>78</v>
      </c>
      <c r="N649" t="s">
        <v>338</v>
      </c>
      <c r="O649" t="s">
        <v>74</v>
      </c>
      <c r="P649" t="s">
        <v>74</v>
      </c>
      <c r="Q649" t="s">
        <v>74</v>
      </c>
      <c r="R649" t="s">
        <v>74</v>
      </c>
      <c r="S649" t="s">
        <v>74</v>
      </c>
      <c r="T649" t="s">
        <v>12403</v>
      </c>
      <c r="U649" t="s">
        <v>12404</v>
      </c>
      <c r="V649" t="s">
        <v>12405</v>
      </c>
      <c r="W649" t="s">
        <v>12406</v>
      </c>
      <c r="X649" t="s">
        <v>12407</v>
      </c>
      <c r="Y649" t="s">
        <v>12408</v>
      </c>
      <c r="Z649" t="s">
        <v>12409</v>
      </c>
      <c r="AA649" t="s">
        <v>74</v>
      </c>
      <c r="AB649" t="s">
        <v>74</v>
      </c>
      <c r="AC649" t="s">
        <v>12410</v>
      </c>
      <c r="AD649" t="s">
        <v>12411</v>
      </c>
      <c r="AE649" t="s">
        <v>12412</v>
      </c>
      <c r="AF649" t="s">
        <v>74</v>
      </c>
      <c r="AG649">
        <v>53</v>
      </c>
      <c r="AH649">
        <v>0</v>
      </c>
      <c r="AI649">
        <v>0</v>
      </c>
      <c r="AJ649">
        <v>31</v>
      </c>
      <c r="AK649">
        <v>31</v>
      </c>
      <c r="AL649" t="s">
        <v>426</v>
      </c>
      <c r="AM649" t="s">
        <v>427</v>
      </c>
      <c r="AN649" t="s">
        <v>428</v>
      </c>
      <c r="AO649" t="s">
        <v>3381</v>
      </c>
      <c r="AP649" t="s">
        <v>74</v>
      </c>
      <c r="AQ649" t="s">
        <v>74</v>
      </c>
      <c r="AR649" t="s">
        <v>3382</v>
      </c>
      <c r="AS649" t="s">
        <v>3383</v>
      </c>
      <c r="AT649" t="s">
        <v>12188</v>
      </c>
      <c r="AU649">
        <v>2023</v>
      </c>
      <c r="AV649" t="s">
        <v>74</v>
      </c>
      <c r="AW649" t="s">
        <v>74</v>
      </c>
      <c r="AX649" t="s">
        <v>74</v>
      </c>
      <c r="AY649" t="s">
        <v>74</v>
      </c>
      <c r="AZ649" t="s">
        <v>74</v>
      </c>
      <c r="BA649" t="s">
        <v>74</v>
      </c>
      <c r="BB649" t="s">
        <v>74</v>
      </c>
      <c r="BC649" t="s">
        <v>74</v>
      </c>
      <c r="BD649" t="s">
        <v>74</v>
      </c>
      <c r="BE649" t="s">
        <v>12413</v>
      </c>
      <c r="BF649" t="str">
        <f>HYPERLINK("http://dx.doi.org/10.1002/adom.202301239","http://dx.doi.org/10.1002/adom.202301239")</f>
        <v>http://dx.doi.org/10.1002/adom.202301239</v>
      </c>
      <c r="BG649" t="s">
        <v>74</v>
      </c>
      <c r="BH649" t="s">
        <v>7524</v>
      </c>
      <c r="BI649">
        <v>8</v>
      </c>
      <c r="BJ649" t="s">
        <v>3385</v>
      </c>
      <c r="BK649" t="s">
        <v>119</v>
      </c>
      <c r="BL649" t="s">
        <v>3386</v>
      </c>
      <c r="BM649" t="s">
        <v>12414</v>
      </c>
      <c r="BN649" t="s">
        <v>74</v>
      </c>
      <c r="BO649" t="s">
        <v>301</v>
      </c>
      <c r="BP649" t="s">
        <v>74</v>
      </c>
      <c r="BQ649" t="s">
        <v>74</v>
      </c>
      <c r="BR649" t="s">
        <v>99</v>
      </c>
      <c r="BS649" t="s">
        <v>12415</v>
      </c>
      <c r="BT649" t="str">
        <f>HYPERLINK("https%3A%2F%2Fwww.webofscience.com%2Fwos%2Fwoscc%2Ffull-record%2FWOS:001045143100001","View Full Record in Web of Science")</f>
        <v>View Full Record in Web of Science</v>
      </c>
    </row>
    <row r="650" spans="1:72" x14ac:dyDescent="0.15">
      <c r="A650" t="s">
        <v>72</v>
      </c>
      <c r="B650" t="s">
        <v>12416</v>
      </c>
      <c r="C650" t="s">
        <v>74</v>
      </c>
      <c r="D650" t="s">
        <v>74</v>
      </c>
      <c r="E650" t="s">
        <v>74</v>
      </c>
      <c r="F650" t="s">
        <v>12417</v>
      </c>
      <c r="G650" t="s">
        <v>74</v>
      </c>
      <c r="H650" t="s">
        <v>74</v>
      </c>
      <c r="I650" t="s">
        <v>12418</v>
      </c>
      <c r="J650" t="s">
        <v>7572</v>
      </c>
      <c r="K650" t="s">
        <v>74</v>
      </c>
      <c r="L650" t="s">
        <v>74</v>
      </c>
      <c r="M650" t="s">
        <v>78</v>
      </c>
      <c r="N650" t="s">
        <v>338</v>
      </c>
      <c r="O650" t="s">
        <v>74</v>
      </c>
      <c r="P650" t="s">
        <v>74</v>
      </c>
      <c r="Q650" t="s">
        <v>74</v>
      </c>
      <c r="R650" t="s">
        <v>74</v>
      </c>
      <c r="S650" t="s">
        <v>74</v>
      </c>
      <c r="T650" t="s">
        <v>12419</v>
      </c>
      <c r="U650" t="s">
        <v>12420</v>
      </c>
      <c r="V650" t="s">
        <v>12421</v>
      </c>
      <c r="W650" t="s">
        <v>12422</v>
      </c>
      <c r="X650" t="s">
        <v>12423</v>
      </c>
      <c r="Y650" t="s">
        <v>12424</v>
      </c>
      <c r="Z650" t="s">
        <v>12425</v>
      </c>
      <c r="AA650" t="s">
        <v>74</v>
      </c>
      <c r="AB650" t="s">
        <v>12426</v>
      </c>
      <c r="AC650" t="s">
        <v>12427</v>
      </c>
      <c r="AD650" t="s">
        <v>12428</v>
      </c>
      <c r="AE650" t="s">
        <v>12429</v>
      </c>
      <c r="AF650" t="s">
        <v>74</v>
      </c>
      <c r="AG650">
        <v>30</v>
      </c>
      <c r="AH650">
        <v>0</v>
      </c>
      <c r="AI650">
        <v>0</v>
      </c>
      <c r="AJ650">
        <v>0</v>
      </c>
      <c r="AK650">
        <v>0</v>
      </c>
      <c r="AL650" t="s">
        <v>426</v>
      </c>
      <c r="AM650" t="s">
        <v>427</v>
      </c>
      <c r="AN650" t="s">
        <v>428</v>
      </c>
      <c r="AO650" t="s">
        <v>7581</v>
      </c>
      <c r="AP650" t="s">
        <v>74</v>
      </c>
      <c r="AQ650" t="s">
        <v>74</v>
      </c>
      <c r="AR650" t="s">
        <v>7582</v>
      </c>
      <c r="AS650" t="s">
        <v>7583</v>
      </c>
      <c r="AT650" t="s">
        <v>12430</v>
      </c>
      <c r="AU650">
        <v>2023</v>
      </c>
      <c r="AV650" t="s">
        <v>74</v>
      </c>
      <c r="AW650" t="s">
        <v>74</v>
      </c>
      <c r="AX650" t="s">
        <v>74</v>
      </c>
      <c r="AY650" t="s">
        <v>74</v>
      </c>
      <c r="AZ650" t="s">
        <v>74</v>
      </c>
      <c r="BA650" t="s">
        <v>74</v>
      </c>
      <c r="BB650" t="s">
        <v>74</v>
      </c>
      <c r="BC650" t="s">
        <v>74</v>
      </c>
      <c r="BD650" t="s">
        <v>74</v>
      </c>
      <c r="BE650" t="s">
        <v>12431</v>
      </c>
      <c r="BF650" t="str">
        <f>HYPERLINK("http://dx.doi.org/10.1002/ags3.12727","http://dx.doi.org/10.1002/ags3.12727")</f>
        <v>http://dx.doi.org/10.1002/ags3.12727</v>
      </c>
      <c r="BG650" t="s">
        <v>74</v>
      </c>
      <c r="BH650" t="s">
        <v>7524</v>
      </c>
      <c r="BI650">
        <v>8</v>
      </c>
      <c r="BJ650" t="s">
        <v>95</v>
      </c>
      <c r="BK650" t="s">
        <v>119</v>
      </c>
      <c r="BL650" t="s">
        <v>95</v>
      </c>
      <c r="BM650" t="s">
        <v>12432</v>
      </c>
      <c r="BN650" t="s">
        <v>74</v>
      </c>
      <c r="BO650" t="s">
        <v>234</v>
      </c>
      <c r="BP650" t="s">
        <v>74</v>
      </c>
      <c r="BQ650" t="s">
        <v>74</v>
      </c>
      <c r="BR650" t="s">
        <v>99</v>
      </c>
      <c r="BS650" t="s">
        <v>12433</v>
      </c>
      <c r="BT650" t="str">
        <f>HYPERLINK("https%3A%2F%2Fwww.webofscience.com%2Fwos%2Fwoscc%2Ffull-record%2FWOS:001046125500001","View Full Record in Web of Science")</f>
        <v>View Full Record in Web of Science</v>
      </c>
    </row>
    <row r="651" spans="1:72" x14ac:dyDescent="0.15">
      <c r="A651" t="s">
        <v>72</v>
      </c>
      <c r="B651" t="s">
        <v>12434</v>
      </c>
      <c r="C651" t="s">
        <v>74</v>
      </c>
      <c r="D651" t="s">
        <v>74</v>
      </c>
      <c r="E651" t="s">
        <v>74</v>
      </c>
      <c r="F651" t="s">
        <v>12435</v>
      </c>
      <c r="G651" t="s">
        <v>74</v>
      </c>
      <c r="H651" t="s">
        <v>74</v>
      </c>
      <c r="I651" t="s">
        <v>12436</v>
      </c>
      <c r="J651" t="s">
        <v>4225</v>
      </c>
      <c r="K651" t="s">
        <v>74</v>
      </c>
      <c r="L651" t="s">
        <v>74</v>
      </c>
      <c r="M651" t="s">
        <v>78</v>
      </c>
      <c r="N651" t="s">
        <v>2743</v>
      </c>
      <c r="O651" t="s">
        <v>74</v>
      </c>
      <c r="P651" t="s">
        <v>74</v>
      </c>
      <c r="Q651" t="s">
        <v>74</v>
      </c>
      <c r="R651" t="s">
        <v>74</v>
      </c>
      <c r="S651" t="s">
        <v>74</v>
      </c>
      <c r="T651" t="s">
        <v>74</v>
      </c>
      <c r="U651" t="s">
        <v>74</v>
      </c>
      <c r="V651" t="s">
        <v>74</v>
      </c>
      <c r="W651" t="s">
        <v>12437</v>
      </c>
      <c r="X651" t="s">
        <v>12438</v>
      </c>
      <c r="Y651" t="s">
        <v>12439</v>
      </c>
      <c r="Z651" t="s">
        <v>12440</v>
      </c>
      <c r="AA651" t="s">
        <v>74</v>
      </c>
      <c r="AB651" t="s">
        <v>74</v>
      </c>
      <c r="AC651" t="s">
        <v>74</v>
      </c>
      <c r="AD651" t="s">
        <v>74</v>
      </c>
      <c r="AE651" t="s">
        <v>74</v>
      </c>
      <c r="AF651" t="s">
        <v>74</v>
      </c>
      <c r="AG651">
        <v>7</v>
      </c>
      <c r="AH651">
        <v>0</v>
      </c>
      <c r="AI651">
        <v>0</v>
      </c>
      <c r="AJ651">
        <v>0</v>
      </c>
      <c r="AK651">
        <v>0</v>
      </c>
      <c r="AL651" t="s">
        <v>87</v>
      </c>
      <c r="AM651" t="s">
        <v>88</v>
      </c>
      <c r="AN651" t="s">
        <v>89</v>
      </c>
      <c r="AO651" t="s">
        <v>4233</v>
      </c>
      <c r="AP651" t="s">
        <v>4234</v>
      </c>
      <c r="AQ651" t="s">
        <v>74</v>
      </c>
      <c r="AR651" t="s">
        <v>4235</v>
      </c>
      <c r="AS651" t="s">
        <v>4236</v>
      </c>
      <c r="AT651" t="s">
        <v>12430</v>
      </c>
      <c r="AU651">
        <v>2023</v>
      </c>
      <c r="AV651" t="s">
        <v>74</v>
      </c>
      <c r="AW651" t="s">
        <v>74</v>
      </c>
      <c r="AX651" t="s">
        <v>74</v>
      </c>
      <c r="AY651" t="s">
        <v>74</v>
      </c>
      <c r="AZ651" t="s">
        <v>74</v>
      </c>
      <c r="BA651" t="s">
        <v>74</v>
      </c>
      <c r="BB651" t="s">
        <v>74</v>
      </c>
      <c r="BC651" t="s">
        <v>74</v>
      </c>
      <c r="BD651" t="s">
        <v>74</v>
      </c>
      <c r="BE651" t="s">
        <v>12441</v>
      </c>
      <c r="BF651" t="str">
        <f>HYPERLINK("http://dx.doi.org/10.1111/jocd.15939","http://dx.doi.org/10.1111/jocd.15939")</f>
        <v>http://dx.doi.org/10.1111/jocd.15939</v>
      </c>
      <c r="BG651" t="s">
        <v>74</v>
      </c>
      <c r="BH651" t="s">
        <v>7524</v>
      </c>
      <c r="BI651">
        <v>2</v>
      </c>
      <c r="BJ651" t="s">
        <v>2541</v>
      </c>
      <c r="BK651" t="s">
        <v>119</v>
      </c>
      <c r="BL651" t="s">
        <v>2541</v>
      </c>
      <c r="BM651" t="s">
        <v>12442</v>
      </c>
      <c r="BN651">
        <v>37563923</v>
      </c>
      <c r="BO651" t="s">
        <v>122</v>
      </c>
      <c r="BP651" t="s">
        <v>74</v>
      </c>
      <c r="BQ651" t="s">
        <v>74</v>
      </c>
      <c r="BR651" t="s">
        <v>99</v>
      </c>
      <c r="BS651" t="s">
        <v>12443</v>
      </c>
      <c r="BT651" t="str">
        <f>HYPERLINK("https%3A%2F%2Fwww.webofscience.com%2Fwos%2Fwoscc%2Ffull-record%2FWOS:001046125400001","View Full Record in Web of Science")</f>
        <v>View Full Record in Web of Science</v>
      </c>
    </row>
    <row r="652" spans="1:72" x14ac:dyDescent="0.15">
      <c r="A652" t="s">
        <v>72</v>
      </c>
      <c r="B652" t="s">
        <v>12444</v>
      </c>
      <c r="C652" t="s">
        <v>74</v>
      </c>
      <c r="D652" t="s">
        <v>74</v>
      </c>
      <c r="E652" t="s">
        <v>74</v>
      </c>
      <c r="F652" t="s">
        <v>12445</v>
      </c>
      <c r="G652" t="s">
        <v>74</v>
      </c>
      <c r="H652" t="s">
        <v>74</v>
      </c>
      <c r="I652" t="s">
        <v>12446</v>
      </c>
      <c r="J652" t="s">
        <v>1001</v>
      </c>
      <c r="K652" t="s">
        <v>74</v>
      </c>
      <c r="L652" t="s">
        <v>74</v>
      </c>
      <c r="M652" t="s">
        <v>78</v>
      </c>
      <c r="N652" t="s">
        <v>338</v>
      </c>
      <c r="O652" t="s">
        <v>74</v>
      </c>
      <c r="P652" t="s">
        <v>74</v>
      </c>
      <c r="Q652" t="s">
        <v>74</v>
      </c>
      <c r="R652" t="s">
        <v>74</v>
      </c>
      <c r="S652" t="s">
        <v>74</v>
      </c>
      <c r="T652" t="s">
        <v>12447</v>
      </c>
      <c r="U652" t="s">
        <v>12448</v>
      </c>
      <c r="V652" t="s">
        <v>12449</v>
      </c>
      <c r="W652" t="s">
        <v>12450</v>
      </c>
      <c r="X652" t="s">
        <v>12451</v>
      </c>
      <c r="Y652" t="s">
        <v>12452</v>
      </c>
      <c r="Z652" t="s">
        <v>12453</v>
      </c>
      <c r="AA652" t="s">
        <v>74</v>
      </c>
      <c r="AB652" t="s">
        <v>12454</v>
      </c>
      <c r="AC652" t="s">
        <v>12455</v>
      </c>
      <c r="AD652" t="s">
        <v>12456</v>
      </c>
      <c r="AE652" t="s">
        <v>12457</v>
      </c>
      <c r="AF652" t="s">
        <v>74</v>
      </c>
      <c r="AG652">
        <v>60</v>
      </c>
      <c r="AH652">
        <v>0</v>
      </c>
      <c r="AI652">
        <v>0</v>
      </c>
      <c r="AJ652">
        <v>45</v>
      </c>
      <c r="AK652">
        <v>45</v>
      </c>
      <c r="AL652" t="s">
        <v>426</v>
      </c>
      <c r="AM652" t="s">
        <v>427</v>
      </c>
      <c r="AN652" t="s">
        <v>428</v>
      </c>
      <c r="AO652" t="s">
        <v>1014</v>
      </c>
      <c r="AP652" t="s">
        <v>1015</v>
      </c>
      <c r="AQ652" t="s">
        <v>74</v>
      </c>
      <c r="AR652" t="s">
        <v>1016</v>
      </c>
      <c r="AS652" t="s">
        <v>1017</v>
      </c>
      <c r="AT652" t="s">
        <v>12430</v>
      </c>
      <c r="AU652">
        <v>2023</v>
      </c>
      <c r="AV652" t="s">
        <v>74</v>
      </c>
      <c r="AW652" t="s">
        <v>74</v>
      </c>
      <c r="AX652" t="s">
        <v>74</v>
      </c>
      <c r="AY652" t="s">
        <v>74</v>
      </c>
      <c r="AZ652" t="s">
        <v>74</v>
      </c>
      <c r="BA652" t="s">
        <v>74</v>
      </c>
      <c r="BB652" t="s">
        <v>74</v>
      </c>
      <c r="BC652" t="s">
        <v>74</v>
      </c>
      <c r="BD652" t="s">
        <v>74</v>
      </c>
      <c r="BE652" t="s">
        <v>12458</v>
      </c>
      <c r="BF652" t="str">
        <f>HYPERLINK("http://dx.doi.org/10.1002/anie.202308732","http://dx.doi.org/10.1002/anie.202308732")</f>
        <v>http://dx.doi.org/10.1002/anie.202308732</v>
      </c>
      <c r="BG652" t="s">
        <v>74</v>
      </c>
      <c r="BH652" t="s">
        <v>7524</v>
      </c>
      <c r="BI652">
        <v>7</v>
      </c>
      <c r="BJ652" t="s">
        <v>523</v>
      </c>
      <c r="BK652" t="s">
        <v>119</v>
      </c>
      <c r="BL652" t="s">
        <v>524</v>
      </c>
      <c r="BM652" t="s">
        <v>12459</v>
      </c>
      <c r="BN652">
        <v>37534823</v>
      </c>
      <c r="BO652" t="s">
        <v>74</v>
      </c>
      <c r="BP652" t="s">
        <v>74</v>
      </c>
      <c r="BQ652" t="s">
        <v>74</v>
      </c>
      <c r="BR652" t="s">
        <v>99</v>
      </c>
      <c r="BS652" t="s">
        <v>12460</v>
      </c>
      <c r="BT652" t="str">
        <f>HYPERLINK("https%3A%2F%2Fwww.webofscience.com%2Fwos%2Fwoscc%2Ffull-record%2FWOS:001045012500001","View Full Record in Web of Science")</f>
        <v>View Full Record in Web of Science</v>
      </c>
    </row>
    <row r="653" spans="1:72" x14ac:dyDescent="0.15">
      <c r="A653" t="s">
        <v>72</v>
      </c>
      <c r="B653" t="s">
        <v>12461</v>
      </c>
      <c r="C653" t="s">
        <v>74</v>
      </c>
      <c r="D653" t="s">
        <v>74</v>
      </c>
      <c r="E653" t="s">
        <v>74</v>
      </c>
      <c r="F653" t="s">
        <v>12462</v>
      </c>
      <c r="G653" t="s">
        <v>74</v>
      </c>
      <c r="H653" t="s">
        <v>74</v>
      </c>
      <c r="I653" t="s">
        <v>12463</v>
      </c>
      <c r="J653" t="s">
        <v>12464</v>
      </c>
      <c r="K653" t="s">
        <v>74</v>
      </c>
      <c r="L653" t="s">
        <v>74</v>
      </c>
      <c r="M653" t="s">
        <v>78</v>
      </c>
      <c r="N653" t="s">
        <v>338</v>
      </c>
      <c r="O653" t="s">
        <v>74</v>
      </c>
      <c r="P653" t="s">
        <v>74</v>
      </c>
      <c r="Q653" t="s">
        <v>74</v>
      </c>
      <c r="R653" t="s">
        <v>74</v>
      </c>
      <c r="S653" t="s">
        <v>74</v>
      </c>
      <c r="T653" t="s">
        <v>12465</v>
      </c>
      <c r="U653" t="s">
        <v>12466</v>
      </c>
      <c r="V653" t="s">
        <v>12467</v>
      </c>
      <c r="W653" t="s">
        <v>12468</v>
      </c>
      <c r="X653" t="s">
        <v>12469</v>
      </c>
      <c r="Y653" t="s">
        <v>12470</v>
      </c>
      <c r="Z653" t="s">
        <v>12471</v>
      </c>
      <c r="AA653" t="s">
        <v>12472</v>
      </c>
      <c r="AB653" t="s">
        <v>12473</v>
      </c>
      <c r="AC653" t="s">
        <v>12474</v>
      </c>
      <c r="AD653" t="s">
        <v>12475</v>
      </c>
      <c r="AE653" t="s">
        <v>12476</v>
      </c>
      <c r="AF653" t="s">
        <v>74</v>
      </c>
      <c r="AG653">
        <v>49</v>
      </c>
      <c r="AH653">
        <v>0</v>
      </c>
      <c r="AI653">
        <v>0</v>
      </c>
      <c r="AJ653">
        <v>1</v>
      </c>
      <c r="AK653">
        <v>1</v>
      </c>
      <c r="AL653" t="s">
        <v>87</v>
      </c>
      <c r="AM653" t="s">
        <v>88</v>
      </c>
      <c r="AN653" t="s">
        <v>89</v>
      </c>
      <c r="AO653" t="s">
        <v>12477</v>
      </c>
      <c r="AP653" t="s">
        <v>12478</v>
      </c>
      <c r="AQ653" t="s">
        <v>74</v>
      </c>
      <c r="AR653" t="s">
        <v>12464</v>
      </c>
      <c r="AS653" t="s">
        <v>12479</v>
      </c>
      <c r="AT653" t="s">
        <v>12430</v>
      </c>
      <c r="AU653">
        <v>2023</v>
      </c>
      <c r="AV653" t="s">
        <v>74</v>
      </c>
      <c r="AW653" t="s">
        <v>74</v>
      </c>
      <c r="AX653" t="s">
        <v>74</v>
      </c>
      <c r="AY653" t="s">
        <v>74</v>
      </c>
      <c r="AZ653" t="s">
        <v>74</v>
      </c>
      <c r="BA653" t="s">
        <v>74</v>
      </c>
      <c r="BB653" t="s">
        <v>74</v>
      </c>
      <c r="BC653" t="s">
        <v>74</v>
      </c>
      <c r="BD653" t="s">
        <v>74</v>
      </c>
      <c r="BE653" t="s">
        <v>12480</v>
      </c>
      <c r="BF653" t="str">
        <f>HYPERLINK("http://dx.doi.org/10.1002/net.22181","http://dx.doi.org/10.1002/net.22181")</f>
        <v>http://dx.doi.org/10.1002/net.22181</v>
      </c>
      <c r="BG653" t="s">
        <v>74</v>
      </c>
      <c r="BH653" t="s">
        <v>7524</v>
      </c>
      <c r="BI653">
        <v>20</v>
      </c>
      <c r="BJ653" t="s">
        <v>12481</v>
      </c>
      <c r="BK653" t="s">
        <v>119</v>
      </c>
      <c r="BL653" t="s">
        <v>12482</v>
      </c>
      <c r="BM653" t="s">
        <v>12483</v>
      </c>
      <c r="BN653" t="s">
        <v>74</v>
      </c>
      <c r="BO653" t="s">
        <v>74</v>
      </c>
      <c r="BP653" t="s">
        <v>74</v>
      </c>
      <c r="BQ653" t="s">
        <v>74</v>
      </c>
      <c r="BR653" t="s">
        <v>99</v>
      </c>
      <c r="BS653" t="s">
        <v>12484</v>
      </c>
      <c r="BT653" t="str">
        <f>HYPERLINK("https%3A%2F%2Fwww.webofscience.com%2Fwos%2Fwoscc%2Ffull-record%2FWOS:001045441400001","View Full Record in Web of Science")</f>
        <v>View Full Record in Web of Science</v>
      </c>
    </row>
    <row r="654" spans="1:72" x14ac:dyDescent="0.15">
      <c r="A654" t="s">
        <v>72</v>
      </c>
      <c r="B654" t="s">
        <v>12485</v>
      </c>
      <c r="C654" t="s">
        <v>74</v>
      </c>
      <c r="D654" t="s">
        <v>74</v>
      </c>
      <c r="E654" t="s">
        <v>74</v>
      </c>
      <c r="F654" t="s">
        <v>12486</v>
      </c>
      <c r="G654" t="s">
        <v>74</v>
      </c>
      <c r="H654" t="s">
        <v>74</v>
      </c>
      <c r="I654" t="s">
        <v>12487</v>
      </c>
      <c r="J654" t="s">
        <v>1001</v>
      </c>
      <c r="K654" t="s">
        <v>74</v>
      </c>
      <c r="L654" t="s">
        <v>74</v>
      </c>
      <c r="M654" t="s">
        <v>78</v>
      </c>
      <c r="N654" t="s">
        <v>338</v>
      </c>
      <c r="O654" t="s">
        <v>74</v>
      </c>
      <c r="P654" t="s">
        <v>74</v>
      </c>
      <c r="Q654" t="s">
        <v>74</v>
      </c>
      <c r="R654" t="s">
        <v>74</v>
      </c>
      <c r="S654" t="s">
        <v>74</v>
      </c>
      <c r="T654" t="s">
        <v>12488</v>
      </c>
      <c r="U654" t="s">
        <v>12489</v>
      </c>
      <c r="V654" t="s">
        <v>12490</v>
      </c>
      <c r="W654" t="s">
        <v>12491</v>
      </c>
      <c r="X654" t="s">
        <v>12492</v>
      </c>
      <c r="Y654" t="s">
        <v>12493</v>
      </c>
      <c r="Z654" t="s">
        <v>12494</v>
      </c>
      <c r="AA654" t="s">
        <v>12495</v>
      </c>
      <c r="AB654" t="s">
        <v>12496</v>
      </c>
      <c r="AC654" t="s">
        <v>12497</v>
      </c>
      <c r="AD654" t="s">
        <v>12498</v>
      </c>
      <c r="AE654" t="s">
        <v>12499</v>
      </c>
      <c r="AF654" t="s">
        <v>74</v>
      </c>
      <c r="AG654">
        <v>25</v>
      </c>
      <c r="AH654">
        <v>0</v>
      </c>
      <c r="AI654">
        <v>0</v>
      </c>
      <c r="AJ654">
        <v>10</v>
      </c>
      <c r="AK654">
        <v>10</v>
      </c>
      <c r="AL654" t="s">
        <v>426</v>
      </c>
      <c r="AM654" t="s">
        <v>427</v>
      </c>
      <c r="AN654" t="s">
        <v>428</v>
      </c>
      <c r="AO654" t="s">
        <v>1014</v>
      </c>
      <c r="AP654" t="s">
        <v>1015</v>
      </c>
      <c r="AQ654" t="s">
        <v>74</v>
      </c>
      <c r="AR654" t="s">
        <v>1016</v>
      </c>
      <c r="AS654" t="s">
        <v>1017</v>
      </c>
      <c r="AT654" t="s">
        <v>12430</v>
      </c>
      <c r="AU654">
        <v>2023</v>
      </c>
      <c r="AV654" t="s">
        <v>74</v>
      </c>
      <c r="AW654" t="s">
        <v>74</v>
      </c>
      <c r="AX654" t="s">
        <v>74</v>
      </c>
      <c r="AY654" t="s">
        <v>74</v>
      </c>
      <c r="AZ654" t="s">
        <v>74</v>
      </c>
      <c r="BA654" t="s">
        <v>74</v>
      </c>
      <c r="BB654" t="s">
        <v>74</v>
      </c>
      <c r="BC654" t="s">
        <v>74</v>
      </c>
      <c r="BD654" t="s">
        <v>74</v>
      </c>
      <c r="BE654" t="s">
        <v>12500</v>
      </c>
      <c r="BF654" t="str">
        <f>HYPERLINK("http://dx.doi.org/10.1002/anie.202308853","http://dx.doi.org/10.1002/anie.202308853")</f>
        <v>http://dx.doi.org/10.1002/anie.202308853</v>
      </c>
      <c r="BG654" t="s">
        <v>74</v>
      </c>
      <c r="BH654" t="s">
        <v>7524</v>
      </c>
      <c r="BI654">
        <v>11</v>
      </c>
      <c r="BJ654" t="s">
        <v>523</v>
      </c>
      <c r="BK654" t="s">
        <v>119</v>
      </c>
      <c r="BL654" t="s">
        <v>524</v>
      </c>
      <c r="BM654" t="s">
        <v>12501</v>
      </c>
      <c r="BN654">
        <v>37503554</v>
      </c>
      <c r="BO654" t="s">
        <v>74</v>
      </c>
      <c r="BP654" t="s">
        <v>74</v>
      </c>
      <c r="BQ654" t="s">
        <v>74</v>
      </c>
      <c r="BR654" t="s">
        <v>99</v>
      </c>
      <c r="BS654" t="s">
        <v>12502</v>
      </c>
      <c r="BT654" t="str">
        <f>HYPERLINK("https%3A%2F%2Fwww.webofscience.com%2Fwos%2Fwoscc%2Ffull-record%2FWOS:001045015500001","View Full Record in Web of Science")</f>
        <v>View Full Record in Web of Science</v>
      </c>
    </row>
    <row r="655" spans="1:72" x14ac:dyDescent="0.15">
      <c r="A655" t="s">
        <v>72</v>
      </c>
      <c r="B655" t="s">
        <v>12503</v>
      </c>
      <c r="C655" t="s">
        <v>74</v>
      </c>
      <c r="D655" t="s">
        <v>74</v>
      </c>
      <c r="E655" t="s">
        <v>74</v>
      </c>
      <c r="F655" t="s">
        <v>12504</v>
      </c>
      <c r="G655" t="s">
        <v>74</v>
      </c>
      <c r="H655" t="s">
        <v>74</v>
      </c>
      <c r="I655" t="s">
        <v>12505</v>
      </c>
      <c r="J655" t="s">
        <v>12506</v>
      </c>
      <c r="K655" t="s">
        <v>74</v>
      </c>
      <c r="L655" t="s">
        <v>74</v>
      </c>
      <c r="M655" t="s">
        <v>78</v>
      </c>
      <c r="N655" t="s">
        <v>338</v>
      </c>
      <c r="O655" t="s">
        <v>74</v>
      </c>
      <c r="P655" t="s">
        <v>74</v>
      </c>
      <c r="Q655" t="s">
        <v>74</v>
      </c>
      <c r="R655" t="s">
        <v>74</v>
      </c>
      <c r="S655" t="s">
        <v>74</v>
      </c>
      <c r="T655" t="s">
        <v>12507</v>
      </c>
      <c r="U655" t="s">
        <v>12508</v>
      </c>
      <c r="V655" t="s">
        <v>12509</v>
      </c>
      <c r="W655" t="s">
        <v>12510</v>
      </c>
      <c r="X655" t="s">
        <v>12511</v>
      </c>
      <c r="Y655" t="s">
        <v>12512</v>
      </c>
      <c r="Z655" t="s">
        <v>12513</v>
      </c>
      <c r="AA655" t="s">
        <v>74</v>
      </c>
      <c r="AB655" t="s">
        <v>74</v>
      </c>
      <c r="AC655" t="s">
        <v>12514</v>
      </c>
      <c r="AD655" t="s">
        <v>3742</v>
      </c>
      <c r="AE655" t="s">
        <v>12515</v>
      </c>
      <c r="AF655" t="s">
        <v>74</v>
      </c>
      <c r="AG655">
        <v>45</v>
      </c>
      <c r="AH655">
        <v>0</v>
      </c>
      <c r="AI655">
        <v>0</v>
      </c>
      <c r="AJ655">
        <v>8</v>
      </c>
      <c r="AK655">
        <v>8</v>
      </c>
      <c r="AL655" t="s">
        <v>87</v>
      </c>
      <c r="AM655" t="s">
        <v>88</v>
      </c>
      <c r="AN655" t="s">
        <v>89</v>
      </c>
      <c r="AO655" t="s">
        <v>12516</v>
      </c>
      <c r="AP655" t="s">
        <v>12517</v>
      </c>
      <c r="AQ655" t="s">
        <v>74</v>
      </c>
      <c r="AR655" t="s">
        <v>12518</v>
      </c>
      <c r="AS655" t="s">
        <v>12519</v>
      </c>
      <c r="AT655" t="s">
        <v>12430</v>
      </c>
      <c r="AU655">
        <v>2023</v>
      </c>
      <c r="AV655" t="s">
        <v>74</v>
      </c>
      <c r="AW655" t="s">
        <v>74</v>
      </c>
      <c r="AX655" t="s">
        <v>74</v>
      </c>
      <c r="AY655" t="s">
        <v>74</v>
      </c>
      <c r="AZ655" t="s">
        <v>74</v>
      </c>
      <c r="BA655" t="s">
        <v>74</v>
      </c>
      <c r="BB655" t="s">
        <v>74</v>
      </c>
      <c r="BC655" t="s">
        <v>74</v>
      </c>
      <c r="BD655" t="s">
        <v>74</v>
      </c>
      <c r="BE655" t="s">
        <v>12520</v>
      </c>
      <c r="BF655" t="str">
        <f>HYPERLINK("http://dx.doi.org/10.1002/jcb.30454","http://dx.doi.org/10.1002/jcb.30454")</f>
        <v>http://dx.doi.org/10.1002/jcb.30454</v>
      </c>
      <c r="BG655" t="s">
        <v>74</v>
      </c>
      <c r="BH655" t="s">
        <v>7524</v>
      </c>
      <c r="BI655">
        <v>13</v>
      </c>
      <c r="BJ655" t="s">
        <v>6211</v>
      </c>
      <c r="BK655" t="s">
        <v>119</v>
      </c>
      <c r="BL655" t="s">
        <v>6211</v>
      </c>
      <c r="BM655" t="s">
        <v>12521</v>
      </c>
      <c r="BN655">
        <v>37565651</v>
      </c>
      <c r="BO655" t="s">
        <v>74</v>
      </c>
      <c r="BP655" t="s">
        <v>74</v>
      </c>
      <c r="BQ655" t="s">
        <v>74</v>
      </c>
      <c r="BR655" t="s">
        <v>99</v>
      </c>
      <c r="BS655" t="s">
        <v>12522</v>
      </c>
      <c r="BT655" t="str">
        <f>HYPERLINK("https%3A%2F%2Fwww.webofscience.com%2Fwos%2Fwoscc%2Ffull-record%2FWOS:001044501100001","View Full Record in Web of Science")</f>
        <v>View Full Record in Web of Science</v>
      </c>
    </row>
    <row r="656" spans="1:72" x14ac:dyDescent="0.15">
      <c r="A656" t="s">
        <v>72</v>
      </c>
      <c r="B656" t="s">
        <v>12523</v>
      </c>
      <c r="C656" t="s">
        <v>74</v>
      </c>
      <c r="D656" t="s">
        <v>74</v>
      </c>
      <c r="E656" t="s">
        <v>74</v>
      </c>
      <c r="F656" t="s">
        <v>12524</v>
      </c>
      <c r="G656" t="s">
        <v>74</v>
      </c>
      <c r="H656" t="s">
        <v>74</v>
      </c>
      <c r="I656" t="s">
        <v>12525</v>
      </c>
      <c r="J656" t="s">
        <v>4850</v>
      </c>
      <c r="K656" t="s">
        <v>74</v>
      </c>
      <c r="L656" t="s">
        <v>74</v>
      </c>
      <c r="M656" t="s">
        <v>78</v>
      </c>
      <c r="N656" t="s">
        <v>338</v>
      </c>
      <c r="O656" t="s">
        <v>74</v>
      </c>
      <c r="P656" t="s">
        <v>74</v>
      </c>
      <c r="Q656" t="s">
        <v>74</v>
      </c>
      <c r="R656" t="s">
        <v>74</v>
      </c>
      <c r="S656" t="s">
        <v>74</v>
      </c>
      <c r="T656" t="s">
        <v>12526</v>
      </c>
      <c r="U656" t="s">
        <v>12527</v>
      </c>
      <c r="V656" t="s">
        <v>12528</v>
      </c>
      <c r="W656" t="s">
        <v>12529</v>
      </c>
      <c r="X656" t="s">
        <v>12530</v>
      </c>
      <c r="Y656" t="s">
        <v>12531</v>
      </c>
      <c r="Z656" t="s">
        <v>12532</v>
      </c>
      <c r="AA656" t="s">
        <v>74</v>
      </c>
      <c r="AB656" t="s">
        <v>12533</v>
      </c>
      <c r="AC656" t="s">
        <v>12534</v>
      </c>
      <c r="AD656" t="s">
        <v>12535</v>
      </c>
      <c r="AE656" t="s">
        <v>12536</v>
      </c>
      <c r="AF656" t="s">
        <v>74</v>
      </c>
      <c r="AG656">
        <v>36</v>
      </c>
      <c r="AH656">
        <v>0</v>
      </c>
      <c r="AI656">
        <v>0</v>
      </c>
      <c r="AJ656">
        <v>7</v>
      </c>
      <c r="AK656">
        <v>7</v>
      </c>
      <c r="AL656" t="s">
        <v>426</v>
      </c>
      <c r="AM656" t="s">
        <v>427</v>
      </c>
      <c r="AN656" t="s">
        <v>428</v>
      </c>
      <c r="AO656" t="s">
        <v>4860</v>
      </c>
      <c r="AP656" t="s">
        <v>4861</v>
      </c>
      <c r="AQ656" t="s">
        <v>74</v>
      </c>
      <c r="AR656" t="s">
        <v>4862</v>
      </c>
      <c r="AS656" t="s">
        <v>4863</v>
      </c>
      <c r="AT656" t="s">
        <v>12430</v>
      </c>
      <c r="AU656">
        <v>2023</v>
      </c>
      <c r="AV656" t="s">
        <v>74</v>
      </c>
      <c r="AW656" t="s">
        <v>74</v>
      </c>
      <c r="AX656" t="s">
        <v>74</v>
      </c>
      <c r="AY656" t="s">
        <v>74</v>
      </c>
      <c r="AZ656" t="s">
        <v>74</v>
      </c>
      <c r="BA656" t="s">
        <v>74</v>
      </c>
      <c r="BB656" t="s">
        <v>74</v>
      </c>
      <c r="BC656" t="s">
        <v>74</v>
      </c>
      <c r="BD656" t="s">
        <v>74</v>
      </c>
      <c r="BE656" t="s">
        <v>12537</v>
      </c>
      <c r="BF656" t="str">
        <f>HYPERLINK("http://dx.doi.org/10.1002/asia.202300480","http://dx.doi.org/10.1002/asia.202300480")</f>
        <v>http://dx.doi.org/10.1002/asia.202300480</v>
      </c>
      <c r="BG656" t="s">
        <v>74</v>
      </c>
      <c r="BH656" t="s">
        <v>7524</v>
      </c>
      <c r="BI656">
        <v>6</v>
      </c>
      <c r="BJ656" t="s">
        <v>523</v>
      </c>
      <c r="BK656" t="s">
        <v>119</v>
      </c>
      <c r="BL656" t="s">
        <v>524</v>
      </c>
      <c r="BM656" t="s">
        <v>12538</v>
      </c>
      <c r="BN656">
        <v>37370258</v>
      </c>
      <c r="BO656" t="s">
        <v>74</v>
      </c>
      <c r="BP656" t="s">
        <v>74</v>
      </c>
      <c r="BQ656" t="s">
        <v>74</v>
      </c>
      <c r="BR656" t="s">
        <v>99</v>
      </c>
      <c r="BS656" t="s">
        <v>12539</v>
      </c>
      <c r="BT656" t="str">
        <f>HYPERLINK("https%3A%2F%2Fwww.webofscience.com%2Fwos%2Fwoscc%2Ffull-record%2FWOS:001044936500001","View Full Record in Web of Science")</f>
        <v>View Full Record in Web of Science</v>
      </c>
    </row>
    <row r="657" spans="1:72" x14ac:dyDescent="0.15">
      <c r="A657" t="s">
        <v>72</v>
      </c>
      <c r="B657" t="s">
        <v>12540</v>
      </c>
      <c r="C657" t="s">
        <v>74</v>
      </c>
      <c r="D657" t="s">
        <v>74</v>
      </c>
      <c r="E657" t="s">
        <v>74</v>
      </c>
      <c r="F657" t="s">
        <v>12541</v>
      </c>
      <c r="G657" t="s">
        <v>74</v>
      </c>
      <c r="H657" t="s">
        <v>74</v>
      </c>
      <c r="I657" t="s">
        <v>12542</v>
      </c>
      <c r="J657" t="s">
        <v>12543</v>
      </c>
      <c r="K657" t="s">
        <v>74</v>
      </c>
      <c r="L657" t="s">
        <v>74</v>
      </c>
      <c r="M657" t="s">
        <v>78</v>
      </c>
      <c r="N657" t="s">
        <v>338</v>
      </c>
      <c r="O657" t="s">
        <v>74</v>
      </c>
      <c r="P657" t="s">
        <v>74</v>
      </c>
      <c r="Q657" t="s">
        <v>74</v>
      </c>
      <c r="R657" t="s">
        <v>74</v>
      </c>
      <c r="S657" t="s">
        <v>74</v>
      </c>
      <c r="T657" t="s">
        <v>74</v>
      </c>
      <c r="U657" t="s">
        <v>12544</v>
      </c>
      <c r="V657" t="s">
        <v>12545</v>
      </c>
      <c r="W657" t="s">
        <v>12546</v>
      </c>
      <c r="X657" t="s">
        <v>12547</v>
      </c>
      <c r="Y657" t="s">
        <v>12548</v>
      </c>
      <c r="Z657" t="s">
        <v>12549</v>
      </c>
      <c r="AA657" t="s">
        <v>12550</v>
      </c>
      <c r="AB657" t="s">
        <v>12551</v>
      </c>
      <c r="AC657" t="s">
        <v>12552</v>
      </c>
      <c r="AD657" t="s">
        <v>12553</v>
      </c>
      <c r="AE657" t="s">
        <v>12554</v>
      </c>
      <c r="AF657" t="s">
        <v>74</v>
      </c>
      <c r="AG657">
        <v>47</v>
      </c>
      <c r="AH657">
        <v>0</v>
      </c>
      <c r="AI657">
        <v>0</v>
      </c>
      <c r="AJ657">
        <v>10</v>
      </c>
      <c r="AK657">
        <v>10</v>
      </c>
      <c r="AL657" t="s">
        <v>1100</v>
      </c>
      <c r="AM657" t="s">
        <v>1101</v>
      </c>
      <c r="AN657" t="s">
        <v>1102</v>
      </c>
      <c r="AO657" t="s">
        <v>12555</v>
      </c>
      <c r="AP657" t="s">
        <v>12556</v>
      </c>
      <c r="AQ657" t="s">
        <v>74</v>
      </c>
      <c r="AR657" t="s">
        <v>12557</v>
      </c>
      <c r="AS657" t="s">
        <v>12558</v>
      </c>
      <c r="AT657" t="s">
        <v>12430</v>
      </c>
      <c r="AU657">
        <v>2023</v>
      </c>
      <c r="AV657" t="s">
        <v>74</v>
      </c>
      <c r="AW657" t="s">
        <v>74</v>
      </c>
      <c r="AX657" t="s">
        <v>74</v>
      </c>
      <c r="AY657" t="s">
        <v>74</v>
      </c>
      <c r="AZ657" t="s">
        <v>74</v>
      </c>
      <c r="BA657" t="s">
        <v>74</v>
      </c>
      <c r="BB657" t="s">
        <v>74</v>
      </c>
      <c r="BC657" t="s">
        <v>74</v>
      </c>
      <c r="BD657" t="s">
        <v>74</v>
      </c>
      <c r="BE657" t="s">
        <v>12559</v>
      </c>
      <c r="BF657" t="str">
        <f>HYPERLINK("http://dx.doi.org/10.1002/mde.3969","http://dx.doi.org/10.1002/mde.3969")</f>
        <v>http://dx.doi.org/10.1002/mde.3969</v>
      </c>
      <c r="BG657" t="s">
        <v>74</v>
      </c>
      <c r="BH657" t="s">
        <v>7524</v>
      </c>
      <c r="BI657">
        <v>15</v>
      </c>
      <c r="BJ657" t="s">
        <v>12560</v>
      </c>
      <c r="BK657" t="s">
        <v>546</v>
      </c>
      <c r="BL657" t="s">
        <v>547</v>
      </c>
      <c r="BM657" t="s">
        <v>12561</v>
      </c>
      <c r="BN657" t="s">
        <v>74</v>
      </c>
      <c r="BO657" t="s">
        <v>301</v>
      </c>
      <c r="BP657" t="s">
        <v>74</v>
      </c>
      <c r="BQ657" t="s">
        <v>74</v>
      </c>
      <c r="BR657" t="s">
        <v>99</v>
      </c>
      <c r="BS657" t="s">
        <v>12562</v>
      </c>
      <c r="BT657" t="str">
        <f>HYPERLINK("https%3A%2F%2Fwww.webofscience.com%2Fwos%2Fwoscc%2Ffull-record%2FWOS:001045299400001","View Full Record in Web of Science")</f>
        <v>View Full Record in Web of Science</v>
      </c>
    </row>
    <row r="658" spans="1:72" x14ac:dyDescent="0.15">
      <c r="A658" t="s">
        <v>72</v>
      </c>
      <c r="B658" t="s">
        <v>12563</v>
      </c>
      <c r="C658" t="s">
        <v>74</v>
      </c>
      <c r="D658" t="s">
        <v>74</v>
      </c>
      <c r="E658" t="s">
        <v>74</v>
      </c>
      <c r="F658" t="s">
        <v>12564</v>
      </c>
      <c r="G658" t="s">
        <v>74</v>
      </c>
      <c r="H658" t="s">
        <v>74</v>
      </c>
      <c r="I658" t="s">
        <v>12565</v>
      </c>
      <c r="J658" t="s">
        <v>12566</v>
      </c>
      <c r="K658" t="s">
        <v>74</v>
      </c>
      <c r="L658" t="s">
        <v>74</v>
      </c>
      <c r="M658" t="s">
        <v>78</v>
      </c>
      <c r="N658" t="s">
        <v>338</v>
      </c>
      <c r="O658" t="s">
        <v>74</v>
      </c>
      <c r="P658" t="s">
        <v>74</v>
      </c>
      <c r="Q658" t="s">
        <v>74</v>
      </c>
      <c r="R658" t="s">
        <v>74</v>
      </c>
      <c r="S658" t="s">
        <v>74</v>
      </c>
      <c r="T658" t="s">
        <v>12567</v>
      </c>
      <c r="U658" t="s">
        <v>12568</v>
      </c>
      <c r="V658" t="s">
        <v>12569</v>
      </c>
      <c r="W658" t="s">
        <v>12570</v>
      </c>
      <c r="X658" t="s">
        <v>8021</v>
      </c>
      <c r="Y658" t="s">
        <v>12571</v>
      </c>
      <c r="Z658" t="s">
        <v>12572</v>
      </c>
      <c r="AA658" t="s">
        <v>74</v>
      </c>
      <c r="AB658" t="s">
        <v>74</v>
      </c>
      <c r="AC658" t="s">
        <v>12573</v>
      </c>
      <c r="AD658" t="s">
        <v>12574</v>
      </c>
      <c r="AE658" t="s">
        <v>12575</v>
      </c>
      <c r="AF658" t="s">
        <v>74</v>
      </c>
      <c r="AG658">
        <v>40</v>
      </c>
      <c r="AH658">
        <v>0</v>
      </c>
      <c r="AI658">
        <v>0</v>
      </c>
      <c r="AJ658">
        <v>2</v>
      </c>
      <c r="AK658">
        <v>2</v>
      </c>
      <c r="AL658" t="s">
        <v>87</v>
      </c>
      <c r="AM658" t="s">
        <v>88</v>
      </c>
      <c r="AN658" t="s">
        <v>89</v>
      </c>
      <c r="AO658" t="s">
        <v>12576</v>
      </c>
      <c r="AP658" t="s">
        <v>12577</v>
      </c>
      <c r="AQ658" t="s">
        <v>74</v>
      </c>
      <c r="AR658" t="s">
        <v>12578</v>
      </c>
      <c r="AS658" t="s">
        <v>12579</v>
      </c>
      <c r="AT658" t="s">
        <v>12430</v>
      </c>
      <c r="AU658">
        <v>2023</v>
      </c>
      <c r="AV658" t="s">
        <v>74</v>
      </c>
      <c r="AW658" t="s">
        <v>74</v>
      </c>
      <c r="AX658" t="s">
        <v>74</v>
      </c>
      <c r="AY658" t="s">
        <v>74</v>
      </c>
      <c r="AZ658" t="s">
        <v>74</v>
      </c>
      <c r="BA658" t="s">
        <v>74</v>
      </c>
      <c r="BB658" t="s">
        <v>74</v>
      </c>
      <c r="BC658" t="s">
        <v>74</v>
      </c>
      <c r="BD658" t="s">
        <v>74</v>
      </c>
      <c r="BE658" t="s">
        <v>12580</v>
      </c>
      <c r="BF658" t="str">
        <f>HYPERLINK("http://dx.doi.org/10.1002/hed.27479","http://dx.doi.org/10.1002/hed.27479")</f>
        <v>http://dx.doi.org/10.1002/hed.27479</v>
      </c>
      <c r="BG658" t="s">
        <v>74</v>
      </c>
      <c r="BH658" t="s">
        <v>7524</v>
      </c>
      <c r="BI658">
        <v>16</v>
      </c>
      <c r="BJ658" t="s">
        <v>3710</v>
      </c>
      <c r="BK658" t="s">
        <v>119</v>
      </c>
      <c r="BL658" t="s">
        <v>3710</v>
      </c>
      <c r="BM658" t="s">
        <v>12581</v>
      </c>
      <c r="BN658">
        <v>37565367</v>
      </c>
      <c r="BO658" t="s">
        <v>74</v>
      </c>
      <c r="BP658" t="s">
        <v>74</v>
      </c>
      <c r="BQ658" t="s">
        <v>74</v>
      </c>
      <c r="BR658" t="s">
        <v>99</v>
      </c>
      <c r="BS658" t="s">
        <v>12582</v>
      </c>
      <c r="BT658" t="str">
        <f>HYPERLINK("https%3A%2F%2Fwww.webofscience.com%2Fwos%2Fwoscc%2Ffull-record%2FWOS:001044420900001","View Full Record in Web of Science")</f>
        <v>View Full Record in Web of Science</v>
      </c>
    </row>
    <row r="659" spans="1:72" x14ac:dyDescent="0.15">
      <c r="A659" t="s">
        <v>72</v>
      </c>
      <c r="B659" t="s">
        <v>12583</v>
      </c>
      <c r="C659" t="s">
        <v>74</v>
      </c>
      <c r="D659" t="s">
        <v>74</v>
      </c>
      <c r="E659" t="s">
        <v>74</v>
      </c>
      <c r="F659" t="s">
        <v>12584</v>
      </c>
      <c r="G659" t="s">
        <v>74</v>
      </c>
      <c r="H659" t="s">
        <v>74</v>
      </c>
      <c r="I659" t="s">
        <v>12585</v>
      </c>
      <c r="J659" t="s">
        <v>12586</v>
      </c>
      <c r="K659" t="s">
        <v>74</v>
      </c>
      <c r="L659" t="s">
        <v>74</v>
      </c>
      <c r="M659" t="s">
        <v>78</v>
      </c>
      <c r="N659" t="s">
        <v>2154</v>
      </c>
      <c r="O659" t="s">
        <v>74</v>
      </c>
      <c r="P659" t="s">
        <v>74</v>
      </c>
      <c r="Q659" t="s">
        <v>74</v>
      </c>
      <c r="R659" t="s">
        <v>74</v>
      </c>
      <c r="S659" t="s">
        <v>74</v>
      </c>
      <c r="T659" t="s">
        <v>12587</v>
      </c>
      <c r="U659" t="s">
        <v>74</v>
      </c>
      <c r="V659" t="s">
        <v>12588</v>
      </c>
      <c r="W659" t="s">
        <v>12589</v>
      </c>
      <c r="X659" t="s">
        <v>12590</v>
      </c>
      <c r="Y659" t="s">
        <v>12591</v>
      </c>
      <c r="Z659" t="s">
        <v>12592</v>
      </c>
      <c r="AA659" t="s">
        <v>74</v>
      </c>
      <c r="AB659" t="s">
        <v>74</v>
      </c>
      <c r="AC659" t="s">
        <v>74</v>
      </c>
      <c r="AD659" t="s">
        <v>74</v>
      </c>
      <c r="AE659" t="s">
        <v>74</v>
      </c>
      <c r="AF659" t="s">
        <v>74</v>
      </c>
      <c r="AG659">
        <v>2</v>
      </c>
      <c r="AH659">
        <v>0</v>
      </c>
      <c r="AI659">
        <v>0</v>
      </c>
      <c r="AJ659">
        <v>0</v>
      </c>
      <c r="AK659">
        <v>0</v>
      </c>
      <c r="AL659" t="s">
        <v>87</v>
      </c>
      <c r="AM659" t="s">
        <v>88</v>
      </c>
      <c r="AN659" t="s">
        <v>89</v>
      </c>
      <c r="AO659" t="s">
        <v>12593</v>
      </c>
      <c r="AP659" t="s">
        <v>12594</v>
      </c>
      <c r="AQ659" t="s">
        <v>74</v>
      </c>
      <c r="AR659" t="s">
        <v>12595</v>
      </c>
      <c r="AS659" t="s">
        <v>12596</v>
      </c>
      <c r="AT659" t="s">
        <v>12430</v>
      </c>
      <c r="AU659">
        <v>2023</v>
      </c>
      <c r="AV659" t="s">
        <v>74</v>
      </c>
      <c r="AW659" t="s">
        <v>74</v>
      </c>
      <c r="AX659" t="s">
        <v>74</v>
      </c>
      <c r="AY659" t="s">
        <v>74</v>
      </c>
      <c r="AZ659" t="s">
        <v>74</v>
      </c>
      <c r="BA659" t="s">
        <v>74</v>
      </c>
      <c r="BB659" t="s">
        <v>74</v>
      </c>
      <c r="BC659" t="s">
        <v>74</v>
      </c>
      <c r="BD659" t="s">
        <v>74</v>
      </c>
      <c r="BE659" t="s">
        <v>12597</v>
      </c>
      <c r="BF659" t="str">
        <f>HYPERLINK("http://dx.doi.org/10.1002/jca.22075","http://dx.doi.org/10.1002/jca.22075")</f>
        <v>http://dx.doi.org/10.1002/jca.22075</v>
      </c>
      <c r="BG659" t="s">
        <v>74</v>
      </c>
      <c r="BH659" t="s">
        <v>7524</v>
      </c>
      <c r="BI659">
        <v>3</v>
      </c>
      <c r="BJ659" t="s">
        <v>1625</v>
      </c>
      <c r="BK659" t="s">
        <v>119</v>
      </c>
      <c r="BL659" t="s">
        <v>1625</v>
      </c>
      <c r="BM659" t="s">
        <v>12598</v>
      </c>
      <c r="BN659">
        <v>37559507</v>
      </c>
      <c r="BO659" t="s">
        <v>301</v>
      </c>
      <c r="BP659" t="s">
        <v>74</v>
      </c>
      <c r="BQ659" t="s">
        <v>74</v>
      </c>
      <c r="BR659" t="s">
        <v>99</v>
      </c>
      <c r="BS659" t="s">
        <v>12599</v>
      </c>
      <c r="BT659" t="str">
        <f>HYPERLINK("https%3A%2F%2Fwww.webofscience.com%2Fwos%2Fwoscc%2Ffull-record%2FWOS:001044186800001","View Full Record in Web of Science")</f>
        <v>View Full Record in Web of Science</v>
      </c>
    </row>
    <row r="660" spans="1:72" x14ac:dyDescent="0.15">
      <c r="A660" t="s">
        <v>72</v>
      </c>
      <c r="B660" t="s">
        <v>12600</v>
      </c>
      <c r="C660" t="s">
        <v>74</v>
      </c>
      <c r="D660" t="s">
        <v>74</v>
      </c>
      <c r="E660" t="s">
        <v>74</v>
      </c>
      <c r="F660" t="s">
        <v>12601</v>
      </c>
      <c r="G660" t="s">
        <v>74</v>
      </c>
      <c r="H660" t="s">
        <v>74</v>
      </c>
      <c r="I660" t="s">
        <v>12602</v>
      </c>
      <c r="J660" t="s">
        <v>593</v>
      </c>
      <c r="K660" t="s">
        <v>74</v>
      </c>
      <c r="L660" t="s">
        <v>74</v>
      </c>
      <c r="M660" t="s">
        <v>78</v>
      </c>
      <c r="N660" t="s">
        <v>338</v>
      </c>
      <c r="O660" t="s">
        <v>74</v>
      </c>
      <c r="P660" t="s">
        <v>74</v>
      </c>
      <c r="Q660" t="s">
        <v>74</v>
      </c>
      <c r="R660" t="s">
        <v>74</v>
      </c>
      <c r="S660" t="s">
        <v>74</v>
      </c>
      <c r="T660" t="s">
        <v>12603</v>
      </c>
      <c r="U660" t="s">
        <v>12604</v>
      </c>
      <c r="V660" t="s">
        <v>12605</v>
      </c>
      <c r="W660" t="s">
        <v>12606</v>
      </c>
      <c r="X660" t="s">
        <v>12607</v>
      </c>
      <c r="Y660" t="s">
        <v>12608</v>
      </c>
      <c r="Z660" t="s">
        <v>12609</v>
      </c>
      <c r="AA660" t="s">
        <v>74</v>
      </c>
      <c r="AB660" t="s">
        <v>12610</v>
      </c>
      <c r="AC660" t="s">
        <v>12611</v>
      </c>
      <c r="AD660" t="s">
        <v>3742</v>
      </c>
      <c r="AE660" t="s">
        <v>12612</v>
      </c>
      <c r="AF660" t="s">
        <v>74</v>
      </c>
      <c r="AG660">
        <v>40</v>
      </c>
      <c r="AH660">
        <v>0</v>
      </c>
      <c r="AI660">
        <v>0</v>
      </c>
      <c r="AJ660">
        <v>11</v>
      </c>
      <c r="AK660">
        <v>11</v>
      </c>
      <c r="AL660" t="s">
        <v>426</v>
      </c>
      <c r="AM660" t="s">
        <v>427</v>
      </c>
      <c r="AN660" t="s">
        <v>428</v>
      </c>
      <c r="AO660" t="s">
        <v>605</v>
      </c>
      <c r="AP660" t="s">
        <v>606</v>
      </c>
      <c r="AQ660" t="s">
        <v>74</v>
      </c>
      <c r="AR660" t="s">
        <v>593</v>
      </c>
      <c r="AS660" t="s">
        <v>607</v>
      </c>
      <c r="AT660" t="s">
        <v>12430</v>
      </c>
      <c r="AU660">
        <v>2023</v>
      </c>
      <c r="AV660" t="s">
        <v>74</v>
      </c>
      <c r="AW660" t="s">
        <v>74</v>
      </c>
      <c r="AX660" t="s">
        <v>74</v>
      </c>
      <c r="AY660" t="s">
        <v>74</v>
      </c>
      <c r="AZ660" t="s">
        <v>74</v>
      </c>
      <c r="BA660" t="s">
        <v>74</v>
      </c>
      <c r="BB660" t="s">
        <v>74</v>
      </c>
      <c r="BC660" t="s">
        <v>74</v>
      </c>
      <c r="BD660" t="s">
        <v>74</v>
      </c>
      <c r="BE660" t="s">
        <v>12613</v>
      </c>
      <c r="BF660" t="str">
        <f>HYPERLINK("http://dx.doi.org/10.1002/smll.202304644","http://dx.doi.org/10.1002/smll.202304644")</f>
        <v>http://dx.doi.org/10.1002/smll.202304644</v>
      </c>
      <c r="BG660" t="s">
        <v>74</v>
      </c>
      <c r="BH660" t="s">
        <v>7524</v>
      </c>
      <c r="BI660">
        <v>11</v>
      </c>
      <c r="BJ660" t="s">
        <v>609</v>
      </c>
      <c r="BK660" t="s">
        <v>119</v>
      </c>
      <c r="BL660" t="s">
        <v>610</v>
      </c>
      <c r="BM660" t="s">
        <v>12614</v>
      </c>
      <c r="BN660">
        <v>37563823</v>
      </c>
      <c r="BO660" t="s">
        <v>301</v>
      </c>
      <c r="BP660" t="s">
        <v>74</v>
      </c>
      <c r="BQ660" t="s">
        <v>74</v>
      </c>
      <c r="BR660" t="s">
        <v>99</v>
      </c>
      <c r="BS660" t="s">
        <v>12615</v>
      </c>
      <c r="BT660" t="str">
        <f>HYPERLINK("https%3A%2F%2Fwww.webofscience.com%2Fwos%2Fwoscc%2Ffull-record%2FWOS:001044883900001","View Full Record in Web of Science")</f>
        <v>View Full Record in Web of Science</v>
      </c>
    </row>
    <row r="661" spans="1:72" x14ac:dyDescent="0.15">
      <c r="A661" t="s">
        <v>72</v>
      </c>
      <c r="B661" t="s">
        <v>12616</v>
      </c>
      <c r="C661" t="s">
        <v>74</v>
      </c>
      <c r="D661" t="s">
        <v>74</v>
      </c>
      <c r="E661" t="s">
        <v>74</v>
      </c>
      <c r="F661" t="s">
        <v>12617</v>
      </c>
      <c r="G661" t="s">
        <v>74</v>
      </c>
      <c r="H661" t="s">
        <v>74</v>
      </c>
      <c r="I661" t="s">
        <v>12618</v>
      </c>
      <c r="J661" t="s">
        <v>10894</v>
      </c>
      <c r="K661" t="s">
        <v>74</v>
      </c>
      <c r="L661" t="s">
        <v>74</v>
      </c>
      <c r="M661" t="s">
        <v>78</v>
      </c>
      <c r="N661" t="s">
        <v>338</v>
      </c>
      <c r="O661" t="s">
        <v>74</v>
      </c>
      <c r="P661" t="s">
        <v>74</v>
      </c>
      <c r="Q661" t="s">
        <v>74</v>
      </c>
      <c r="R661" t="s">
        <v>74</v>
      </c>
      <c r="S661" t="s">
        <v>74</v>
      </c>
      <c r="T661" t="s">
        <v>12619</v>
      </c>
      <c r="U661" t="s">
        <v>12620</v>
      </c>
      <c r="V661" t="s">
        <v>12621</v>
      </c>
      <c r="W661" t="s">
        <v>12622</v>
      </c>
      <c r="X661" t="s">
        <v>12623</v>
      </c>
      <c r="Y661" t="s">
        <v>12624</v>
      </c>
      <c r="Z661" t="s">
        <v>12625</v>
      </c>
      <c r="AA661" t="s">
        <v>12626</v>
      </c>
      <c r="AB661" t="s">
        <v>12627</v>
      </c>
      <c r="AC661" t="s">
        <v>12628</v>
      </c>
      <c r="AD661" t="s">
        <v>12629</v>
      </c>
      <c r="AE661" t="s">
        <v>12630</v>
      </c>
      <c r="AF661" t="s">
        <v>74</v>
      </c>
      <c r="AG661">
        <v>37</v>
      </c>
      <c r="AH661">
        <v>0</v>
      </c>
      <c r="AI661">
        <v>0</v>
      </c>
      <c r="AJ661">
        <v>2</v>
      </c>
      <c r="AK661">
        <v>2</v>
      </c>
      <c r="AL661" t="s">
        <v>87</v>
      </c>
      <c r="AM661" t="s">
        <v>88</v>
      </c>
      <c r="AN661" t="s">
        <v>89</v>
      </c>
      <c r="AO661" t="s">
        <v>10903</v>
      </c>
      <c r="AP661" t="s">
        <v>10904</v>
      </c>
      <c r="AQ661" t="s">
        <v>74</v>
      </c>
      <c r="AR661" t="s">
        <v>10905</v>
      </c>
      <c r="AS661" t="s">
        <v>10906</v>
      </c>
      <c r="AT661" t="s">
        <v>12430</v>
      </c>
      <c r="AU661">
        <v>2023</v>
      </c>
      <c r="AV661" t="s">
        <v>74</v>
      </c>
      <c r="AW661" t="s">
        <v>74</v>
      </c>
      <c r="AX661" t="s">
        <v>74</v>
      </c>
      <c r="AY661" t="s">
        <v>74</v>
      </c>
      <c r="AZ661" t="s">
        <v>74</v>
      </c>
      <c r="BA661" t="s">
        <v>74</v>
      </c>
      <c r="BB661" t="s">
        <v>74</v>
      </c>
      <c r="BC661" t="s">
        <v>74</v>
      </c>
      <c r="BD661" t="s">
        <v>12631</v>
      </c>
      <c r="BE661" t="s">
        <v>12632</v>
      </c>
      <c r="BF661" t="str">
        <f>HYPERLINK("http://dx.doi.org/10.1002/app.54511","http://dx.doi.org/10.1002/app.54511")</f>
        <v>http://dx.doi.org/10.1002/app.54511</v>
      </c>
      <c r="BG661" t="s">
        <v>74</v>
      </c>
      <c r="BH661" t="s">
        <v>7524</v>
      </c>
      <c r="BI661">
        <v>13</v>
      </c>
      <c r="BJ661" t="s">
        <v>1418</v>
      </c>
      <c r="BK661" t="s">
        <v>119</v>
      </c>
      <c r="BL661" t="s">
        <v>1418</v>
      </c>
      <c r="BM661" t="s">
        <v>12633</v>
      </c>
      <c r="BN661" t="s">
        <v>74</v>
      </c>
      <c r="BO661" t="s">
        <v>74</v>
      </c>
      <c r="BP661" t="s">
        <v>74</v>
      </c>
      <c r="BQ661" t="s">
        <v>74</v>
      </c>
      <c r="BR661" t="s">
        <v>99</v>
      </c>
      <c r="BS661" t="s">
        <v>12634</v>
      </c>
      <c r="BT661" t="str">
        <f>HYPERLINK("https%3A%2F%2Fwww.webofscience.com%2Fwos%2Fwoscc%2Ffull-record%2FWOS:001046119100001","View Full Record in Web of Science")</f>
        <v>View Full Record in Web of Science</v>
      </c>
    </row>
    <row r="662" spans="1:72" x14ac:dyDescent="0.15">
      <c r="A662" t="s">
        <v>72</v>
      </c>
      <c r="B662" t="s">
        <v>12635</v>
      </c>
      <c r="C662" t="s">
        <v>74</v>
      </c>
      <c r="D662" t="s">
        <v>74</v>
      </c>
      <c r="E662" t="s">
        <v>74</v>
      </c>
      <c r="F662" t="s">
        <v>12636</v>
      </c>
      <c r="G662" t="s">
        <v>74</v>
      </c>
      <c r="H662" t="s">
        <v>74</v>
      </c>
      <c r="I662" t="s">
        <v>12637</v>
      </c>
      <c r="J662" t="s">
        <v>12638</v>
      </c>
      <c r="K662" t="s">
        <v>74</v>
      </c>
      <c r="L662" t="s">
        <v>74</v>
      </c>
      <c r="M662" t="s">
        <v>78</v>
      </c>
      <c r="N662" t="s">
        <v>338</v>
      </c>
      <c r="O662" t="s">
        <v>74</v>
      </c>
      <c r="P662" t="s">
        <v>74</v>
      </c>
      <c r="Q662" t="s">
        <v>74</v>
      </c>
      <c r="R662" t="s">
        <v>74</v>
      </c>
      <c r="S662" t="s">
        <v>74</v>
      </c>
      <c r="T662" t="s">
        <v>12639</v>
      </c>
      <c r="U662" t="s">
        <v>74</v>
      </c>
      <c r="V662" t="s">
        <v>12640</v>
      </c>
      <c r="W662" t="s">
        <v>12641</v>
      </c>
      <c r="X662" t="s">
        <v>12642</v>
      </c>
      <c r="Y662" t="s">
        <v>12643</v>
      </c>
      <c r="Z662" t="s">
        <v>12644</v>
      </c>
      <c r="AA662" t="s">
        <v>74</v>
      </c>
      <c r="AB662" t="s">
        <v>74</v>
      </c>
      <c r="AC662" t="s">
        <v>74</v>
      </c>
      <c r="AD662" t="s">
        <v>74</v>
      </c>
      <c r="AE662" t="s">
        <v>74</v>
      </c>
      <c r="AF662" t="s">
        <v>74</v>
      </c>
      <c r="AG662">
        <v>12</v>
      </c>
      <c r="AH662">
        <v>0</v>
      </c>
      <c r="AI662">
        <v>0</v>
      </c>
      <c r="AJ662">
        <v>0</v>
      </c>
      <c r="AK662">
        <v>0</v>
      </c>
      <c r="AL662" t="s">
        <v>87</v>
      </c>
      <c r="AM662" t="s">
        <v>88</v>
      </c>
      <c r="AN662" t="s">
        <v>89</v>
      </c>
      <c r="AO662" t="s">
        <v>12645</v>
      </c>
      <c r="AP662" t="s">
        <v>12646</v>
      </c>
      <c r="AQ662" t="s">
        <v>74</v>
      </c>
      <c r="AR662" t="s">
        <v>12647</v>
      </c>
      <c r="AS662" t="s">
        <v>12648</v>
      </c>
      <c r="AT662" t="s">
        <v>12430</v>
      </c>
      <c r="AU662">
        <v>2023</v>
      </c>
      <c r="AV662" t="s">
        <v>74</v>
      </c>
      <c r="AW662" t="s">
        <v>74</v>
      </c>
      <c r="AX662" t="s">
        <v>74</v>
      </c>
      <c r="AY662" t="s">
        <v>74</v>
      </c>
      <c r="AZ662" t="s">
        <v>74</v>
      </c>
      <c r="BA662" t="s">
        <v>74</v>
      </c>
      <c r="BB662" t="s">
        <v>74</v>
      </c>
      <c r="BC662" t="s">
        <v>74</v>
      </c>
      <c r="BD662" t="s">
        <v>74</v>
      </c>
      <c r="BE662" t="s">
        <v>12649</v>
      </c>
      <c r="BF662" t="str">
        <f>HYPERLINK("http://dx.doi.org/10.1111/jpm.12962","http://dx.doi.org/10.1111/jpm.12962")</f>
        <v>http://dx.doi.org/10.1111/jpm.12962</v>
      </c>
      <c r="BG662" t="s">
        <v>74</v>
      </c>
      <c r="BH662" t="s">
        <v>7524</v>
      </c>
      <c r="BI662">
        <v>6</v>
      </c>
      <c r="BJ662" t="s">
        <v>12650</v>
      </c>
      <c r="BK662" t="s">
        <v>409</v>
      </c>
      <c r="BL662" t="s">
        <v>12650</v>
      </c>
      <c r="BM662" t="s">
        <v>12651</v>
      </c>
      <c r="BN662">
        <v>37559527</v>
      </c>
      <c r="BO662" t="s">
        <v>74</v>
      </c>
      <c r="BP662" t="s">
        <v>74</v>
      </c>
      <c r="BQ662" t="s">
        <v>74</v>
      </c>
      <c r="BR662" t="s">
        <v>99</v>
      </c>
      <c r="BS662" t="s">
        <v>12652</v>
      </c>
      <c r="BT662" t="str">
        <f>HYPERLINK("https%3A%2F%2Fwww.webofscience.com%2Fwos%2Fwoscc%2Ffull-record%2FWOS:001045122800001","View Full Record in Web of Science")</f>
        <v>View Full Record in Web of Science</v>
      </c>
    </row>
    <row r="663" spans="1:72" x14ac:dyDescent="0.15">
      <c r="A663" t="s">
        <v>72</v>
      </c>
      <c r="B663" t="s">
        <v>12653</v>
      </c>
      <c r="C663" t="s">
        <v>74</v>
      </c>
      <c r="D663" t="s">
        <v>74</v>
      </c>
      <c r="E663" t="s">
        <v>74</v>
      </c>
      <c r="F663" t="s">
        <v>12654</v>
      </c>
      <c r="G663" t="s">
        <v>74</v>
      </c>
      <c r="H663" t="s">
        <v>74</v>
      </c>
      <c r="I663" t="s">
        <v>12655</v>
      </c>
      <c r="J663" t="s">
        <v>12656</v>
      </c>
      <c r="K663" t="s">
        <v>74</v>
      </c>
      <c r="L663" t="s">
        <v>74</v>
      </c>
      <c r="M663" t="s">
        <v>78</v>
      </c>
      <c r="N663" t="s">
        <v>338</v>
      </c>
      <c r="O663" t="s">
        <v>74</v>
      </c>
      <c r="P663" t="s">
        <v>74</v>
      </c>
      <c r="Q663" t="s">
        <v>74</v>
      </c>
      <c r="R663" t="s">
        <v>74</v>
      </c>
      <c r="S663" t="s">
        <v>74</v>
      </c>
      <c r="T663" t="s">
        <v>12657</v>
      </c>
      <c r="U663" t="s">
        <v>12658</v>
      </c>
      <c r="V663" t="s">
        <v>12659</v>
      </c>
      <c r="W663" t="s">
        <v>12660</v>
      </c>
      <c r="X663" t="s">
        <v>12661</v>
      </c>
      <c r="Y663" t="s">
        <v>12662</v>
      </c>
      <c r="Z663" t="s">
        <v>12663</v>
      </c>
      <c r="AA663" t="s">
        <v>74</v>
      </c>
      <c r="AB663" t="s">
        <v>12664</v>
      </c>
      <c r="AC663" t="s">
        <v>74</v>
      </c>
      <c r="AD663" t="s">
        <v>74</v>
      </c>
      <c r="AE663" t="s">
        <v>74</v>
      </c>
      <c r="AF663" t="s">
        <v>74</v>
      </c>
      <c r="AG663">
        <v>36</v>
      </c>
      <c r="AH663">
        <v>0</v>
      </c>
      <c r="AI663">
        <v>0</v>
      </c>
      <c r="AJ663">
        <v>2</v>
      </c>
      <c r="AK663">
        <v>2</v>
      </c>
      <c r="AL663" t="s">
        <v>87</v>
      </c>
      <c r="AM663" t="s">
        <v>88</v>
      </c>
      <c r="AN663" t="s">
        <v>89</v>
      </c>
      <c r="AO663" t="s">
        <v>12665</v>
      </c>
      <c r="AP663" t="s">
        <v>12666</v>
      </c>
      <c r="AQ663" t="s">
        <v>74</v>
      </c>
      <c r="AR663" t="s">
        <v>12667</v>
      </c>
      <c r="AS663" t="s">
        <v>12668</v>
      </c>
      <c r="AT663" t="s">
        <v>12430</v>
      </c>
      <c r="AU663">
        <v>2023</v>
      </c>
      <c r="AV663" t="s">
        <v>74</v>
      </c>
      <c r="AW663" t="s">
        <v>74</v>
      </c>
      <c r="AX663" t="s">
        <v>74</v>
      </c>
      <c r="AY663" t="s">
        <v>74</v>
      </c>
      <c r="AZ663" t="s">
        <v>74</v>
      </c>
      <c r="BA663" t="s">
        <v>74</v>
      </c>
      <c r="BB663" t="s">
        <v>74</v>
      </c>
      <c r="BC663" t="s">
        <v>74</v>
      </c>
      <c r="BD663" t="s">
        <v>74</v>
      </c>
      <c r="BE663" t="s">
        <v>12669</v>
      </c>
      <c r="BF663" t="str">
        <f>HYPERLINK("http://dx.doi.org/10.1111/cns.14387","http://dx.doi.org/10.1111/cns.14387")</f>
        <v>http://dx.doi.org/10.1111/cns.14387</v>
      </c>
      <c r="BG663" t="s">
        <v>74</v>
      </c>
      <c r="BH663" t="s">
        <v>7524</v>
      </c>
      <c r="BI663">
        <v>9</v>
      </c>
      <c r="BJ663" t="s">
        <v>12670</v>
      </c>
      <c r="BK663" t="s">
        <v>119</v>
      </c>
      <c r="BL663" t="s">
        <v>12671</v>
      </c>
      <c r="BM663" t="s">
        <v>12672</v>
      </c>
      <c r="BN663">
        <v>37563866</v>
      </c>
      <c r="BO663" t="s">
        <v>234</v>
      </c>
      <c r="BP663" t="s">
        <v>74</v>
      </c>
      <c r="BQ663" t="s">
        <v>74</v>
      </c>
      <c r="BR663" t="s">
        <v>99</v>
      </c>
      <c r="BS663" t="s">
        <v>12673</v>
      </c>
      <c r="BT663" t="str">
        <f>HYPERLINK("https%3A%2F%2Fwww.webofscience.com%2Fwos%2Fwoscc%2Ffull-record%2FWOS:001044886800001","View Full Record in Web of Science")</f>
        <v>View Full Record in Web of Science</v>
      </c>
    </row>
    <row r="664" spans="1:72" x14ac:dyDescent="0.15">
      <c r="A664" t="s">
        <v>72</v>
      </c>
      <c r="B664" t="s">
        <v>12674</v>
      </c>
      <c r="C664" t="s">
        <v>74</v>
      </c>
      <c r="D664" t="s">
        <v>74</v>
      </c>
      <c r="E664" t="s">
        <v>74</v>
      </c>
      <c r="F664" t="s">
        <v>12675</v>
      </c>
      <c r="G664" t="s">
        <v>74</v>
      </c>
      <c r="H664" t="s">
        <v>74</v>
      </c>
      <c r="I664" t="s">
        <v>12676</v>
      </c>
      <c r="J664" t="s">
        <v>12677</v>
      </c>
      <c r="K664" t="s">
        <v>74</v>
      </c>
      <c r="L664" t="s">
        <v>74</v>
      </c>
      <c r="M664" t="s">
        <v>78</v>
      </c>
      <c r="N664" t="s">
        <v>594</v>
      </c>
      <c r="O664" t="s">
        <v>74</v>
      </c>
      <c r="P664" t="s">
        <v>74</v>
      </c>
      <c r="Q664" t="s">
        <v>74</v>
      </c>
      <c r="R664" t="s">
        <v>74</v>
      </c>
      <c r="S664" t="s">
        <v>74</v>
      </c>
      <c r="T664" t="s">
        <v>12678</v>
      </c>
      <c r="U664" t="s">
        <v>12679</v>
      </c>
      <c r="V664" t="s">
        <v>12680</v>
      </c>
      <c r="W664" t="s">
        <v>12681</v>
      </c>
      <c r="X664" t="s">
        <v>12682</v>
      </c>
      <c r="Y664" t="s">
        <v>12683</v>
      </c>
      <c r="Z664" t="s">
        <v>12684</v>
      </c>
      <c r="AA664" t="s">
        <v>12685</v>
      </c>
      <c r="AB664" t="s">
        <v>12686</v>
      </c>
      <c r="AC664" t="s">
        <v>12687</v>
      </c>
      <c r="AD664" t="s">
        <v>12688</v>
      </c>
      <c r="AE664" t="s">
        <v>12689</v>
      </c>
      <c r="AF664" t="s">
        <v>74</v>
      </c>
      <c r="AG664">
        <v>128</v>
      </c>
      <c r="AH664">
        <v>0</v>
      </c>
      <c r="AI664">
        <v>0</v>
      </c>
      <c r="AJ664">
        <v>10</v>
      </c>
      <c r="AK664">
        <v>10</v>
      </c>
      <c r="AL664" t="s">
        <v>87</v>
      </c>
      <c r="AM664" t="s">
        <v>88</v>
      </c>
      <c r="AN664" t="s">
        <v>89</v>
      </c>
      <c r="AO664" t="s">
        <v>12690</v>
      </c>
      <c r="AP664" t="s">
        <v>74</v>
      </c>
      <c r="AQ664" t="s">
        <v>74</v>
      </c>
      <c r="AR664" t="s">
        <v>12691</v>
      </c>
      <c r="AS664" t="s">
        <v>12692</v>
      </c>
      <c r="AT664" t="s">
        <v>12430</v>
      </c>
      <c r="AU664">
        <v>2023</v>
      </c>
      <c r="AV664" t="s">
        <v>74</v>
      </c>
      <c r="AW664" t="s">
        <v>74</v>
      </c>
      <c r="AX664" t="s">
        <v>74</v>
      </c>
      <c r="AY664" t="s">
        <v>74</v>
      </c>
      <c r="AZ664" t="s">
        <v>74</v>
      </c>
      <c r="BA664" t="s">
        <v>74</v>
      </c>
      <c r="BB664" t="s">
        <v>74</v>
      </c>
      <c r="BC664" t="s">
        <v>74</v>
      </c>
      <c r="BD664" t="s">
        <v>74</v>
      </c>
      <c r="BE664" t="s">
        <v>12693</v>
      </c>
      <c r="BF664" t="str">
        <f>HYPERLINK("http://dx.doi.org/10.1002/aelm.202300293","http://dx.doi.org/10.1002/aelm.202300293")</f>
        <v>http://dx.doi.org/10.1002/aelm.202300293</v>
      </c>
      <c r="BG664" t="s">
        <v>74</v>
      </c>
      <c r="BH664" t="s">
        <v>7524</v>
      </c>
      <c r="BI664">
        <v>23</v>
      </c>
      <c r="BJ664" t="s">
        <v>12694</v>
      </c>
      <c r="BK664" t="s">
        <v>119</v>
      </c>
      <c r="BL664" t="s">
        <v>12695</v>
      </c>
      <c r="BM664" t="s">
        <v>12696</v>
      </c>
      <c r="BN664" t="s">
        <v>74</v>
      </c>
      <c r="BO664" t="s">
        <v>234</v>
      </c>
      <c r="BP664" t="s">
        <v>74</v>
      </c>
      <c r="BQ664" t="s">
        <v>74</v>
      </c>
      <c r="BR664" t="s">
        <v>99</v>
      </c>
      <c r="BS664" t="s">
        <v>12697</v>
      </c>
      <c r="BT664" t="str">
        <f>HYPERLINK("https%3A%2F%2Fwww.webofscience.com%2Fwos%2Fwoscc%2Ffull-record%2FWOS:001044885700001","View Full Record in Web of Science")</f>
        <v>View Full Record in Web of Science</v>
      </c>
    </row>
    <row r="665" spans="1:72" x14ac:dyDescent="0.15">
      <c r="A665" t="s">
        <v>72</v>
      </c>
      <c r="B665" t="s">
        <v>12698</v>
      </c>
      <c r="C665" t="s">
        <v>74</v>
      </c>
      <c r="D665" t="s">
        <v>74</v>
      </c>
      <c r="E665" t="s">
        <v>74</v>
      </c>
      <c r="F665" t="s">
        <v>12699</v>
      </c>
      <c r="G665" t="s">
        <v>74</v>
      </c>
      <c r="H665" t="s">
        <v>74</v>
      </c>
      <c r="I665" t="s">
        <v>12700</v>
      </c>
      <c r="J665" t="s">
        <v>12701</v>
      </c>
      <c r="K665" t="s">
        <v>74</v>
      </c>
      <c r="L665" t="s">
        <v>74</v>
      </c>
      <c r="M665" t="s">
        <v>78</v>
      </c>
      <c r="N665" t="s">
        <v>79</v>
      </c>
      <c r="O665" t="s">
        <v>74</v>
      </c>
      <c r="P665" t="s">
        <v>74</v>
      </c>
      <c r="Q665" t="s">
        <v>74</v>
      </c>
      <c r="R665" t="s">
        <v>74</v>
      </c>
      <c r="S665" t="s">
        <v>74</v>
      </c>
      <c r="T665" t="s">
        <v>74</v>
      </c>
      <c r="U665" t="s">
        <v>12702</v>
      </c>
      <c r="V665" t="s">
        <v>12703</v>
      </c>
      <c r="W665" t="s">
        <v>12704</v>
      </c>
      <c r="X665" t="s">
        <v>12705</v>
      </c>
      <c r="Y665" t="s">
        <v>12706</v>
      </c>
      <c r="Z665" t="s">
        <v>12707</v>
      </c>
      <c r="AA665" t="s">
        <v>74</v>
      </c>
      <c r="AB665" t="s">
        <v>74</v>
      </c>
      <c r="AC665" t="s">
        <v>12708</v>
      </c>
      <c r="AD665" t="s">
        <v>12709</v>
      </c>
      <c r="AE665" t="s">
        <v>12710</v>
      </c>
      <c r="AF665" t="s">
        <v>74</v>
      </c>
      <c r="AG665">
        <v>12</v>
      </c>
      <c r="AH665">
        <v>0</v>
      </c>
      <c r="AI665">
        <v>0</v>
      </c>
      <c r="AJ665">
        <v>2</v>
      </c>
      <c r="AK665">
        <v>2</v>
      </c>
      <c r="AL665" t="s">
        <v>87</v>
      </c>
      <c r="AM665" t="s">
        <v>88</v>
      </c>
      <c r="AN665" t="s">
        <v>89</v>
      </c>
      <c r="AO665" t="s">
        <v>12711</v>
      </c>
      <c r="AP665" t="s">
        <v>12712</v>
      </c>
      <c r="AQ665" t="s">
        <v>74</v>
      </c>
      <c r="AR665" t="s">
        <v>12713</v>
      </c>
      <c r="AS665" t="s">
        <v>12714</v>
      </c>
      <c r="AT665" t="s">
        <v>12715</v>
      </c>
      <c r="AU665">
        <v>2023</v>
      </c>
      <c r="AV665">
        <v>2023</v>
      </c>
      <c r="AW665" t="s">
        <v>74</v>
      </c>
      <c r="AX665" t="s">
        <v>74</v>
      </c>
      <c r="AY665" t="s">
        <v>74</v>
      </c>
      <c r="AZ665" t="s">
        <v>74</v>
      </c>
      <c r="BA665" t="s">
        <v>74</v>
      </c>
      <c r="BB665" t="s">
        <v>74</v>
      </c>
      <c r="BC665" t="s">
        <v>74</v>
      </c>
      <c r="BD665">
        <v>2437462</v>
      </c>
      <c r="BE665" t="s">
        <v>12716</v>
      </c>
      <c r="BF665" t="str">
        <f>HYPERLINK("http://dx.doi.org/10.1155/2023/2437462","http://dx.doi.org/10.1155/2023/2437462")</f>
        <v>http://dx.doi.org/10.1155/2023/2437462</v>
      </c>
      <c r="BG665" t="s">
        <v>74</v>
      </c>
      <c r="BH665" t="s">
        <v>74</v>
      </c>
      <c r="BI665">
        <v>7</v>
      </c>
      <c r="BJ665" t="s">
        <v>12717</v>
      </c>
      <c r="BK665" t="s">
        <v>119</v>
      </c>
      <c r="BL665" t="s">
        <v>3036</v>
      </c>
      <c r="BM665" t="s">
        <v>12718</v>
      </c>
      <c r="BN665" t="s">
        <v>74</v>
      </c>
      <c r="BO665" t="s">
        <v>234</v>
      </c>
      <c r="BP665" t="s">
        <v>74</v>
      </c>
      <c r="BQ665" t="s">
        <v>74</v>
      </c>
      <c r="BR665" t="s">
        <v>99</v>
      </c>
      <c r="BS665" t="s">
        <v>12719</v>
      </c>
      <c r="BT665" t="str">
        <f>HYPERLINK("https%3A%2F%2Fwww.webofscience.com%2Fwos%2Fwoscc%2Ffull-record%2FWOS:001050548000001","View Full Record in Web of Science")</f>
        <v>View Full Record in Web of Science</v>
      </c>
    </row>
    <row r="666" spans="1:72" x14ac:dyDescent="0.15">
      <c r="A666" t="s">
        <v>72</v>
      </c>
      <c r="B666" t="s">
        <v>12720</v>
      </c>
      <c r="C666" t="s">
        <v>74</v>
      </c>
      <c r="D666" t="s">
        <v>74</v>
      </c>
      <c r="E666" t="s">
        <v>74</v>
      </c>
      <c r="F666" t="s">
        <v>12721</v>
      </c>
      <c r="G666" t="s">
        <v>74</v>
      </c>
      <c r="H666" t="s">
        <v>74</v>
      </c>
      <c r="I666" t="s">
        <v>12722</v>
      </c>
      <c r="J666" t="s">
        <v>12723</v>
      </c>
      <c r="K666" t="s">
        <v>74</v>
      </c>
      <c r="L666" t="s">
        <v>74</v>
      </c>
      <c r="M666" t="s">
        <v>78</v>
      </c>
      <c r="N666" t="s">
        <v>307</v>
      </c>
      <c r="O666" t="s">
        <v>74</v>
      </c>
      <c r="P666" t="s">
        <v>74</v>
      </c>
      <c r="Q666" t="s">
        <v>74</v>
      </c>
      <c r="R666" t="s">
        <v>74</v>
      </c>
      <c r="S666" t="s">
        <v>74</v>
      </c>
      <c r="T666" t="s">
        <v>74</v>
      </c>
      <c r="U666" t="s">
        <v>74</v>
      </c>
      <c r="V666" t="s">
        <v>74</v>
      </c>
      <c r="W666" t="s">
        <v>12724</v>
      </c>
      <c r="X666" t="s">
        <v>74</v>
      </c>
      <c r="Y666" t="s">
        <v>12725</v>
      </c>
      <c r="Z666" t="s">
        <v>12726</v>
      </c>
      <c r="AA666" t="s">
        <v>74</v>
      </c>
      <c r="AB666" t="s">
        <v>12727</v>
      </c>
      <c r="AC666" t="s">
        <v>74</v>
      </c>
      <c r="AD666" t="s">
        <v>74</v>
      </c>
      <c r="AE666" t="s">
        <v>74</v>
      </c>
      <c r="AF666" t="s">
        <v>74</v>
      </c>
      <c r="AG666">
        <v>0</v>
      </c>
      <c r="AH666">
        <v>0</v>
      </c>
      <c r="AI666">
        <v>0</v>
      </c>
      <c r="AJ666">
        <v>0</v>
      </c>
      <c r="AK666">
        <v>0</v>
      </c>
      <c r="AL666" t="s">
        <v>1866</v>
      </c>
      <c r="AM666" t="s">
        <v>1867</v>
      </c>
      <c r="AN666" t="s">
        <v>1868</v>
      </c>
      <c r="AO666" t="s">
        <v>12728</v>
      </c>
      <c r="AP666" t="s">
        <v>12729</v>
      </c>
      <c r="AQ666" t="s">
        <v>74</v>
      </c>
      <c r="AR666" t="s">
        <v>12730</v>
      </c>
      <c r="AS666" t="s">
        <v>12731</v>
      </c>
      <c r="AT666" t="s">
        <v>12732</v>
      </c>
      <c r="AU666">
        <v>2023</v>
      </c>
      <c r="AV666">
        <v>41</v>
      </c>
      <c r="AW666">
        <v>1</v>
      </c>
      <c r="AX666" t="s">
        <v>74</v>
      </c>
      <c r="AY666" t="s">
        <v>74</v>
      </c>
      <c r="AZ666" t="s">
        <v>9665</v>
      </c>
      <c r="BA666" t="s">
        <v>74</v>
      </c>
      <c r="BB666">
        <v>5</v>
      </c>
      <c r="BC666">
        <v>5</v>
      </c>
      <c r="BD666" t="s">
        <v>74</v>
      </c>
      <c r="BE666" t="s">
        <v>12733</v>
      </c>
      <c r="BF666" t="str">
        <f>HYPERLINK("http://dx.doi.org/10.1002/crq.21405","http://dx.doi.org/10.1002/crq.21405")</f>
        <v>http://dx.doi.org/10.1002/crq.21405</v>
      </c>
      <c r="BG666" t="s">
        <v>74</v>
      </c>
      <c r="BH666" t="s">
        <v>7524</v>
      </c>
      <c r="BI666">
        <v>1</v>
      </c>
      <c r="BJ666" t="s">
        <v>6874</v>
      </c>
      <c r="BK666" t="s">
        <v>96</v>
      </c>
      <c r="BL666" t="s">
        <v>6875</v>
      </c>
      <c r="BM666" t="s">
        <v>12734</v>
      </c>
      <c r="BN666" t="s">
        <v>74</v>
      </c>
      <c r="BO666" t="s">
        <v>74</v>
      </c>
      <c r="BP666" t="s">
        <v>74</v>
      </c>
      <c r="BQ666" t="s">
        <v>74</v>
      </c>
      <c r="BR666" t="s">
        <v>99</v>
      </c>
      <c r="BS666" t="s">
        <v>12735</v>
      </c>
      <c r="BT666" t="str">
        <f>HYPERLINK("https%3A%2F%2Fwww.webofscience.com%2Fwos%2Fwoscc%2Ffull-record%2FWOS:001045095400001","View Full Record in Web of Science")</f>
        <v>View Full Record in Web of Science</v>
      </c>
    </row>
    <row r="667" spans="1:72" x14ac:dyDescent="0.15">
      <c r="A667" t="s">
        <v>72</v>
      </c>
      <c r="B667" t="s">
        <v>12736</v>
      </c>
      <c r="C667" t="s">
        <v>74</v>
      </c>
      <c r="D667" t="s">
        <v>74</v>
      </c>
      <c r="E667" t="s">
        <v>74</v>
      </c>
      <c r="F667" t="s">
        <v>12737</v>
      </c>
      <c r="G667" t="s">
        <v>74</v>
      </c>
      <c r="H667" t="s">
        <v>74</v>
      </c>
      <c r="I667" t="s">
        <v>12738</v>
      </c>
      <c r="J667" t="s">
        <v>1046</v>
      </c>
      <c r="K667" t="s">
        <v>74</v>
      </c>
      <c r="L667" t="s">
        <v>74</v>
      </c>
      <c r="M667" t="s">
        <v>78</v>
      </c>
      <c r="N667" t="s">
        <v>338</v>
      </c>
      <c r="O667" t="s">
        <v>74</v>
      </c>
      <c r="P667" t="s">
        <v>74</v>
      </c>
      <c r="Q667" t="s">
        <v>74</v>
      </c>
      <c r="R667" t="s">
        <v>74</v>
      </c>
      <c r="S667" t="s">
        <v>74</v>
      </c>
      <c r="T667" t="s">
        <v>12739</v>
      </c>
      <c r="U667" t="s">
        <v>12740</v>
      </c>
      <c r="V667" t="s">
        <v>12741</v>
      </c>
      <c r="W667" t="s">
        <v>12742</v>
      </c>
      <c r="X667" t="s">
        <v>12743</v>
      </c>
      <c r="Y667" t="s">
        <v>12744</v>
      </c>
      <c r="Z667" t="s">
        <v>12745</v>
      </c>
      <c r="AA667" t="s">
        <v>74</v>
      </c>
      <c r="AB667" t="s">
        <v>74</v>
      </c>
      <c r="AC667" t="s">
        <v>12746</v>
      </c>
      <c r="AD667" t="s">
        <v>12747</v>
      </c>
      <c r="AE667" t="s">
        <v>12748</v>
      </c>
      <c r="AF667" t="s">
        <v>74</v>
      </c>
      <c r="AG667">
        <v>55</v>
      </c>
      <c r="AH667">
        <v>0</v>
      </c>
      <c r="AI667">
        <v>0</v>
      </c>
      <c r="AJ667">
        <v>0</v>
      </c>
      <c r="AK667">
        <v>0</v>
      </c>
      <c r="AL667" t="s">
        <v>87</v>
      </c>
      <c r="AM667" t="s">
        <v>88</v>
      </c>
      <c r="AN667" t="s">
        <v>89</v>
      </c>
      <c r="AO667" t="s">
        <v>1057</v>
      </c>
      <c r="AP667" t="s">
        <v>1058</v>
      </c>
      <c r="AQ667" t="s">
        <v>74</v>
      </c>
      <c r="AR667" t="s">
        <v>1046</v>
      </c>
      <c r="AS667" t="s">
        <v>1059</v>
      </c>
      <c r="AT667" t="s">
        <v>12430</v>
      </c>
      <c r="AU667">
        <v>2023</v>
      </c>
      <c r="AV667" t="s">
        <v>74</v>
      </c>
      <c r="AW667" t="s">
        <v>74</v>
      </c>
      <c r="AX667" t="s">
        <v>74</v>
      </c>
      <c r="AY667" t="s">
        <v>74</v>
      </c>
      <c r="AZ667" t="s">
        <v>74</v>
      </c>
      <c r="BA667" t="s">
        <v>74</v>
      </c>
      <c r="BB667" t="s">
        <v>74</v>
      </c>
      <c r="BC667" t="s">
        <v>74</v>
      </c>
      <c r="BD667" t="s">
        <v>74</v>
      </c>
      <c r="BE667" t="s">
        <v>12749</v>
      </c>
      <c r="BF667" t="str">
        <f>HYPERLINK("http://dx.doi.org/10.1111/add.16309","http://dx.doi.org/10.1111/add.16309")</f>
        <v>http://dx.doi.org/10.1111/add.16309</v>
      </c>
      <c r="BG667" t="s">
        <v>74</v>
      </c>
      <c r="BH667" t="s">
        <v>7524</v>
      </c>
      <c r="BI667">
        <v>13</v>
      </c>
      <c r="BJ667" t="s">
        <v>1061</v>
      </c>
      <c r="BK667" t="s">
        <v>409</v>
      </c>
      <c r="BL667" t="s">
        <v>1061</v>
      </c>
      <c r="BM667" t="s">
        <v>12750</v>
      </c>
      <c r="BN667">
        <v>37563863</v>
      </c>
      <c r="BO667" t="s">
        <v>74</v>
      </c>
      <c r="BP667" t="s">
        <v>74</v>
      </c>
      <c r="BQ667" t="s">
        <v>74</v>
      </c>
      <c r="BR667" t="s">
        <v>99</v>
      </c>
      <c r="BS667" t="s">
        <v>12751</v>
      </c>
      <c r="BT667" t="str">
        <f>HYPERLINK("https%3A%2F%2Fwww.webofscience.com%2Fwos%2Fwoscc%2Ffull-record%2FWOS:001046117900001","View Full Record in Web of Science")</f>
        <v>View Full Record in Web of Science</v>
      </c>
    </row>
    <row r="668" spans="1:72" x14ac:dyDescent="0.15">
      <c r="A668" t="s">
        <v>72</v>
      </c>
      <c r="B668" t="s">
        <v>12752</v>
      </c>
      <c r="C668" t="s">
        <v>74</v>
      </c>
      <c r="D668" t="s">
        <v>74</v>
      </c>
      <c r="E668" t="s">
        <v>74</v>
      </c>
      <c r="F668" t="s">
        <v>12753</v>
      </c>
      <c r="G668" t="s">
        <v>74</v>
      </c>
      <c r="H668" t="s">
        <v>74</v>
      </c>
      <c r="I668" t="s">
        <v>12754</v>
      </c>
      <c r="J668" t="s">
        <v>4485</v>
      </c>
      <c r="K668" t="s">
        <v>74</v>
      </c>
      <c r="L668" t="s">
        <v>74</v>
      </c>
      <c r="M668" t="s">
        <v>78</v>
      </c>
      <c r="N668" t="s">
        <v>338</v>
      </c>
      <c r="O668" t="s">
        <v>74</v>
      </c>
      <c r="P668" t="s">
        <v>74</v>
      </c>
      <c r="Q668" t="s">
        <v>74</v>
      </c>
      <c r="R668" t="s">
        <v>74</v>
      </c>
      <c r="S668" t="s">
        <v>74</v>
      </c>
      <c r="T668" t="s">
        <v>12755</v>
      </c>
      <c r="U668" t="s">
        <v>12756</v>
      </c>
      <c r="V668" t="s">
        <v>12757</v>
      </c>
      <c r="W668" t="s">
        <v>12758</v>
      </c>
      <c r="X668" t="s">
        <v>12759</v>
      </c>
      <c r="Y668" t="s">
        <v>12760</v>
      </c>
      <c r="Z668" t="s">
        <v>12761</v>
      </c>
      <c r="AA668" t="s">
        <v>74</v>
      </c>
      <c r="AB668" t="s">
        <v>12762</v>
      </c>
      <c r="AC668" t="s">
        <v>74</v>
      </c>
      <c r="AD668" t="s">
        <v>74</v>
      </c>
      <c r="AE668" t="s">
        <v>74</v>
      </c>
      <c r="AF668" t="s">
        <v>74</v>
      </c>
      <c r="AG668">
        <v>25</v>
      </c>
      <c r="AH668">
        <v>0</v>
      </c>
      <c r="AI668">
        <v>0</v>
      </c>
      <c r="AJ668">
        <v>0</v>
      </c>
      <c r="AK668">
        <v>0</v>
      </c>
      <c r="AL668" t="s">
        <v>87</v>
      </c>
      <c r="AM668" t="s">
        <v>88</v>
      </c>
      <c r="AN668" t="s">
        <v>89</v>
      </c>
      <c r="AO668" t="s">
        <v>4494</v>
      </c>
      <c r="AP668" t="s">
        <v>4495</v>
      </c>
      <c r="AQ668" t="s">
        <v>74</v>
      </c>
      <c r="AR668" t="s">
        <v>4496</v>
      </c>
      <c r="AS668" t="s">
        <v>4497</v>
      </c>
      <c r="AT668" t="s">
        <v>12430</v>
      </c>
      <c r="AU668">
        <v>2023</v>
      </c>
      <c r="AV668" t="s">
        <v>74</v>
      </c>
      <c r="AW668" t="s">
        <v>74</v>
      </c>
      <c r="AX668" t="s">
        <v>74</v>
      </c>
      <c r="AY668" t="s">
        <v>74</v>
      </c>
      <c r="AZ668" t="s">
        <v>74</v>
      </c>
      <c r="BA668" t="s">
        <v>74</v>
      </c>
      <c r="BB668" t="s">
        <v>74</v>
      </c>
      <c r="BC668" t="s">
        <v>74</v>
      </c>
      <c r="BD668" t="s">
        <v>74</v>
      </c>
      <c r="BE668" t="s">
        <v>12763</v>
      </c>
      <c r="BF668" t="str">
        <f>HYPERLINK("http://dx.doi.org/10.1111/petr.14577","http://dx.doi.org/10.1111/petr.14577")</f>
        <v>http://dx.doi.org/10.1111/petr.14577</v>
      </c>
      <c r="BG668" t="s">
        <v>74</v>
      </c>
      <c r="BH668" t="s">
        <v>7524</v>
      </c>
      <c r="BI668">
        <v>11</v>
      </c>
      <c r="BJ668" t="s">
        <v>4499</v>
      </c>
      <c r="BK668" t="s">
        <v>119</v>
      </c>
      <c r="BL668" t="s">
        <v>4499</v>
      </c>
      <c r="BM668" t="s">
        <v>12764</v>
      </c>
      <c r="BN668">
        <v>37563804</v>
      </c>
      <c r="BO668" t="s">
        <v>122</v>
      </c>
      <c r="BP668" t="s">
        <v>74</v>
      </c>
      <c r="BQ668" t="s">
        <v>74</v>
      </c>
      <c r="BR668" t="s">
        <v>99</v>
      </c>
      <c r="BS668" t="s">
        <v>12765</v>
      </c>
      <c r="BT668" t="str">
        <f>HYPERLINK("https%3A%2F%2Fwww.webofscience.com%2Fwos%2Fwoscc%2Ffull-record%2FWOS:001044881000001","View Full Record in Web of Science")</f>
        <v>View Full Record in Web of Science</v>
      </c>
    </row>
    <row r="669" spans="1:72" x14ac:dyDescent="0.15">
      <c r="A669" t="s">
        <v>72</v>
      </c>
      <c r="B669" t="s">
        <v>12766</v>
      </c>
      <c r="C669" t="s">
        <v>74</v>
      </c>
      <c r="D669" t="s">
        <v>74</v>
      </c>
      <c r="E669" t="s">
        <v>74</v>
      </c>
      <c r="F669" t="s">
        <v>12767</v>
      </c>
      <c r="G669" t="s">
        <v>74</v>
      </c>
      <c r="H669" t="s">
        <v>74</v>
      </c>
      <c r="I669" t="s">
        <v>12768</v>
      </c>
      <c r="J669" t="s">
        <v>11991</v>
      </c>
      <c r="K669" t="s">
        <v>74</v>
      </c>
      <c r="L669" t="s">
        <v>74</v>
      </c>
      <c r="M669" t="s">
        <v>78</v>
      </c>
      <c r="N669" t="s">
        <v>594</v>
      </c>
      <c r="O669" t="s">
        <v>74</v>
      </c>
      <c r="P669" t="s">
        <v>74</v>
      </c>
      <c r="Q669" t="s">
        <v>74</v>
      </c>
      <c r="R669" t="s">
        <v>74</v>
      </c>
      <c r="S669" t="s">
        <v>74</v>
      </c>
      <c r="T669" t="s">
        <v>12769</v>
      </c>
      <c r="U669" t="s">
        <v>12770</v>
      </c>
      <c r="V669" t="s">
        <v>12771</v>
      </c>
      <c r="W669" t="s">
        <v>12772</v>
      </c>
      <c r="X669" t="s">
        <v>12773</v>
      </c>
      <c r="Y669" t="s">
        <v>12774</v>
      </c>
      <c r="Z669" t="s">
        <v>12775</v>
      </c>
      <c r="AA669" t="s">
        <v>74</v>
      </c>
      <c r="AB669" t="s">
        <v>74</v>
      </c>
      <c r="AC669" t="s">
        <v>74</v>
      </c>
      <c r="AD669" t="s">
        <v>74</v>
      </c>
      <c r="AE669" t="s">
        <v>74</v>
      </c>
      <c r="AF669" t="s">
        <v>74</v>
      </c>
      <c r="AG669">
        <v>43</v>
      </c>
      <c r="AH669">
        <v>0</v>
      </c>
      <c r="AI669">
        <v>0</v>
      </c>
      <c r="AJ669">
        <v>0</v>
      </c>
      <c r="AK669">
        <v>0</v>
      </c>
      <c r="AL669" t="s">
        <v>87</v>
      </c>
      <c r="AM669" t="s">
        <v>88</v>
      </c>
      <c r="AN669" t="s">
        <v>89</v>
      </c>
      <c r="AO669" t="s">
        <v>11995</v>
      </c>
      <c r="AP669" t="s">
        <v>11996</v>
      </c>
      <c r="AQ669" t="s">
        <v>74</v>
      </c>
      <c r="AR669" t="s">
        <v>11991</v>
      </c>
      <c r="AS669" t="s">
        <v>11997</v>
      </c>
      <c r="AT669" t="s">
        <v>12430</v>
      </c>
      <c r="AU669">
        <v>2023</v>
      </c>
      <c r="AV669" t="s">
        <v>74</v>
      </c>
      <c r="AW669" t="s">
        <v>74</v>
      </c>
      <c r="AX669" t="s">
        <v>74</v>
      </c>
      <c r="AY669" t="s">
        <v>74</v>
      </c>
      <c r="AZ669" t="s">
        <v>74</v>
      </c>
      <c r="BA669" t="s">
        <v>74</v>
      </c>
      <c r="BB669" t="s">
        <v>74</v>
      </c>
      <c r="BC669" t="s">
        <v>74</v>
      </c>
      <c r="BD669" t="s">
        <v>74</v>
      </c>
      <c r="BE669" t="s">
        <v>12776</v>
      </c>
      <c r="BF669" t="str">
        <f>HYPERLINK("http://dx.doi.org/10.1002/lary.30957","http://dx.doi.org/10.1002/lary.30957")</f>
        <v>http://dx.doi.org/10.1002/lary.30957</v>
      </c>
      <c r="BG669" t="s">
        <v>74</v>
      </c>
      <c r="BH669" t="s">
        <v>7524</v>
      </c>
      <c r="BI669">
        <v>9</v>
      </c>
      <c r="BJ669" t="s">
        <v>11999</v>
      </c>
      <c r="BK669" t="s">
        <v>119</v>
      </c>
      <c r="BL669" t="s">
        <v>12000</v>
      </c>
      <c r="BM669" t="s">
        <v>12777</v>
      </c>
      <c r="BN669">
        <v>37560919</v>
      </c>
      <c r="BO669" t="s">
        <v>122</v>
      </c>
      <c r="BP669" t="s">
        <v>74</v>
      </c>
      <c r="BQ669" t="s">
        <v>74</v>
      </c>
      <c r="BR669" t="s">
        <v>99</v>
      </c>
      <c r="BS669" t="s">
        <v>12778</v>
      </c>
      <c r="BT669" t="str">
        <f>HYPERLINK("https%3A%2F%2Fwww.webofscience.com%2Fwos%2Fwoscc%2Ffull-record%2FWOS:001044599900001","View Full Record in Web of Science")</f>
        <v>View Full Record in Web of Science</v>
      </c>
    </row>
    <row r="670" spans="1:72" x14ac:dyDescent="0.15">
      <c r="A670" t="s">
        <v>72</v>
      </c>
      <c r="B670" t="s">
        <v>12779</v>
      </c>
      <c r="C670" t="s">
        <v>74</v>
      </c>
      <c r="D670" t="s">
        <v>74</v>
      </c>
      <c r="E670" t="s">
        <v>74</v>
      </c>
      <c r="F670" t="s">
        <v>12780</v>
      </c>
      <c r="G670" t="s">
        <v>74</v>
      </c>
      <c r="H670" t="s">
        <v>74</v>
      </c>
      <c r="I670" t="s">
        <v>12781</v>
      </c>
      <c r="J670" t="s">
        <v>4967</v>
      </c>
      <c r="K670" t="s">
        <v>74</v>
      </c>
      <c r="L670" t="s">
        <v>74</v>
      </c>
      <c r="M670" t="s">
        <v>78</v>
      </c>
      <c r="N670" t="s">
        <v>338</v>
      </c>
      <c r="O670" t="s">
        <v>74</v>
      </c>
      <c r="P670" t="s">
        <v>74</v>
      </c>
      <c r="Q670" t="s">
        <v>74</v>
      </c>
      <c r="R670" t="s">
        <v>74</v>
      </c>
      <c r="S670" t="s">
        <v>74</v>
      </c>
      <c r="T670" t="s">
        <v>12782</v>
      </c>
      <c r="U670" t="s">
        <v>12783</v>
      </c>
      <c r="V670" t="s">
        <v>12784</v>
      </c>
      <c r="W670" t="s">
        <v>12785</v>
      </c>
      <c r="X670" t="s">
        <v>12786</v>
      </c>
      <c r="Y670" t="s">
        <v>12787</v>
      </c>
      <c r="Z670" t="s">
        <v>12788</v>
      </c>
      <c r="AA670" t="s">
        <v>12789</v>
      </c>
      <c r="AB670" t="s">
        <v>12790</v>
      </c>
      <c r="AC670" t="s">
        <v>12791</v>
      </c>
      <c r="AD670" t="s">
        <v>12792</v>
      </c>
      <c r="AE670" t="s">
        <v>12793</v>
      </c>
      <c r="AF670" t="s">
        <v>74</v>
      </c>
      <c r="AG670">
        <v>34</v>
      </c>
      <c r="AH670">
        <v>0</v>
      </c>
      <c r="AI670">
        <v>0</v>
      </c>
      <c r="AJ670">
        <v>4</v>
      </c>
      <c r="AK670">
        <v>4</v>
      </c>
      <c r="AL670" t="s">
        <v>426</v>
      </c>
      <c r="AM670" t="s">
        <v>427</v>
      </c>
      <c r="AN670" t="s">
        <v>428</v>
      </c>
      <c r="AO670" t="s">
        <v>4979</v>
      </c>
      <c r="AP670" t="s">
        <v>4980</v>
      </c>
      <c r="AQ670" t="s">
        <v>74</v>
      </c>
      <c r="AR670" t="s">
        <v>4967</v>
      </c>
      <c r="AS670" t="s">
        <v>4981</v>
      </c>
      <c r="AT670" t="s">
        <v>12794</v>
      </c>
      <c r="AU670">
        <v>2023</v>
      </c>
      <c r="AV670" t="s">
        <v>74</v>
      </c>
      <c r="AW670" t="s">
        <v>74</v>
      </c>
      <c r="AX670" t="s">
        <v>74</v>
      </c>
      <c r="AY670" t="s">
        <v>74</v>
      </c>
      <c r="AZ670" t="s">
        <v>74</v>
      </c>
      <c r="BA670" t="s">
        <v>74</v>
      </c>
      <c r="BB670" t="s">
        <v>74</v>
      </c>
      <c r="BC670" t="s">
        <v>74</v>
      </c>
      <c r="BD670" t="s">
        <v>74</v>
      </c>
      <c r="BE670" t="s">
        <v>12795</v>
      </c>
      <c r="BF670" t="str">
        <f>HYPERLINK("http://dx.doi.org/10.1002/cssc.202300685","http://dx.doi.org/10.1002/cssc.202300685")</f>
        <v>http://dx.doi.org/10.1002/cssc.202300685</v>
      </c>
      <c r="BG670" t="s">
        <v>74</v>
      </c>
      <c r="BH670" t="s">
        <v>7524</v>
      </c>
      <c r="BI670">
        <v>9</v>
      </c>
      <c r="BJ670" t="s">
        <v>4983</v>
      </c>
      <c r="BK670" t="s">
        <v>119</v>
      </c>
      <c r="BL670" t="s">
        <v>4984</v>
      </c>
      <c r="BM670" t="s">
        <v>12796</v>
      </c>
      <c r="BN670">
        <v>37477393</v>
      </c>
      <c r="BO670" t="s">
        <v>122</v>
      </c>
      <c r="BP670" t="s">
        <v>74</v>
      </c>
      <c r="BQ670" t="s">
        <v>74</v>
      </c>
      <c r="BR670" t="s">
        <v>99</v>
      </c>
      <c r="BS670" t="s">
        <v>12797</v>
      </c>
      <c r="BT670" t="str">
        <f>HYPERLINK("https%3A%2F%2Fwww.webofscience.com%2Fwos%2Fwoscc%2Ffull-record%2FWOS:001044465100001","View Full Record in Web of Science")</f>
        <v>View Full Record in Web of Science</v>
      </c>
    </row>
    <row r="671" spans="1:72" x14ac:dyDescent="0.15">
      <c r="A671" t="s">
        <v>72</v>
      </c>
      <c r="B671" t="s">
        <v>12798</v>
      </c>
      <c r="C671" t="s">
        <v>74</v>
      </c>
      <c r="D671" t="s">
        <v>74</v>
      </c>
      <c r="E671" t="s">
        <v>74</v>
      </c>
      <c r="F671" t="s">
        <v>12799</v>
      </c>
      <c r="G671" t="s">
        <v>74</v>
      </c>
      <c r="H671" t="s">
        <v>74</v>
      </c>
      <c r="I671" t="s">
        <v>12800</v>
      </c>
      <c r="J671" t="s">
        <v>4827</v>
      </c>
      <c r="K671" t="s">
        <v>74</v>
      </c>
      <c r="L671" t="s">
        <v>74</v>
      </c>
      <c r="M671" t="s">
        <v>78</v>
      </c>
      <c r="N671" t="s">
        <v>338</v>
      </c>
      <c r="O671" t="s">
        <v>74</v>
      </c>
      <c r="P671" t="s">
        <v>74</v>
      </c>
      <c r="Q671" t="s">
        <v>74</v>
      </c>
      <c r="R671" t="s">
        <v>74</v>
      </c>
      <c r="S671" t="s">
        <v>74</v>
      </c>
      <c r="T671" t="s">
        <v>12801</v>
      </c>
      <c r="U671" t="s">
        <v>12802</v>
      </c>
      <c r="V671" t="s">
        <v>12803</v>
      </c>
      <c r="W671" t="s">
        <v>12804</v>
      </c>
      <c r="X671" t="s">
        <v>12805</v>
      </c>
      <c r="Y671" t="s">
        <v>12806</v>
      </c>
      <c r="Z671" t="s">
        <v>12807</v>
      </c>
      <c r="AA671" t="s">
        <v>74</v>
      </c>
      <c r="AB671" t="s">
        <v>12808</v>
      </c>
      <c r="AC671" t="s">
        <v>12809</v>
      </c>
      <c r="AD671" t="s">
        <v>12809</v>
      </c>
      <c r="AE671" t="s">
        <v>12809</v>
      </c>
      <c r="AF671" t="s">
        <v>74</v>
      </c>
      <c r="AG671">
        <v>55</v>
      </c>
      <c r="AH671">
        <v>0</v>
      </c>
      <c r="AI671">
        <v>0</v>
      </c>
      <c r="AJ671">
        <v>1</v>
      </c>
      <c r="AK671">
        <v>1</v>
      </c>
      <c r="AL671" t="s">
        <v>87</v>
      </c>
      <c r="AM671" t="s">
        <v>88</v>
      </c>
      <c r="AN671" t="s">
        <v>89</v>
      </c>
      <c r="AO671" t="s">
        <v>4839</v>
      </c>
      <c r="AP671" t="s">
        <v>4840</v>
      </c>
      <c r="AQ671" t="s">
        <v>74</v>
      </c>
      <c r="AR671" t="s">
        <v>4841</v>
      </c>
      <c r="AS671" t="s">
        <v>4842</v>
      </c>
      <c r="AT671" t="s">
        <v>12794</v>
      </c>
      <c r="AU671">
        <v>2023</v>
      </c>
      <c r="AV671" t="s">
        <v>74</v>
      </c>
      <c r="AW671" t="s">
        <v>74</v>
      </c>
      <c r="AX671" t="s">
        <v>74</v>
      </c>
      <c r="AY671" t="s">
        <v>74</v>
      </c>
      <c r="AZ671" t="s">
        <v>74</v>
      </c>
      <c r="BA671" t="s">
        <v>74</v>
      </c>
      <c r="BB671" t="s">
        <v>74</v>
      </c>
      <c r="BC671" t="s">
        <v>74</v>
      </c>
      <c r="BD671" t="s">
        <v>74</v>
      </c>
      <c r="BE671" t="s">
        <v>12810</v>
      </c>
      <c r="BF671" t="str">
        <f>HYPERLINK("http://dx.doi.org/10.1111/jfb.15514","http://dx.doi.org/10.1111/jfb.15514")</f>
        <v>http://dx.doi.org/10.1111/jfb.15514</v>
      </c>
      <c r="BG671" t="s">
        <v>74</v>
      </c>
      <c r="BH671" t="s">
        <v>7524</v>
      </c>
      <c r="BI671">
        <v>9</v>
      </c>
      <c r="BJ671" t="s">
        <v>4844</v>
      </c>
      <c r="BK671" t="s">
        <v>119</v>
      </c>
      <c r="BL671" t="s">
        <v>4844</v>
      </c>
      <c r="BM671" t="s">
        <v>12811</v>
      </c>
      <c r="BN671">
        <v>37496154</v>
      </c>
      <c r="BO671" t="s">
        <v>74</v>
      </c>
      <c r="BP671" t="s">
        <v>74</v>
      </c>
      <c r="BQ671" t="s">
        <v>74</v>
      </c>
      <c r="BR671" t="s">
        <v>99</v>
      </c>
      <c r="BS671" t="s">
        <v>12812</v>
      </c>
      <c r="BT671" t="str">
        <f>HYPERLINK("https%3A%2F%2Fwww.webofscience.com%2Fwos%2Fwoscc%2Ffull-record%2FWOS:001045075500001","View Full Record in Web of Science")</f>
        <v>View Full Record in Web of Science</v>
      </c>
    </row>
    <row r="672" spans="1:72" x14ac:dyDescent="0.15">
      <c r="A672" t="s">
        <v>72</v>
      </c>
      <c r="B672" t="s">
        <v>12813</v>
      </c>
      <c r="C672" t="s">
        <v>74</v>
      </c>
      <c r="D672" t="s">
        <v>74</v>
      </c>
      <c r="E672" t="s">
        <v>74</v>
      </c>
      <c r="F672" t="s">
        <v>12814</v>
      </c>
      <c r="G672" t="s">
        <v>74</v>
      </c>
      <c r="H672" t="s">
        <v>74</v>
      </c>
      <c r="I672" t="s">
        <v>12815</v>
      </c>
      <c r="J672" t="s">
        <v>4850</v>
      </c>
      <c r="K672" t="s">
        <v>74</v>
      </c>
      <c r="L672" t="s">
        <v>74</v>
      </c>
      <c r="M672" t="s">
        <v>78</v>
      </c>
      <c r="N672" t="s">
        <v>338</v>
      </c>
      <c r="O672" t="s">
        <v>74</v>
      </c>
      <c r="P672" t="s">
        <v>74</v>
      </c>
      <c r="Q672" t="s">
        <v>74</v>
      </c>
      <c r="R672" t="s">
        <v>74</v>
      </c>
      <c r="S672" t="s">
        <v>74</v>
      </c>
      <c r="T672" t="s">
        <v>12816</v>
      </c>
      <c r="U672" t="s">
        <v>12817</v>
      </c>
      <c r="V672" t="s">
        <v>12818</v>
      </c>
      <c r="W672" t="s">
        <v>12819</v>
      </c>
      <c r="X672" t="s">
        <v>12820</v>
      </c>
      <c r="Y672" t="s">
        <v>12821</v>
      </c>
      <c r="Z672" t="s">
        <v>12822</v>
      </c>
      <c r="AA672" t="s">
        <v>12823</v>
      </c>
      <c r="AB672" t="s">
        <v>12824</v>
      </c>
      <c r="AC672" t="s">
        <v>12825</v>
      </c>
      <c r="AD672" t="s">
        <v>12826</v>
      </c>
      <c r="AE672" t="s">
        <v>12827</v>
      </c>
      <c r="AF672" t="s">
        <v>74</v>
      </c>
      <c r="AG672">
        <v>39</v>
      </c>
      <c r="AH672">
        <v>0</v>
      </c>
      <c r="AI672">
        <v>0</v>
      </c>
      <c r="AJ672">
        <v>11</v>
      </c>
      <c r="AK672">
        <v>11</v>
      </c>
      <c r="AL672" t="s">
        <v>426</v>
      </c>
      <c r="AM672" t="s">
        <v>427</v>
      </c>
      <c r="AN672" t="s">
        <v>428</v>
      </c>
      <c r="AO672" t="s">
        <v>4860</v>
      </c>
      <c r="AP672" t="s">
        <v>4861</v>
      </c>
      <c r="AQ672" t="s">
        <v>74</v>
      </c>
      <c r="AR672" t="s">
        <v>4862</v>
      </c>
      <c r="AS672" t="s">
        <v>4863</v>
      </c>
      <c r="AT672" t="s">
        <v>12794</v>
      </c>
      <c r="AU672">
        <v>2023</v>
      </c>
      <c r="AV672" t="s">
        <v>74</v>
      </c>
      <c r="AW672" t="s">
        <v>74</v>
      </c>
      <c r="AX672" t="s">
        <v>74</v>
      </c>
      <c r="AY672" t="s">
        <v>74</v>
      </c>
      <c r="AZ672" t="s">
        <v>74</v>
      </c>
      <c r="BA672" t="s">
        <v>74</v>
      </c>
      <c r="BB672" t="s">
        <v>74</v>
      </c>
      <c r="BC672" t="s">
        <v>74</v>
      </c>
      <c r="BD672" t="s">
        <v>74</v>
      </c>
      <c r="BE672" t="s">
        <v>12828</v>
      </c>
      <c r="BF672" t="str">
        <f>HYPERLINK("http://dx.doi.org/10.1002/asia.202300336","http://dx.doi.org/10.1002/asia.202300336")</f>
        <v>http://dx.doi.org/10.1002/asia.202300336</v>
      </c>
      <c r="BG672" t="s">
        <v>74</v>
      </c>
      <c r="BH672" t="s">
        <v>7524</v>
      </c>
      <c r="BI672">
        <v>6</v>
      </c>
      <c r="BJ672" t="s">
        <v>523</v>
      </c>
      <c r="BK672" t="s">
        <v>119</v>
      </c>
      <c r="BL672" t="s">
        <v>524</v>
      </c>
      <c r="BM672" t="s">
        <v>12829</v>
      </c>
      <c r="BN672">
        <v>37555803</v>
      </c>
      <c r="BO672" t="s">
        <v>74</v>
      </c>
      <c r="BP672" t="s">
        <v>74</v>
      </c>
      <c r="BQ672" t="s">
        <v>74</v>
      </c>
      <c r="BR672" t="s">
        <v>99</v>
      </c>
      <c r="BS672" t="s">
        <v>12830</v>
      </c>
      <c r="BT672" t="str">
        <f>HYPERLINK("https%3A%2F%2Fwww.webofscience.com%2Fwos%2Fwoscc%2Ffull-record%2FWOS:001043807700001","View Full Record in Web of Science")</f>
        <v>View Full Record in Web of Science</v>
      </c>
    </row>
    <row r="673" spans="1:72" x14ac:dyDescent="0.15">
      <c r="A673" t="s">
        <v>72</v>
      </c>
      <c r="B673" t="s">
        <v>12831</v>
      </c>
      <c r="C673" t="s">
        <v>74</v>
      </c>
      <c r="D673" t="s">
        <v>74</v>
      </c>
      <c r="E673" t="s">
        <v>74</v>
      </c>
      <c r="F673" t="s">
        <v>12832</v>
      </c>
      <c r="G673" t="s">
        <v>74</v>
      </c>
      <c r="H673" t="s">
        <v>74</v>
      </c>
      <c r="I673" t="s">
        <v>12833</v>
      </c>
      <c r="J673" t="s">
        <v>5836</v>
      </c>
      <c r="K673" t="s">
        <v>74</v>
      </c>
      <c r="L673" t="s">
        <v>74</v>
      </c>
      <c r="M673" t="s">
        <v>78</v>
      </c>
      <c r="N673" t="s">
        <v>338</v>
      </c>
      <c r="O673" t="s">
        <v>74</v>
      </c>
      <c r="P673" t="s">
        <v>74</v>
      </c>
      <c r="Q673" t="s">
        <v>74</v>
      </c>
      <c r="R673" t="s">
        <v>74</v>
      </c>
      <c r="S673" t="s">
        <v>74</v>
      </c>
      <c r="T673" t="s">
        <v>12834</v>
      </c>
      <c r="U673" t="s">
        <v>12835</v>
      </c>
      <c r="V673" t="s">
        <v>12836</v>
      </c>
      <c r="W673" t="s">
        <v>12837</v>
      </c>
      <c r="X673" t="s">
        <v>12838</v>
      </c>
      <c r="Y673" t="s">
        <v>12839</v>
      </c>
      <c r="Z673" t="s">
        <v>12840</v>
      </c>
      <c r="AA673" t="s">
        <v>74</v>
      </c>
      <c r="AB673" t="s">
        <v>74</v>
      </c>
      <c r="AC673" t="s">
        <v>12841</v>
      </c>
      <c r="AD673" t="s">
        <v>12841</v>
      </c>
      <c r="AE673" t="s">
        <v>12841</v>
      </c>
      <c r="AF673" t="s">
        <v>74</v>
      </c>
      <c r="AG673">
        <v>81</v>
      </c>
      <c r="AH673">
        <v>0</v>
      </c>
      <c r="AI673">
        <v>0</v>
      </c>
      <c r="AJ673">
        <v>2</v>
      </c>
      <c r="AK673">
        <v>2</v>
      </c>
      <c r="AL673" t="s">
        <v>87</v>
      </c>
      <c r="AM673" t="s">
        <v>88</v>
      </c>
      <c r="AN673" t="s">
        <v>89</v>
      </c>
      <c r="AO673" t="s">
        <v>5846</v>
      </c>
      <c r="AP673" t="s">
        <v>5847</v>
      </c>
      <c r="AQ673" t="s">
        <v>74</v>
      </c>
      <c r="AR673" t="s">
        <v>5848</v>
      </c>
      <c r="AS673" t="s">
        <v>5849</v>
      </c>
      <c r="AT673" t="s">
        <v>12794</v>
      </c>
      <c r="AU673">
        <v>2023</v>
      </c>
      <c r="AV673" t="s">
        <v>74</v>
      </c>
      <c r="AW673" t="s">
        <v>74</v>
      </c>
      <c r="AX673" t="s">
        <v>74</v>
      </c>
      <c r="AY673" t="s">
        <v>74</v>
      </c>
      <c r="AZ673" t="s">
        <v>74</v>
      </c>
      <c r="BA673" t="s">
        <v>74</v>
      </c>
      <c r="BB673" t="s">
        <v>74</v>
      </c>
      <c r="BC673" t="s">
        <v>74</v>
      </c>
      <c r="BD673" t="s">
        <v>74</v>
      </c>
      <c r="BE673" t="s">
        <v>12842</v>
      </c>
      <c r="BF673" t="str">
        <f>HYPERLINK("http://dx.doi.org/10.1002/sys.21714","http://dx.doi.org/10.1002/sys.21714")</f>
        <v>http://dx.doi.org/10.1002/sys.21714</v>
      </c>
      <c r="BG673" t="s">
        <v>74</v>
      </c>
      <c r="BH673" t="s">
        <v>7524</v>
      </c>
      <c r="BI673">
        <v>18</v>
      </c>
      <c r="BJ673" t="s">
        <v>5851</v>
      </c>
      <c r="BK673" t="s">
        <v>119</v>
      </c>
      <c r="BL673" t="s">
        <v>1518</v>
      </c>
      <c r="BM673" t="s">
        <v>12843</v>
      </c>
      <c r="BN673" t="s">
        <v>74</v>
      </c>
      <c r="BO673" t="s">
        <v>301</v>
      </c>
      <c r="BP673" t="s">
        <v>74</v>
      </c>
      <c r="BQ673" t="s">
        <v>74</v>
      </c>
      <c r="BR673" t="s">
        <v>99</v>
      </c>
      <c r="BS673" t="s">
        <v>12844</v>
      </c>
      <c r="BT673" t="str">
        <f>HYPERLINK("https%3A%2F%2Fwww.webofscience.com%2Fwos%2Fwoscc%2Ffull-record%2FWOS:001044668500001","View Full Record in Web of Science")</f>
        <v>View Full Record in Web of Science</v>
      </c>
    </row>
    <row r="674" spans="1:72" x14ac:dyDescent="0.15">
      <c r="A674" t="s">
        <v>72</v>
      </c>
      <c r="B674" t="s">
        <v>12845</v>
      </c>
      <c r="C674" t="s">
        <v>74</v>
      </c>
      <c r="D674" t="s">
        <v>74</v>
      </c>
      <c r="E674" t="s">
        <v>74</v>
      </c>
      <c r="F674" t="s">
        <v>12846</v>
      </c>
      <c r="G674" t="s">
        <v>74</v>
      </c>
      <c r="H674" t="s">
        <v>74</v>
      </c>
      <c r="I674" t="s">
        <v>12847</v>
      </c>
      <c r="J674" t="s">
        <v>10537</v>
      </c>
      <c r="K674" t="s">
        <v>74</v>
      </c>
      <c r="L674" t="s">
        <v>74</v>
      </c>
      <c r="M674" t="s">
        <v>78</v>
      </c>
      <c r="N674" t="s">
        <v>338</v>
      </c>
      <c r="O674" t="s">
        <v>74</v>
      </c>
      <c r="P674" t="s">
        <v>74</v>
      </c>
      <c r="Q674" t="s">
        <v>74</v>
      </c>
      <c r="R674" t="s">
        <v>74</v>
      </c>
      <c r="S674" t="s">
        <v>74</v>
      </c>
      <c r="T674" t="s">
        <v>12848</v>
      </c>
      <c r="U674" t="s">
        <v>12849</v>
      </c>
      <c r="V674" t="s">
        <v>12850</v>
      </c>
      <c r="W674" t="s">
        <v>12851</v>
      </c>
      <c r="X674" t="s">
        <v>12852</v>
      </c>
      <c r="Y674" t="s">
        <v>12853</v>
      </c>
      <c r="Z674" t="s">
        <v>12854</v>
      </c>
      <c r="AA674" t="s">
        <v>12855</v>
      </c>
      <c r="AB674" t="s">
        <v>12856</v>
      </c>
      <c r="AC674" t="s">
        <v>74</v>
      </c>
      <c r="AD674" t="s">
        <v>74</v>
      </c>
      <c r="AE674" t="s">
        <v>74</v>
      </c>
      <c r="AF674" t="s">
        <v>74</v>
      </c>
      <c r="AG674">
        <v>33</v>
      </c>
      <c r="AH674">
        <v>0</v>
      </c>
      <c r="AI674">
        <v>0</v>
      </c>
      <c r="AJ674">
        <v>1</v>
      </c>
      <c r="AK674">
        <v>1</v>
      </c>
      <c r="AL674" t="s">
        <v>87</v>
      </c>
      <c r="AM674" t="s">
        <v>88</v>
      </c>
      <c r="AN674" t="s">
        <v>89</v>
      </c>
      <c r="AO674" t="s">
        <v>10546</v>
      </c>
      <c r="AP674" t="s">
        <v>10547</v>
      </c>
      <c r="AQ674" t="s">
        <v>74</v>
      </c>
      <c r="AR674" t="s">
        <v>10548</v>
      </c>
      <c r="AS674" t="s">
        <v>10549</v>
      </c>
      <c r="AT674" t="s">
        <v>12794</v>
      </c>
      <c r="AU674">
        <v>2023</v>
      </c>
      <c r="AV674" t="s">
        <v>74</v>
      </c>
      <c r="AW674" t="s">
        <v>74</v>
      </c>
      <c r="AX674" t="s">
        <v>74</v>
      </c>
      <c r="AY674" t="s">
        <v>74</v>
      </c>
      <c r="AZ674" t="s">
        <v>74</v>
      </c>
      <c r="BA674" t="s">
        <v>74</v>
      </c>
      <c r="BB674" t="s">
        <v>74</v>
      </c>
      <c r="BC674" t="s">
        <v>74</v>
      </c>
      <c r="BD674" t="s">
        <v>12857</v>
      </c>
      <c r="BE674" t="s">
        <v>12858</v>
      </c>
      <c r="BF674" t="str">
        <f>HYPERLINK("http://dx.doi.org/10.1111/jjns.12556","http://dx.doi.org/10.1111/jjns.12556")</f>
        <v>http://dx.doi.org/10.1111/jjns.12556</v>
      </c>
      <c r="BG674" t="s">
        <v>74</v>
      </c>
      <c r="BH674" t="s">
        <v>7524</v>
      </c>
      <c r="BI674">
        <v>9</v>
      </c>
      <c r="BJ674" t="s">
        <v>5811</v>
      </c>
      <c r="BK674" t="s">
        <v>409</v>
      </c>
      <c r="BL674" t="s">
        <v>5811</v>
      </c>
      <c r="BM674" t="s">
        <v>12859</v>
      </c>
      <c r="BN674">
        <v>37559431</v>
      </c>
      <c r="BO674" t="s">
        <v>122</v>
      </c>
      <c r="BP674" t="s">
        <v>74</v>
      </c>
      <c r="BQ674" t="s">
        <v>74</v>
      </c>
      <c r="BR674" t="s">
        <v>99</v>
      </c>
      <c r="BS674" t="s">
        <v>12860</v>
      </c>
      <c r="BT674" t="str">
        <f>HYPERLINK("https%3A%2F%2Fwww.webofscience.com%2Fwos%2Fwoscc%2Ffull-record%2FWOS:001045084900001","View Full Record in Web of Science")</f>
        <v>View Full Record in Web of Science</v>
      </c>
    </row>
    <row r="675" spans="1:72" x14ac:dyDescent="0.15">
      <c r="A675" t="s">
        <v>72</v>
      </c>
      <c r="B675" t="s">
        <v>12861</v>
      </c>
      <c r="C675" t="s">
        <v>74</v>
      </c>
      <c r="D675" t="s">
        <v>74</v>
      </c>
      <c r="E675" t="s">
        <v>74</v>
      </c>
      <c r="F675" t="s">
        <v>12862</v>
      </c>
      <c r="G675" t="s">
        <v>74</v>
      </c>
      <c r="H675" t="s">
        <v>74</v>
      </c>
      <c r="I675" t="s">
        <v>12863</v>
      </c>
      <c r="J675" t="s">
        <v>8591</v>
      </c>
      <c r="K675" t="s">
        <v>74</v>
      </c>
      <c r="L675" t="s">
        <v>74</v>
      </c>
      <c r="M675" t="s">
        <v>78</v>
      </c>
      <c r="N675" t="s">
        <v>338</v>
      </c>
      <c r="O675" t="s">
        <v>74</v>
      </c>
      <c r="P675" t="s">
        <v>74</v>
      </c>
      <c r="Q675" t="s">
        <v>74</v>
      </c>
      <c r="R675" t="s">
        <v>74</v>
      </c>
      <c r="S675" t="s">
        <v>74</v>
      </c>
      <c r="T675" t="s">
        <v>12864</v>
      </c>
      <c r="U675" t="s">
        <v>12865</v>
      </c>
      <c r="V675" t="s">
        <v>12866</v>
      </c>
      <c r="W675" t="s">
        <v>12867</v>
      </c>
      <c r="X675" t="s">
        <v>12868</v>
      </c>
      <c r="Y675" t="s">
        <v>12869</v>
      </c>
      <c r="Z675" t="s">
        <v>12870</v>
      </c>
      <c r="AA675" t="s">
        <v>74</v>
      </c>
      <c r="AB675" t="s">
        <v>12871</v>
      </c>
      <c r="AC675" t="s">
        <v>12872</v>
      </c>
      <c r="AD675" t="s">
        <v>12873</v>
      </c>
      <c r="AE675" t="s">
        <v>12874</v>
      </c>
      <c r="AF675" t="s">
        <v>74</v>
      </c>
      <c r="AG675">
        <v>48</v>
      </c>
      <c r="AH675">
        <v>0</v>
      </c>
      <c r="AI675">
        <v>0</v>
      </c>
      <c r="AJ675">
        <v>2</v>
      </c>
      <c r="AK675">
        <v>2</v>
      </c>
      <c r="AL675" t="s">
        <v>426</v>
      </c>
      <c r="AM675" t="s">
        <v>427</v>
      </c>
      <c r="AN675" t="s">
        <v>428</v>
      </c>
      <c r="AO675" t="s">
        <v>8604</v>
      </c>
      <c r="AP675" t="s">
        <v>8605</v>
      </c>
      <c r="AQ675" t="s">
        <v>74</v>
      </c>
      <c r="AR675" t="s">
        <v>8606</v>
      </c>
      <c r="AS675" t="s">
        <v>8607</v>
      </c>
      <c r="AT675" t="s">
        <v>12794</v>
      </c>
      <c r="AU675">
        <v>2023</v>
      </c>
      <c r="AV675" t="s">
        <v>74</v>
      </c>
      <c r="AW675" t="s">
        <v>74</v>
      </c>
      <c r="AX675" t="s">
        <v>74</v>
      </c>
      <c r="AY675" t="s">
        <v>74</v>
      </c>
      <c r="AZ675" t="s">
        <v>74</v>
      </c>
      <c r="BA675" t="s">
        <v>74</v>
      </c>
      <c r="BB675" t="s">
        <v>74</v>
      </c>
      <c r="BC675" t="s">
        <v>74</v>
      </c>
      <c r="BD675" t="s">
        <v>74</v>
      </c>
      <c r="BE675" t="s">
        <v>12875</v>
      </c>
      <c r="BF675" t="str">
        <f>HYPERLINK("http://dx.doi.org/10.1002/zaac.202300124","http://dx.doi.org/10.1002/zaac.202300124")</f>
        <v>http://dx.doi.org/10.1002/zaac.202300124</v>
      </c>
      <c r="BG675" t="s">
        <v>74</v>
      </c>
      <c r="BH675" t="s">
        <v>7524</v>
      </c>
      <c r="BI675">
        <v>8</v>
      </c>
      <c r="BJ675" t="s">
        <v>4460</v>
      </c>
      <c r="BK675" t="s">
        <v>119</v>
      </c>
      <c r="BL675" t="s">
        <v>524</v>
      </c>
      <c r="BM675" t="s">
        <v>12876</v>
      </c>
      <c r="BN675" t="s">
        <v>74</v>
      </c>
      <c r="BO675" t="s">
        <v>74</v>
      </c>
      <c r="BP675" t="s">
        <v>74</v>
      </c>
      <c r="BQ675" t="s">
        <v>74</v>
      </c>
      <c r="BR675" t="s">
        <v>99</v>
      </c>
      <c r="BS675" t="s">
        <v>12877</v>
      </c>
      <c r="BT675" t="str">
        <f>HYPERLINK("https%3A%2F%2Fwww.webofscience.com%2Fwos%2Fwoscc%2Ffull-record%2FWOS:001044605000001","View Full Record in Web of Science")</f>
        <v>View Full Record in Web of Science</v>
      </c>
    </row>
    <row r="676" spans="1:72" x14ac:dyDescent="0.15">
      <c r="A676" t="s">
        <v>72</v>
      </c>
      <c r="B676" t="s">
        <v>12878</v>
      </c>
      <c r="C676" t="s">
        <v>74</v>
      </c>
      <c r="D676" t="s">
        <v>74</v>
      </c>
      <c r="E676" t="s">
        <v>74</v>
      </c>
      <c r="F676" t="s">
        <v>12879</v>
      </c>
      <c r="G676" t="s">
        <v>74</v>
      </c>
      <c r="H676" t="s">
        <v>74</v>
      </c>
      <c r="I676" t="s">
        <v>12880</v>
      </c>
      <c r="J676" t="s">
        <v>12881</v>
      </c>
      <c r="K676" t="s">
        <v>74</v>
      </c>
      <c r="L676" t="s">
        <v>74</v>
      </c>
      <c r="M676" t="s">
        <v>78</v>
      </c>
      <c r="N676" t="s">
        <v>338</v>
      </c>
      <c r="O676" t="s">
        <v>74</v>
      </c>
      <c r="P676" t="s">
        <v>74</v>
      </c>
      <c r="Q676" t="s">
        <v>74</v>
      </c>
      <c r="R676" t="s">
        <v>74</v>
      </c>
      <c r="S676" t="s">
        <v>74</v>
      </c>
      <c r="T676" t="s">
        <v>74</v>
      </c>
      <c r="U676" t="s">
        <v>12882</v>
      </c>
      <c r="V676" t="s">
        <v>12883</v>
      </c>
      <c r="W676" t="s">
        <v>12884</v>
      </c>
      <c r="X676" t="s">
        <v>12885</v>
      </c>
      <c r="Y676" t="s">
        <v>12886</v>
      </c>
      <c r="Z676" t="s">
        <v>12887</v>
      </c>
      <c r="AA676" t="s">
        <v>74</v>
      </c>
      <c r="AB676" t="s">
        <v>12888</v>
      </c>
      <c r="AC676" t="s">
        <v>74</v>
      </c>
      <c r="AD676" t="s">
        <v>74</v>
      </c>
      <c r="AE676" t="s">
        <v>74</v>
      </c>
      <c r="AF676" t="s">
        <v>74</v>
      </c>
      <c r="AG676">
        <v>17</v>
      </c>
      <c r="AH676">
        <v>0</v>
      </c>
      <c r="AI676">
        <v>0</v>
      </c>
      <c r="AJ676">
        <v>0</v>
      </c>
      <c r="AK676">
        <v>0</v>
      </c>
      <c r="AL676" t="s">
        <v>87</v>
      </c>
      <c r="AM676" t="s">
        <v>88</v>
      </c>
      <c r="AN676" t="s">
        <v>89</v>
      </c>
      <c r="AO676" t="s">
        <v>12889</v>
      </c>
      <c r="AP676" t="s">
        <v>12890</v>
      </c>
      <c r="AQ676" t="s">
        <v>74</v>
      </c>
      <c r="AR676" t="s">
        <v>12891</v>
      </c>
      <c r="AS676" t="s">
        <v>12892</v>
      </c>
      <c r="AT676" t="s">
        <v>12794</v>
      </c>
      <c r="AU676">
        <v>2023</v>
      </c>
      <c r="AV676" t="s">
        <v>74</v>
      </c>
      <c r="AW676" t="s">
        <v>74</v>
      </c>
      <c r="AX676" t="s">
        <v>74</v>
      </c>
      <c r="AY676" t="s">
        <v>74</v>
      </c>
      <c r="AZ676" t="s">
        <v>74</v>
      </c>
      <c r="BA676" t="s">
        <v>74</v>
      </c>
      <c r="BB676" t="s">
        <v>74</v>
      </c>
      <c r="BC676" t="s">
        <v>74</v>
      </c>
      <c r="BD676" t="s">
        <v>74</v>
      </c>
      <c r="BE676" t="s">
        <v>12893</v>
      </c>
      <c r="BF676" t="str">
        <f>HYPERLINK("http://dx.doi.org/10.1111/jsap.13665","http://dx.doi.org/10.1111/jsap.13665")</f>
        <v>http://dx.doi.org/10.1111/jsap.13665</v>
      </c>
      <c r="BG676" t="s">
        <v>74</v>
      </c>
      <c r="BH676" t="s">
        <v>7524</v>
      </c>
      <c r="BI676">
        <v>5</v>
      </c>
      <c r="BJ676" t="s">
        <v>354</v>
      </c>
      <c r="BK676" t="s">
        <v>119</v>
      </c>
      <c r="BL676" t="s">
        <v>354</v>
      </c>
      <c r="BM676" t="s">
        <v>12894</v>
      </c>
      <c r="BN676">
        <v>37559209</v>
      </c>
      <c r="BO676" t="s">
        <v>301</v>
      </c>
      <c r="BP676" t="s">
        <v>74</v>
      </c>
      <c r="BQ676" t="s">
        <v>74</v>
      </c>
      <c r="BR676" t="s">
        <v>99</v>
      </c>
      <c r="BS676" t="s">
        <v>12895</v>
      </c>
      <c r="BT676" t="str">
        <f>HYPERLINK("https%3A%2F%2Fwww.webofscience.com%2Fwos%2Fwoscc%2Ffull-record%2FWOS:001044769900001","View Full Record in Web of Science")</f>
        <v>View Full Record in Web of Science</v>
      </c>
    </row>
    <row r="677" spans="1:72" x14ac:dyDescent="0.15">
      <c r="A677" t="s">
        <v>72</v>
      </c>
      <c r="B677" t="s">
        <v>12896</v>
      </c>
      <c r="C677" t="s">
        <v>74</v>
      </c>
      <c r="D677" t="s">
        <v>74</v>
      </c>
      <c r="E677" t="s">
        <v>74</v>
      </c>
      <c r="F677" t="s">
        <v>12897</v>
      </c>
      <c r="G677" t="s">
        <v>74</v>
      </c>
      <c r="H677" t="s">
        <v>74</v>
      </c>
      <c r="I677" t="s">
        <v>12898</v>
      </c>
      <c r="J677" t="s">
        <v>6599</v>
      </c>
      <c r="K677" t="s">
        <v>74</v>
      </c>
      <c r="L677" t="s">
        <v>74</v>
      </c>
      <c r="M677" t="s">
        <v>78</v>
      </c>
      <c r="N677" t="s">
        <v>338</v>
      </c>
      <c r="O677" t="s">
        <v>74</v>
      </c>
      <c r="P677" t="s">
        <v>74</v>
      </c>
      <c r="Q677" t="s">
        <v>74</v>
      </c>
      <c r="R677" t="s">
        <v>74</v>
      </c>
      <c r="S677" t="s">
        <v>74</v>
      </c>
      <c r="T677" t="s">
        <v>12899</v>
      </c>
      <c r="U677" t="s">
        <v>12900</v>
      </c>
      <c r="V677" t="s">
        <v>12901</v>
      </c>
      <c r="W677" t="s">
        <v>12902</v>
      </c>
      <c r="X677" t="s">
        <v>12903</v>
      </c>
      <c r="Y677" t="s">
        <v>12904</v>
      </c>
      <c r="Z677" t="s">
        <v>12905</v>
      </c>
      <c r="AA677" t="s">
        <v>74</v>
      </c>
      <c r="AB677" t="s">
        <v>12906</v>
      </c>
      <c r="AC677" t="s">
        <v>12907</v>
      </c>
      <c r="AD677" t="s">
        <v>12908</v>
      </c>
      <c r="AE677" t="s">
        <v>12909</v>
      </c>
      <c r="AF677" t="s">
        <v>74</v>
      </c>
      <c r="AG677">
        <v>80</v>
      </c>
      <c r="AH677">
        <v>1</v>
      </c>
      <c r="AI677">
        <v>1</v>
      </c>
      <c r="AJ677">
        <v>6</v>
      </c>
      <c r="AK677">
        <v>6</v>
      </c>
      <c r="AL677" t="s">
        <v>87</v>
      </c>
      <c r="AM677" t="s">
        <v>88</v>
      </c>
      <c r="AN677" t="s">
        <v>89</v>
      </c>
      <c r="AO677" t="s">
        <v>6610</v>
      </c>
      <c r="AP677" t="s">
        <v>6611</v>
      </c>
      <c r="AQ677" t="s">
        <v>74</v>
      </c>
      <c r="AR677" t="s">
        <v>6612</v>
      </c>
      <c r="AS677" t="s">
        <v>6613</v>
      </c>
      <c r="AT677" t="s">
        <v>12794</v>
      </c>
      <c r="AU677">
        <v>2023</v>
      </c>
      <c r="AV677" t="s">
        <v>74</v>
      </c>
      <c r="AW677" t="s">
        <v>74</v>
      </c>
      <c r="AX677" t="s">
        <v>74</v>
      </c>
      <c r="AY677" t="s">
        <v>74</v>
      </c>
      <c r="AZ677" t="s">
        <v>74</v>
      </c>
      <c r="BA677" t="s">
        <v>74</v>
      </c>
      <c r="BB677" t="s">
        <v>74</v>
      </c>
      <c r="BC677" t="s">
        <v>74</v>
      </c>
      <c r="BD677" t="s">
        <v>74</v>
      </c>
      <c r="BE677" t="s">
        <v>12910</v>
      </c>
      <c r="BF677" t="str">
        <f>HYPERLINK("http://dx.doi.org/10.1002/bse.3528","http://dx.doi.org/10.1002/bse.3528")</f>
        <v>http://dx.doi.org/10.1002/bse.3528</v>
      </c>
      <c r="BG677" t="s">
        <v>74</v>
      </c>
      <c r="BH677" t="s">
        <v>7524</v>
      </c>
      <c r="BI677">
        <v>19</v>
      </c>
      <c r="BJ677" t="s">
        <v>6615</v>
      </c>
      <c r="BK677" t="s">
        <v>546</v>
      </c>
      <c r="BL677" t="s">
        <v>6616</v>
      </c>
      <c r="BM677" t="s">
        <v>12911</v>
      </c>
      <c r="BN677" t="s">
        <v>74</v>
      </c>
      <c r="BO677" t="s">
        <v>122</v>
      </c>
      <c r="BP677" t="s">
        <v>74</v>
      </c>
      <c r="BQ677" t="s">
        <v>74</v>
      </c>
      <c r="BR677" t="s">
        <v>99</v>
      </c>
      <c r="BS677" t="s">
        <v>12912</v>
      </c>
      <c r="BT677" t="str">
        <f>HYPERLINK("https%3A%2F%2Fwww.webofscience.com%2Fwos%2Fwoscc%2Ffull-record%2FWOS:001044779000001","View Full Record in Web of Science")</f>
        <v>View Full Record in Web of Science</v>
      </c>
    </row>
    <row r="678" spans="1:72" x14ac:dyDescent="0.15">
      <c r="A678" t="s">
        <v>72</v>
      </c>
      <c r="B678" t="s">
        <v>12913</v>
      </c>
      <c r="C678" t="s">
        <v>74</v>
      </c>
      <c r="D678" t="s">
        <v>74</v>
      </c>
      <c r="E678" t="s">
        <v>74</v>
      </c>
      <c r="F678" t="s">
        <v>12914</v>
      </c>
      <c r="G678" t="s">
        <v>74</v>
      </c>
      <c r="H678" t="s">
        <v>74</v>
      </c>
      <c r="I678" t="s">
        <v>12915</v>
      </c>
      <c r="J678" t="s">
        <v>3347</v>
      </c>
      <c r="K678" t="s">
        <v>74</v>
      </c>
      <c r="L678" t="s">
        <v>74</v>
      </c>
      <c r="M678" t="s">
        <v>78</v>
      </c>
      <c r="N678" t="s">
        <v>594</v>
      </c>
      <c r="O678" t="s">
        <v>74</v>
      </c>
      <c r="P678" t="s">
        <v>74</v>
      </c>
      <c r="Q678" t="s">
        <v>74</v>
      </c>
      <c r="R678" t="s">
        <v>74</v>
      </c>
      <c r="S678" t="s">
        <v>74</v>
      </c>
      <c r="T678" t="s">
        <v>12916</v>
      </c>
      <c r="U678" t="s">
        <v>12917</v>
      </c>
      <c r="V678" t="s">
        <v>12918</v>
      </c>
      <c r="W678" t="s">
        <v>12919</v>
      </c>
      <c r="X678" t="s">
        <v>12920</v>
      </c>
      <c r="Y678" t="s">
        <v>12921</v>
      </c>
      <c r="Z678" t="s">
        <v>12922</v>
      </c>
      <c r="AA678" t="s">
        <v>74</v>
      </c>
      <c r="AB678" t="s">
        <v>74</v>
      </c>
      <c r="AC678" t="s">
        <v>74</v>
      </c>
      <c r="AD678" t="s">
        <v>74</v>
      </c>
      <c r="AE678" t="s">
        <v>74</v>
      </c>
      <c r="AF678" t="s">
        <v>74</v>
      </c>
      <c r="AG678">
        <v>159</v>
      </c>
      <c r="AH678">
        <v>0</v>
      </c>
      <c r="AI678">
        <v>0</v>
      </c>
      <c r="AJ678">
        <v>5</v>
      </c>
      <c r="AK678">
        <v>5</v>
      </c>
      <c r="AL678" t="s">
        <v>426</v>
      </c>
      <c r="AM678" t="s">
        <v>427</v>
      </c>
      <c r="AN678" t="s">
        <v>428</v>
      </c>
      <c r="AO678" t="s">
        <v>3358</v>
      </c>
      <c r="AP678" t="s">
        <v>3359</v>
      </c>
      <c r="AQ678" t="s">
        <v>74</v>
      </c>
      <c r="AR678" t="s">
        <v>3347</v>
      </c>
      <c r="AS678" t="s">
        <v>3360</v>
      </c>
      <c r="AT678" t="s">
        <v>12794</v>
      </c>
      <c r="AU678">
        <v>2023</v>
      </c>
      <c r="AV678" t="s">
        <v>74</v>
      </c>
      <c r="AW678" t="s">
        <v>74</v>
      </c>
      <c r="AX678" t="s">
        <v>74</v>
      </c>
      <c r="AY678" t="s">
        <v>74</v>
      </c>
      <c r="AZ678" t="s">
        <v>74</v>
      </c>
      <c r="BA678" t="s">
        <v>74</v>
      </c>
      <c r="BB678" t="s">
        <v>74</v>
      </c>
      <c r="BC678" t="s">
        <v>74</v>
      </c>
      <c r="BD678" t="s">
        <v>74</v>
      </c>
      <c r="BE678" t="s">
        <v>12923</v>
      </c>
      <c r="BF678" t="str">
        <f>HYPERLINK("http://dx.doi.org/10.1002/cbic.202300328","http://dx.doi.org/10.1002/cbic.202300328")</f>
        <v>http://dx.doi.org/10.1002/cbic.202300328</v>
      </c>
      <c r="BG678" t="s">
        <v>74</v>
      </c>
      <c r="BH678" t="s">
        <v>7524</v>
      </c>
      <c r="BI678">
        <v>19</v>
      </c>
      <c r="BJ678" t="s">
        <v>3363</v>
      </c>
      <c r="BK678" t="s">
        <v>119</v>
      </c>
      <c r="BL678" t="s">
        <v>3364</v>
      </c>
      <c r="BM678" t="s">
        <v>12924</v>
      </c>
      <c r="BN678">
        <v>37497809</v>
      </c>
      <c r="BO678" t="s">
        <v>74</v>
      </c>
      <c r="BP678" t="s">
        <v>74</v>
      </c>
      <c r="BQ678" t="s">
        <v>74</v>
      </c>
      <c r="BR678" t="s">
        <v>99</v>
      </c>
      <c r="BS678" t="s">
        <v>12925</v>
      </c>
      <c r="BT678" t="str">
        <f>HYPERLINK("https%3A%2F%2Fwww.webofscience.com%2Fwos%2Fwoscc%2Ffull-record%2FWOS:001044790400001","View Full Record in Web of Science")</f>
        <v>View Full Record in Web of Science</v>
      </c>
    </row>
    <row r="679" spans="1:72" x14ac:dyDescent="0.15">
      <c r="A679" t="s">
        <v>72</v>
      </c>
      <c r="B679" t="s">
        <v>12926</v>
      </c>
      <c r="C679" t="s">
        <v>74</v>
      </c>
      <c r="D679" t="s">
        <v>74</v>
      </c>
      <c r="E679" t="s">
        <v>74</v>
      </c>
      <c r="F679" t="s">
        <v>12927</v>
      </c>
      <c r="G679" t="s">
        <v>74</v>
      </c>
      <c r="H679" t="s">
        <v>74</v>
      </c>
      <c r="I679" t="s">
        <v>12928</v>
      </c>
      <c r="J679" t="s">
        <v>12929</v>
      </c>
      <c r="K679" t="s">
        <v>74</v>
      </c>
      <c r="L679" t="s">
        <v>74</v>
      </c>
      <c r="M679" t="s">
        <v>78</v>
      </c>
      <c r="N679" t="s">
        <v>338</v>
      </c>
      <c r="O679" t="s">
        <v>74</v>
      </c>
      <c r="P679" t="s">
        <v>74</v>
      </c>
      <c r="Q679" t="s">
        <v>74</v>
      </c>
      <c r="R679" t="s">
        <v>74</v>
      </c>
      <c r="S679" t="s">
        <v>74</v>
      </c>
      <c r="T679" t="s">
        <v>12930</v>
      </c>
      <c r="U679" t="s">
        <v>12931</v>
      </c>
      <c r="V679" t="s">
        <v>12932</v>
      </c>
      <c r="W679" t="s">
        <v>12933</v>
      </c>
      <c r="X679" t="s">
        <v>12934</v>
      </c>
      <c r="Y679" t="s">
        <v>12935</v>
      </c>
      <c r="Z679" t="s">
        <v>12936</v>
      </c>
      <c r="AA679" t="s">
        <v>74</v>
      </c>
      <c r="AB679" t="s">
        <v>74</v>
      </c>
      <c r="AC679" t="s">
        <v>12937</v>
      </c>
      <c r="AD679" t="s">
        <v>10187</v>
      </c>
      <c r="AE679" t="s">
        <v>12937</v>
      </c>
      <c r="AF679" t="s">
        <v>74</v>
      </c>
      <c r="AG679">
        <v>49</v>
      </c>
      <c r="AH679">
        <v>0</v>
      </c>
      <c r="AI679">
        <v>0</v>
      </c>
      <c r="AJ679">
        <v>3</v>
      </c>
      <c r="AK679">
        <v>3</v>
      </c>
      <c r="AL679" t="s">
        <v>87</v>
      </c>
      <c r="AM679" t="s">
        <v>88</v>
      </c>
      <c r="AN679" t="s">
        <v>89</v>
      </c>
      <c r="AO679" t="s">
        <v>12938</v>
      </c>
      <c r="AP679" t="s">
        <v>12939</v>
      </c>
      <c r="AQ679" t="s">
        <v>74</v>
      </c>
      <c r="AR679" t="s">
        <v>12940</v>
      </c>
      <c r="AS679" t="s">
        <v>12941</v>
      </c>
      <c r="AT679" t="s">
        <v>12794</v>
      </c>
      <c r="AU679">
        <v>2023</v>
      </c>
      <c r="AV679" t="s">
        <v>74</v>
      </c>
      <c r="AW679" t="s">
        <v>74</v>
      </c>
      <c r="AX679" t="s">
        <v>74</v>
      </c>
      <c r="AY679" t="s">
        <v>74</v>
      </c>
      <c r="AZ679" t="s">
        <v>74</v>
      </c>
      <c r="BA679" t="s">
        <v>74</v>
      </c>
      <c r="BB679" t="s">
        <v>74</v>
      </c>
      <c r="BC679" t="s">
        <v>74</v>
      </c>
      <c r="BD679" t="s">
        <v>74</v>
      </c>
      <c r="BE679" t="s">
        <v>12942</v>
      </c>
      <c r="BF679" t="str">
        <f>HYPERLINK("http://dx.doi.org/10.1002/nag.3608","http://dx.doi.org/10.1002/nag.3608")</f>
        <v>http://dx.doi.org/10.1002/nag.3608</v>
      </c>
      <c r="BG679" t="s">
        <v>74</v>
      </c>
      <c r="BH679" t="s">
        <v>7524</v>
      </c>
      <c r="BI679">
        <v>37</v>
      </c>
      <c r="BJ679" t="s">
        <v>12943</v>
      </c>
      <c r="BK679" t="s">
        <v>119</v>
      </c>
      <c r="BL679" t="s">
        <v>12944</v>
      </c>
      <c r="BM679" t="s">
        <v>12945</v>
      </c>
      <c r="BN679" t="s">
        <v>74</v>
      </c>
      <c r="BO679" t="s">
        <v>122</v>
      </c>
      <c r="BP679" t="s">
        <v>74</v>
      </c>
      <c r="BQ679" t="s">
        <v>74</v>
      </c>
      <c r="BR679" t="s">
        <v>99</v>
      </c>
      <c r="BS679" t="s">
        <v>12946</v>
      </c>
      <c r="BT679" t="str">
        <f>HYPERLINK("https%3A%2F%2Fwww.webofscience.com%2Fwos%2Fwoscc%2Ffull-record%2FWOS:001044553300001","View Full Record in Web of Science")</f>
        <v>View Full Record in Web of Science</v>
      </c>
    </row>
    <row r="680" spans="1:72" x14ac:dyDescent="0.15">
      <c r="A680" t="s">
        <v>72</v>
      </c>
      <c r="B680" t="s">
        <v>12947</v>
      </c>
      <c r="C680" t="s">
        <v>74</v>
      </c>
      <c r="D680" t="s">
        <v>74</v>
      </c>
      <c r="E680" t="s">
        <v>74</v>
      </c>
      <c r="F680" t="s">
        <v>12948</v>
      </c>
      <c r="G680" t="s">
        <v>74</v>
      </c>
      <c r="H680" t="s">
        <v>74</v>
      </c>
      <c r="I680" t="s">
        <v>12949</v>
      </c>
      <c r="J680" t="s">
        <v>12950</v>
      </c>
      <c r="K680" t="s">
        <v>74</v>
      </c>
      <c r="L680" t="s">
        <v>74</v>
      </c>
      <c r="M680" t="s">
        <v>78</v>
      </c>
      <c r="N680" t="s">
        <v>338</v>
      </c>
      <c r="O680" t="s">
        <v>74</v>
      </c>
      <c r="P680" t="s">
        <v>74</v>
      </c>
      <c r="Q680" t="s">
        <v>74</v>
      </c>
      <c r="R680" t="s">
        <v>74</v>
      </c>
      <c r="S680" t="s">
        <v>74</v>
      </c>
      <c r="T680" t="s">
        <v>12951</v>
      </c>
      <c r="U680" t="s">
        <v>74</v>
      </c>
      <c r="V680" t="s">
        <v>12952</v>
      </c>
      <c r="W680" t="s">
        <v>12953</v>
      </c>
      <c r="X680" t="s">
        <v>12954</v>
      </c>
      <c r="Y680" t="s">
        <v>12955</v>
      </c>
      <c r="Z680" t="s">
        <v>12956</v>
      </c>
      <c r="AA680" t="s">
        <v>74</v>
      </c>
      <c r="AB680" t="s">
        <v>12957</v>
      </c>
      <c r="AC680" t="s">
        <v>74</v>
      </c>
      <c r="AD680" t="s">
        <v>74</v>
      </c>
      <c r="AE680" t="s">
        <v>74</v>
      </c>
      <c r="AF680" t="s">
        <v>74</v>
      </c>
      <c r="AG680">
        <v>0</v>
      </c>
      <c r="AH680">
        <v>0</v>
      </c>
      <c r="AI680">
        <v>0</v>
      </c>
      <c r="AJ680">
        <v>4</v>
      </c>
      <c r="AK680">
        <v>4</v>
      </c>
      <c r="AL680" t="s">
        <v>87</v>
      </c>
      <c r="AM680" t="s">
        <v>88</v>
      </c>
      <c r="AN680" t="s">
        <v>89</v>
      </c>
      <c r="AO680" t="s">
        <v>12958</v>
      </c>
      <c r="AP680" t="s">
        <v>12959</v>
      </c>
      <c r="AQ680" t="s">
        <v>74</v>
      </c>
      <c r="AR680" t="s">
        <v>12960</v>
      </c>
      <c r="AS680" t="s">
        <v>12961</v>
      </c>
      <c r="AT680" t="s">
        <v>12794</v>
      </c>
      <c r="AU680">
        <v>2023</v>
      </c>
      <c r="AV680" t="s">
        <v>74</v>
      </c>
      <c r="AW680" t="s">
        <v>74</v>
      </c>
      <c r="AX680" t="s">
        <v>74</v>
      </c>
      <c r="AY680" t="s">
        <v>74</v>
      </c>
      <c r="AZ680" t="s">
        <v>74</v>
      </c>
      <c r="BA680" t="s">
        <v>74</v>
      </c>
      <c r="BB680" t="s">
        <v>74</v>
      </c>
      <c r="BC680" t="s">
        <v>74</v>
      </c>
      <c r="BD680" t="s">
        <v>74</v>
      </c>
      <c r="BE680" t="s">
        <v>12962</v>
      </c>
      <c r="BF680" t="str">
        <f>HYPERLINK("http://dx.doi.org/10.1111/dewb.12418","http://dx.doi.org/10.1111/dewb.12418")</f>
        <v>http://dx.doi.org/10.1111/dewb.12418</v>
      </c>
      <c r="BG680" t="s">
        <v>74</v>
      </c>
      <c r="BH680" t="s">
        <v>7524</v>
      </c>
      <c r="BI680">
        <v>9</v>
      </c>
      <c r="BJ680" t="s">
        <v>12963</v>
      </c>
      <c r="BK680" t="s">
        <v>409</v>
      </c>
      <c r="BL680" t="s">
        <v>12964</v>
      </c>
      <c r="BM680" t="s">
        <v>12965</v>
      </c>
      <c r="BN680">
        <v>37555748</v>
      </c>
      <c r="BO680" t="s">
        <v>301</v>
      </c>
      <c r="BP680" t="s">
        <v>74</v>
      </c>
      <c r="BQ680" t="s">
        <v>74</v>
      </c>
      <c r="BR680" t="s">
        <v>99</v>
      </c>
      <c r="BS680" t="s">
        <v>12966</v>
      </c>
      <c r="BT680" t="str">
        <f>HYPERLINK("https%3A%2F%2Fwww.webofscience.com%2Fwos%2Fwoscc%2Ffull-record%2FWOS:001043794000001","View Full Record in Web of Science")</f>
        <v>View Full Record in Web of Science</v>
      </c>
    </row>
    <row r="681" spans="1:72" x14ac:dyDescent="0.15">
      <c r="A681" t="s">
        <v>72</v>
      </c>
      <c r="B681" t="s">
        <v>12967</v>
      </c>
      <c r="C681" t="s">
        <v>74</v>
      </c>
      <c r="D681" t="s">
        <v>74</v>
      </c>
      <c r="E681" t="s">
        <v>74</v>
      </c>
      <c r="F681" t="s">
        <v>12968</v>
      </c>
      <c r="G681" t="s">
        <v>74</v>
      </c>
      <c r="H681" t="s">
        <v>74</v>
      </c>
      <c r="I681" t="s">
        <v>12969</v>
      </c>
      <c r="J681" t="s">
        <v>1001</v>
      </c>
      <c r="K681" t="s">
        <v>74</v>
      </c>
      <c r="L681" t="s">
        <v>74</v>
      </c>
      <c r="M681" t="s">
        <v>78</v>
      </c>
      <c r="N681" t="s">
        <v>338</v>
      </c>
      <c r="O681" t="s">
        <v>74</v>
      </c>
      <c r="P681" t="s">
        <v>74</v>
      </c>
      <c r="Q681" t="s">
        <v>74</v>
      </c>
      <c r="R681" t="s">
        <v>74</v>
      </c>
      <c r="S681" t="s">
        <v>74</v>
      </c>
      <c r="T681" t="s">
        <v>12970</v>
      </c>
      <c r="U681" t="s">
        <v>12971</v>
      </c>
      <c r="V681" t="s">
        <v>12972</v>
      </c>
      <c r="W681" t="s">
        <v>12973</v>
      </c>
      <c r="X681" t="s">
        <v>12974</v>
      </c>
      <c r="Y681" t="s">
        <v>12975</v>
      </c>
      <c r="Z681" t="s">
        <v>12976</v>
      </c>
      <c r="AA681" t="s">
        <v>12977</v>
      </c>
      <c r="AB681" t="s">
        <v>12978</v>
      </c>
      <c r="AC681" t="s">
        <v>12979</v>
      </c>
      <c r="AD681" t="s">
        <v>12980</v>
      </c>
      <c r="AE681" t="s">
        <v>12981</v>
      </c>
      <c r="AF681" t="s">
        <v>74</v>
      </c>
      <c r="AG681">
        <v>60</v>
      </c>
      <c r="AH681">
        <v>0</v>
      </c>
      <c r="AI681">
        <v>0</v>
      </c>
      <c r="AJ681">
        <v>25</v>
      </c>
      <c r="AK681">
        <v>25</v>
      </c>
      <c r="AL681" t="s">
        <v>426</v>
      </c>
      <c r="AM681" t="s">
        <v>427</v>
      </c>
      <c r="AN681" t="s">
        <v>428</v>
      </c>
      <c r="AO681" t="s">
        <v>1014</v>
      </c>
      <c r="AP681" t="s">
        <v>1015</v>
      </c>
      <c r="AQ681" t="s">
        <v>74</v>
      </c>
      <c r="AR681" t="s">
        <v>1016</v>
      </c>
      <c r="AS681" t="s">
        <v>1017</v>
      </c>
      <c r="AT681" t="s">
        <v>12794</v>
      </c>
      <c r="AU681">
        <v>2023</v>
      </c>
      <c r="AV681" t="s">
        <v>74</v>
      </c>
      <c r="AW681" t="s">
        <v>74</v>
      </c>
      <c r="AX681" t="s">
        <v>74</v>
      </c>
      <c r="AY681" t="s">
        <v>74</v>
      </c>
      <c r="AZ681" t="s">
        <v>74</v>
      </c>
      <c r="BA681" t="s">
        <v>74</v>
      </c>
      <c r="BB681" t="s">
        <v>74</v>
      </c>
      <c r="BC681" t="s">
        <v>74</v>
      </c>
      <c r="BD681" t="s">
        <v>74</v>
      </c>
      <c r="BE681" t="s">
        <v>12982</v>
      </c>
      <c r="BF681" t="str">
        <f>HYPERLINK("http://dx.doi.org/10.1002/anie.202307647","http://dx.doi.org/10.1002/anie.202307647")</f>
        <v>http://dx.doi.org/10.1002/anie.202307647</v>
      </c>
      <c r="BG681" t="s">
        <v>74</v>
      </c>
      <c r="BH681" t="s">
        <v>7524</v>
      </c>
      <c r="BI681">
        <v>11</v>
      </c>
      <c r="BJ681" t="s">
        <v>523</v>
      </c>
      <c r="BK681" t="s">
        <v>119</v>
      </c>
      <c r="BL681" t="s">
        <v>524</v>
      </c>
      <c r="BM681" t="s">
        <v>12983</v>
      </c>
      <c r="BN681">
        <v>37525009</v>
      </c>
      <c r="BO681" t="s">
        <v>74</v>
      </c>
      <c r="BP681" t="s">
        <v>74</v>
      </c>
      <c r="BQ681" t="s">
        <v>74</v>
      </c>
      <c r="BR681" t="s">
        <v>99</v>
      </c>
      <c r="BS681" t="s">
        <v>12984</v>
      </c>
      <c r="BT681" t="str">
        <f>HYPERLINK("https%3A%2F%2Fwww.webofscience.com%2Fwos%2Fwoscc%2Ffull-record%2FWOS:001044593600001","View Full Record in Web of Science")</f>
        <v>View Full Record in Web of Science</v>
      </c>
    </row>
    <row r="682" spans="1:72" x14ac:dyDescent="0.15">
      <c r="A682" t="s">
        <v>72</v>
      </c>
      <c r="B682" t="s">
        <v>12985</v>
      </c>
      <c r="C682" t="s">
        <v>74</v>
      </c>
      <c r="D682" t="s">
        <v>74</v>
      </c>
      <c r="E682" t="s">
        <v>74</v>
      </c>
      <c r="F682" t="s">
        <v>12986</v>
      </c>
      <c r="G682" t="s">
        <v>74</v>
      </c>
      <c r="H682" t="s">
        <v>74</v>
      </c>
      <c r="I682" t="s">
        <v>12987</v>
      </c>
      <c r="J682" t="s">
        <v>6560</v>
      </c>
      <c r="K682" t="s">
        <v>74</v>
      </c>
      <c r="L682" t="s">
        <v>74</v>
      </c>
      <c r="M682" t="s">
        <v>78</v>
      </c>
      <c r="N682" t="s">
        <v>79</v>
      </c>
      <c r="O682" t="s">
        <v>74</v>
      </c>
      <c r="P682" t="s">
        <v>74</v>
      </c>
      <c r="Q682" t="s">
        <v>74</v>
      </c>
      <c r="R682" t="s">
        <v>74</v>
      </c>
      <c r="S682" t="s">
        <v>74</v>
      </c>
      <c r="T682" t="s">
        <v>74</v>
      </c>
      <c r="U682" t="s">
        <v>12988</v>
      </c>
      <c r="V682" t="s">
        <v>12989</v>
      </c>
      <c r="W682" t="s">
        <v>12990</v>
      </c>
      <c r="X682" t="s">
        <v>12991</v>
      </c>
      <c r="Y682" t="s">
        <v>12992</v>
      </c>
      <c r="Z682" t="s">
        <v>12993</v>
      </c>
      <c r="AA682" t="s">
        <v>74</v>
      </c>
      <c r="AB682" t="s">
        <v>74</v>
      </c>
      <c r="AC682" t="s">
        <v>12994</v>
      </c>
      <c r="AD682" t="s">
        <v>12995</v>
      </c>
      <c r="AE682" t="s">
        <v>12996</v>
      </c>
      <c r="AF682" t="s">
        <v>74</v>
      </c>
      <c r="AG682">
        <v>34</v>
      </c>
      <c r="AH682">
        <v>0</v>
      </c>
      <c r="AI682">
        <v>0</v>
      </c>
      <c r="AJ682">
        <v>0</v>
      </c>
      <c r="AK682">
        <v>0</v>
      </c>
      <c r="AL682" t="s">
        <v>6567</v>
      </c>
      <c r="AM682" t="s">
        <v>6568</v>
      </c>
      <c r="AN682" t="s">
        <v>6569</v>
      </c>
      <c r="AO682" t="s">
        <v>6570</v>
      </c>
      <c r="AP682" t="s">
        <v>6571</v>
      </c>
      <c r="AQ682" t="s">
        <v>74</v>
      </c>
      <c r="AR682" t="s">
        <v>6572</v>
      </c>
      <c r="AS682" t="s">
        <v>6573</v>
      </c>
      <c r="AT682" t="s">
        <v>6725</v>
      </c>
      <c r="AU682">
        <v>2023</v>
      </c>
      <c r="AV682">
        <v>18</v>
      </c>
      <c r="AW682">
        <v>9</v>
      </c>
      <c r="AX682" t="s">
        <v>74</v>
      </c>
      <c r="AY682" t="s">
        <v>74</v>
      </c>
      <c r="AZ682" t="s">
        <v>74</v>
      </c>
      <c r="BA682" t="s">
        <v>74</v>
      </c>
      <c r="BB682">
        <v>777</v>
      </c>
      <c r="BC682">
        <v>786</v>
      </c>
      <c r="BD682" t="s">
        <v>74</v>
      </c>
      <c r="BE682" t="s">
        <v>12997</v>
      </c>
      <c r="BF682" t="str">
        <f>HYPERLINK("http://dx.doi.org/10.1002/jhm.13178","http://dx.doi.org/10.1002/jhm.13178")</f>
        <v>http://dx.doi.org/10.1002/jhm.13178</v>
      </c>
      <c r="BG682" t="s">
        <v>74</v>
      </c>
      <c r="BH682" t="s">
        <v>7524</v>
      </c>
      <c r="BI682">
        <v>10</v>
      </c>
      <c r="BJ682" t="s">
        <v>4689</v>
      </c>
      <c r="BK682" t="s">
        <v>119</v>
      </c>
      <c r="BL682" t="s">
        <v>4690</v>
      </c>
      <c r="BM682" t="s">
        <v>9903</v>
      </c>
      <c r="BN682">
        <v>37559415</v>
      </c>
      <c r="BO682" t="s">
        <v>74</v>
      </c>
      <c r="BP682" t="s">
        <v>74</v>
      </c>
      <c r="BQ682" t="s">
        <v>74</v>
      </c>
      <c r="BR682" t="s">
        <v>99</v>
      </c>
      <c r="BS682" t="s">
        <v>12998</v>
      </c>
      <c r="BT682" t="str">
        <f>HYPERLINK("https%3A%2F%2Fwww.webofscience.com%2Fwos%2Fwoscc%2Ffull-record%2FWOS:001044114200001","View Full Record in Web of Science")</f>
        <v>View Full Record in Web of Science</v>
      </c>
    </row>
    <row r="683" spans="1:72" x14ac:dyDescent="0.15">
      <c r="A683" t="s">
        <v>72</v>
      </c>
      <c r="B683" t="s">
        <v>12999</v>
      </c>
      <c r="C683" t="s">
        <v>74</v>
      </c>
      <c r="D683" t="s">
        <v>74</v>
      </c>
      <c r="E683" t="s">
        <v>74</v>
      </c>
      <c r="F683" t="s">
        <v>13000</v>
      </c>
      <c r="G683" t="s">
        <v>74</v>
      </c>
      <c r="H683" t="s">
        <v>74</v>
      </c>
      <c r="I683" t="s">
        <v>13001</v>
      </c>
      <c r="J683" t="s">
        <v>13002</v>
      </c>
      <c r="K683" t="s">
        <v>74</v>
      </c>
      <c r="L683" t="s">
        <v>74</v>
      </c>
      <c r="M683" t="s">
        <v>78</v>
      </c>
      <c r="N683" t="s">
        <v>338</v>
      </c>
      <c r="O683" t="s">
        <v>74</v>
      </c>
      <c r="P683" t="s">
        <v>74</v>
      </c>
      <c r="Q683" t="s">
        <v>74</v>
      </c>
      <c r="R683" t="s">
        <v>74</v>
      </c>
      <c r="S683" t="s">
        <v>74</v>
      </c>
      <c r="T683" t="s">
        <v>13003</v>
      </c>
      <c r="U683" t="s">
        <v>13004</v>
      </c>
      <c r="V683" t="s">
        <v>13005</v>
      </c>
      <c r="W683" t="s">
        <v>13006</v>
      </c>
      <c r="X683" t="s">
        <v>13007</v>
      </c>
      <c r="Y683" t="s">
        <v>13008</v>
      </c>
      <c r="Z683" t="s">
        <v>13009</v>
      </c>
      <c r="AA683" t="s">
        <v>74</v>
      </c>
      <c r="AB683" t="s">
        <v>13010</v>
      </c>
      <c r="AC683" t="s">
        <v>74</v>
      </c>
      <c r="AD683" t="s">
        <v>74</v>
      </c>
      <c r="AE683" t="s">
        <v>74</v>
      </c>
      <c r="AF683" t="s">
        <v>74</v>
      </c>
      <c r="AG683">
        <v>40</v>
      </c>
      <c r="AH683">
        <v>0</v>
      </c>
      <c r="AI683">
        <v>0</v>
      </c>
      <c r="AJ683">
        <v>0</v>
      </c>
      <c r="AK683">
        <v>0</v>
      </c>
      <c r="AL683" t="s">
        <v>87</v>
      </c>
      <c r="AM683" t="s">
        <v>88</v>
      </c>
      <c r="AN683" t="s">
        <v>89</v>
      </c>
      <c r="AO683" t="s">
        <v>13011</v>
      </c>
      <c r="AP683" t="s">
        <v>13012</v>
      </c>
      <c r="AQ683" t="s">
        <v>74</v>
      </c>
      <c r="AR683" t="s">
        <v>13013</v>
      </c>
      <c r="AS683" t="s">
        <v>13014</v>
      </c>
      <c r="AT683" t="s">
        <v>12794</v>
      </c>
      <c r="AU683">
        <v>2023</v>
      </c>
      <c r="AV683" t="s">
        <v>74</v>
      </c>
      <c r="AW683" t="s">
        <v>74</v>
      </c>
      <c r="AX683" t="s">
        <v>74</v>
      </c>
      <c r="AY683" t="s">
        <v>74</v>
      </c>
      <c r="AZ683" t="s">
        <v>74</v>
      </c>
      <c r="BA683" t="s">
        <v>74</v>
      </c>
      <c r="BB683" t="s">
        <v>74</v>
      </c>
      <c r="BC683" t="s">
        <v>74</v>
      </c>
      <c r="BD683" t="s">
        <v>74</v>
      </c>
      <c r="BE683" t="s">
        <v>13015</v>
      </c>
      <c r="BF683" t="str">
        <f>HYPERLINK("http://dx.doi.org/10.1002/ase.2324","http://dx.doi.org/10.1002/ase.2324")</f>
        <v>http://dx.doi.org/10.1002/ase.2324</v>
      </c>
      <c r="BG683" t="s">
        <v>74</v>
      </c>
      <c r="BH683" t="s">
        <v>7524</v>
      </c>
      <c r="BI683">
        <v>14</v>
      </c>
      <c r="BJ683" t="s">
        <v>13016</v>
      </c>
      <c r="BK683" t="s">
        <v>119</v>
      </c>
      <c r="BL683" t="s">
        <v>2208</v>
      </c>
      <c r="BM683" t="s">
        <v>13017</v>
      </c>
      <c r="BN683">
        <v>37555630</v>
      </c>
      <c r="BO683" t="s">
        <v>122</v>
      </c>
      <c r="BP683" t="s">
        <v>74</v>
      </c>
      <c r="BQ683" t="s">
        <v>74</v>
      </c>
      <c r="BR683" t="s">
        <v>99</v>
      </c>
      <c r="BS683" t="s">
        <v>13018</v>
      </c>
      <c r="BT683" t="str">
        <f>HYPERLINK("https%3A%2F%2Fwww.webofscience.com%2Fwos%2Fwoscc%2Ffull-record%2FWOS:001043771100001","View Full Record in Web of Science")</f>
        <v>View Full Record in Web of Science</v>
      </c>
    </row>
    <row r="684" spans="1:72" x14ac:dyDescent="0.15">
      <c r="A684" t="s">
        <v>72</v>
      </c>
      <c r="B684" t="s">
        <v>13019</v>
      </c>
      <c r="C684" t="s">
        <v>74</v>
      </c>
      <c r="D684" t="s">
        <v>74</v>
      </c>
      <c r="E684" t="s">
        <v>74</v>
      </c>
      <c r="F684" t="s">
        <v>13020</v>
      </c>
      <c r="G684" t="s">
        <v>74</v>
      </c>
      <c r="H684" t="s">
        <v>74</v>
      </c>
      <c r="I684" t="s">
        <v>13021</v>
      </c>
      <c r="J684" t="s">
        <v>13022</v>
      </c>
      <c r="K684" t="s">
        <v>74</v>
      </c>
      <c r="L684" t="s">
        <v>74</v>
      </c>
      <c r="M684" t="s">
        <v>78</v>
      </c>
      <c r="N684" t="s">
        <v>338</v>
      </c>
      <c r="O684" t="s">
        <v>74</v>
      </c>
      <c r="P684" t="s">
        <v>74</v>
      </c>
      <c r="Q684" t="s">
        <v>74</v>
      </c>
      <c r="R684" t="s">
        <v>74</v>
      </c>
      <c r="S684" t="s">
        <v>74</v>
      </c>
      <c r="T684" t="s">
        <v>13023</v>
      </c>
      <c r="U684" t="s">
        <v>13024</v>
      </c>
      <c r="V684" t="s">
        <v>13025</v>
      </c>
      <c r="W684" t="s">
        <v>13026</v>
      </c>
      <c r="X684" t="s">
        <v>13027</v>
      </c>
      <c r="Y684" t="s">
        <v>13028</v>
      </c>
      <c r="Z684" t="s">
        <v>13029</v>
      </c>
      <c r="AA684" t="s">
        <v>74</v>
      </c>
      <c r="AB684" t="s">
        <v>74</v>
      </c>
      <c r="AC684" t="s">
        <v>13030</v>
      </c>
      <c r="AD684" t="s">
        <v>13031</v>
      </c>
      <c r="AE684" t="s">
        <v>13032</v>
      </c>
      <c r="AF684" t="s">
        <v>74</v>
      </c>
      <c r="AG684">
        <v>74</v>
      </c>
      <c r="AH684">
        <v>0</v>
      </c>
      <c r="AI684">
        <v>0</v>
      </c>
      <c r="AJ684">
        <v>1</v>
      </c>
      <c r="AK684">
        <v>1</v>
      </c>
      <c r="AL684" t="s">
        <v>87</v>
      </c>
      <c r="AM684" t="s">
        <v>88</v>
      </c>
      <c r="AN684" t="s">
        <v>89</v>
      </c>
      <c r="AO684" t="s">
        <v>13033</v>
      </c>
      <c r="AP684" t="s">
        <v>13034</v>
      </c>
      <c r="AQ684" t="s">
        <v>74</v>
      </c>
      <c r="AR684" t="s">
        <v>13035</v>
      </c>
      <c r="AS684" t="s">
        <v>13036</v>
      </c>
      <c r="AT684" t="s">
        <v>12794</v>
      </c>
      <c r="AU684">
        <v>2023</v>
      </c>
      <c r="AV684" t="s">
        <v>74</v>
      </c>
      <c r="AW684" t="s">
        <v>74</v>
      </c>
      <c r="AX684" t="s">
        <v>74</v>
      </c>
      <c r="AY684" t="s">
        <v>74</v>
      </c>
      <c r="AZ684" t="s">
        <v>74</v>
      </c>
      <c r="BA684" t="s">
        <v>74</v>
      </c>
      <c r="BB684" t="s">
        <v>74</v>
      </c>
      <c r="BC684" t="s">
        <v>74</v>
      </c>
      <c r="BD684" t="s">
        <v>74</v>
      </c>
      <c r="BE684" t="s">
        <v>13037</v>
      </c>
      <c r="BF684" t="str">
        <f>HYPERLINK("http://dx.doi.org/10.1111/ecno.12225","http://dx.doi.org/10.1111/ecno.12225")</f>
        <v>http://dx.doi.org/10.1111/ecno.12225</v>
      </c>
      <c r="BG684" t="s">
        <v>74</v>
      </c>
      <c r="BH684" t="s">
        <v>7524</v>
      </c>
      <c r="BI684">
        <v>31</v>
      </c>
      <c r="BJ684" t="s">
        <v>4132</v>
      </c>
      <c r="BK684" t="s">
        <v>96</v>
      </c>
      <c r="BL684" t="s">
        <v>547</v>
      </c>
      <c r="BM684" t="s">
        <v>13038</v>
      </c>
      <c r="BN684" t="s">
        <v>74</v>
      </c>
      <c r="BO684" t="s">
        <v>74</v>
      </c>
      <c r="BP684" t="s">
        <v>74</v>
      </c>
      <c r="BQ684" t="s">
        <v>74</v>
      </c>
      <c r="BR684" t="s">
        <v>99</v>
      </c>
      <c r="BS684" t="s">
        <v>13039</v>
      </c>
      <c r="BT684" t="str">
        <f>HYPERLINK("https%3A%2F%2Fwww.webofscience.com%2Fwos%2Fwoscc%2Ffull-record%2FWOS:001044592500001","View Full Record in Web of Science")</f>
        <v>View Full Record in Web of Science</v>
      </c>
    </row>
    <row r="685" spans="1:72" x14ac:dyDescent="0.15">
      <c r="A685" t="s">
        <v>72</v>
      </c>
      <c r="B685" t="s">
        <v>13040</v>
      </c>
      <c r="C685" t="s">
        <v>74</v>
      </c>
      <c r="D685" t="s">
        <v>74</v>
      </c>
      <c r="E685" t="s">
        <v>74</v>
      </c>
      <c r="F685" t="s">
        <v>13041</v>
      </c>
      <c r="G685" t="s">
        <v>74</v>
      </c>
      <c r="H685" t="s">
        <v>74</v>
      </c>
      <c r="I685" t="s">
        <v>13042</v>
      </c>
      <c r="J685" t="s">
        <v>13043</v>
      </c>
      <c r="K685" t="s">
        <v>74</v>
      </c>
      <c r="L685" t="s">
        <v>74</v>
      </c>
      <c r="M685" t="s">
        <v>78</v>
      </c>
      <c r="N685" t="s">
        <v>338</v>
      </c>
      <c r="O685" t="s">
        <v>74</v>
      </c>
      <c r="P685" t="s">
        <v>74</v>
      </c>
      <c r="Q685" t="s">
        <v>74</v>
      </c>
      <c r="R685" t="s">
        <v>74</v>
      </c>
      <c r="S685" t="s">
        <v>74</v>
      </c>
      <c r="T685" t="s">
        <v>13044</v>
      </c>
      <c r="U685" t="s">
        <v>13045</v>
      </c>
      <c r="V685" t="s">
        <v>13046</v>
      </c>
      <c r="W685" t="s">
        <v>13047</v>
      </c>
      <c r="X685" t="s">
        <v>13048</v>
      </c>
      <c r="Y685" t="s">
        <v>13049</v>
      </c>
      <c r="Z685" t="s">
        <v>13050</v>
      </c>
      <c r="AA685" t="s">
        <v>74</v>
      </c>
      <c r="AB685" t="s">
        <v>74</v>
      </c>
      <c r="AC685" t="s">
        <v>13051</v>
      </c>
      <c r="AD685" t="s">
        <v>13052</v>
      </c>
      <c r="AE685" t="s">
        <v>13053</v>
      </c>
      <c r="AF685" t="s">
        <v>74</v>
      </c>
      <c r="AG685">
        <v>42</v>
      </c>
      <c r="AH685">
        <v>0</v>
      </c>
      <c r="AI685">
        <v>0</v>
      </c>
      <c r="AJ685">
        <v>5</v>
      </c>
      <c r="AK685">
        <v>5</v>
      </c>
      <c r="AL685" t="s">
        <v>87</v>
      </c>
      <c r="AM685" t="s">
        <v>88</v>
      </c>
      <c r="AN685" t="s">
        <v>89</v>
      </c>
      <c r="AO685" t="s">
        <v>13054</v>
      </c>
      <c r="AP685" t="s">
        <v>13055</v>
      </c>
      <c r="AQ685" t="s">
        <v>74</v>
      </c>
      <c r="AR685" t="s">
        <v>13043</v>
      </c>
      <c r="AS685" t="s">
        <v>13056</v>
      </c>
      <c r="AT685" t="s">
        <v>12794</v>
      </c>
      <c r="AU685">
        <v>2023</v>
      </c>
      <c r="AV685" t="s">
        <v>74</v>
      </c>
      <c r="AW685" t="s">
        <v>74</v>
      </c>
      <c r="AX685" t="s">
        <v>74</v>
      </c>
      <c r="AY685" t="s">
        <v>74</v>
      </c>
      <c r="AZ685" t="s">
        <v>74</v>
      </c>
      <c r="BA685" t="s">
        <v>74</v>
      </c>
      <c r="BB685" t="s">
        <v>74</v>
      </c>
      <c r="BC685" t="s">
        <v>74</v>
      </c>
      <c r="BD685" t="s">
        <v>74</v>
      </c>
      <c r="BE685" t="s">
        <v>13057</v>
      </c>
      <c r="BF685" t="str">
        <f>HYPERLINK("http://dx.doi.org/10.1111/ter.12676","http://dx.doi.org/10.1111/ter.12676")</f>
        <v>http://dx.doi.org/10.1111/ter.12676</v>
      </c>
      <c r="BG685" t="s">
        <v>74</v>
      </c>
      <c r="BH685" t="s">
        <v>7524</v>
      </c>
      <c r="BI685">
        <v>9</v>
      </c>
      <c r="BJ685" t="s">
        <v>13058</v>
      </c>
      <c r="BK685" t="s">
        <v>119</v>
      </c>
      <c r="BL685" t="s">
        <v>13059</v>
      </c>
      <c r="BM685" t="s">
        <v>13060</v>
      </c>
      <c r="BN685" t="s">
        <v>74</v>
      </c>
      <c r="BO685" t="s">
        <v>122</v>
      </c>
      <c r="BP685" t="s">
        <v>74</v>
      </c>
      <c r="BQ685" t="s">
        <v>74</v>
      </c>
      <c r="BR685" t="s">
        <v>99</v>
      </c>
      <c r="BS685" t="s">
        <v>13061</v>
      </c>
      <c r="BT685" t="str">
        <f>HYPERLINK("https%3A%2F%2Fwww.webofscience.com%2Fwos%2Fwoscc%2Ffull-record%2FWOS:001044105900001","View Full Record in Web of Science")</f>
        <v>View Full Record in Web of Science</v>
      </c>
    </row>
    <row r="686" spans="1:72" x14ac:dyDescent="0.15">
      <c r="A686" t="s">
        <v>72</v>
      </c>
      <c r="B686" t="s">
        <v>13062</v>
      </c>
      <c r="C686" t="s">
        <v>74</v>
      </c>
      <c r="D686" t="s">
        <v>74</v>
      </c>
      <c r="E686" t="s">
        <v>74</v>
      </c>
      <c r="F686" t="s">
        <v>13063</v>
      </c>
      <c r="G686" t="s">
        <v>74</v>
      </c>
      <c r="H686" t="s">
        <v>74</v>
      </c>
      <c r="I686" t="s">
        <v>13064</v>
      </c>
      <c r="J686" t="s">
        <v>1734</v>
      </c>
      <c r="K686" t="s">
        <v>74</v>
      </c>
      <c r="L686" t="s">
        <v>74</v>
      </c>
      <c r="M686" t="s">
        <v>78</v>
      </c>
      <c r="N686" t="s">
        <v>79</v>
      </c>
      <c r="O686" t="s">
        <v>74</v>
      </c>
      <c r="P686" t="s">
        <v>74</v>
      </c>
      <c r="Q686" t="s">
        <v>74</v>
      </c>
      <c r="R686" t="s">
        <v>74</v>
      </c>
      <c r="S686" t="s">
        <v>74</v>
      </c>
      <c r="T686" t="s">
        <v>13065</v>
      </c>
      <c r="U686" t="s">
        <v>13066</v>
      </c>
      <c r="V686" t="s">
        <v>13067</v>
      </c>
      <c r="W686" t="s">
        <v>13068</v>
      </c>
      <c r="X686" t="s">
        <v>13069</v>
      </c>
      <c r="Y686" t="s">
        <v>13070</v>
      </c>
      <c r="Z686" t="s">
        <v>13071</v>
      </c>
      <c r="AA686" t="s">
        <v>13072</v>
      </c>
      <c r="AB686" t="s">
        <v>13073</v>
      </c>
      <c r="AC686" t="s">
        <v>13074</v>
      </c>
      <c r="AD686" t="s">
        <v>13074</v>
      </c>
      <c r="AE686" t="s">
        <v>13075</v>
      </c>
      <c r="AF686" t="s">
        <v>74</v>
      </c>
      <c r="AG686">
        <v>64</v>
      </c>
      <c r="AH686">
        <v>0</v>
      </c>
      <c r="AI686">
        <v>0</v>
      </c>
      <c r="AJ686">
        <v>2</v>
      </c>
      <c r="AK686">
        <v>2</v>
      </c>
      <c r="AL686" t="s">
        <v>87</v>
      </c>
      <c r="AM686" t="s">
        <v>88</v>
      </c>
      <c r="AN686" t="s">
        <v>89</v>
      </c>
      <c r="AO686" t="s">
        <v>1746</v>
      </c>
      <c r="AP686" t="s">
        <v>1747</v>
      </c>
      <c r="AQ686" t="s">
        <v>74</v>
      </c>
      <c r="AR686" t="s">
        <v>1748</v>
      </c>
      <c r="AS686" t="s">
        <v>1749</v>
      </c>
      <c r="AT686" t="s">
        <v>185</v>
      </c>
      <c r="AU686">
        <v>2023</v>
      </c>
      <c r="AV686">
        <v>240</v>
      </c>
      <c r="AW686">
        <v>1</v>
      </c>
      <c r="AX686" t="s">
        <v>74</v>
      </c>
      <c r="AY686" t="s">
        <v>74</v>
      </c>
      <c r="AZ686" t="s">
        <v>74</v>
      </c>
      <c r="BA686" t="s">
        <v>74</v>
      </c>
      <c r="BB686">
        <v>318</v>
      </c>
      <c r="BC686">
        <v>337</v>
      </c>
      <c r="BD686" t="s">
        <v>74</v>
      </c>
      <c r="BE686" t="s">
        <v>13076</v>
      </c>
      <c r="BF686" t="str">
        <f>HYPERLINK("http://dx.doi.org/10.1111/nph.19163","http://dx.doi.org/10.1111/nph.19163")</f>
        <v>http://dx.doi.org/10.1111/nph.19163</v>
      </c>
      <c r="BG686" t="s">
        <v>74</v>
      </c>
      <c r="BH686" t="s">
        <v>7524</v>
      </c>
      <c r="BI686">
        <v>20</v>
      </c>
      <c r="BJ686" t="s">
        <v>1751</v>
      </c>
      <c r="BK686" t="s">
        <v>119</v>
      </c>
      <c r="BL686" t="s">
        <v>1751</v>
      </c>
      <c r="BM686" t="s">
        <v>13077</v>
      </c>
      <c r="BN686">
        <v>37559351</v>
      </c>
      <c r="BO686" t="s">
        <v>122</v>
      </c>
      <c r="BP686" t="s">
        <v>74</v>
      </c>
      <c r="BQ686" t="s">
        <v>74</v>
      </c>
      <c r="BR686" t="s">
        <v>99</v>
      </c>
      <c r="BS686" t="s">
        <v>13078</v>
      </c>
      <c r="BT686" t="str">
        <f>HYPERLINK("https%3A%2F%2Fwww.webofscience.com%2Fwos%2Fwoscc%2Ffull-record%2FWOS:001045082100001","View Full Record in Web of Science")</f>
        <v>View Full Record in Web of Science</v>
      </c>
    </row>
    <row r="687" spans="1:72" x14ac:dyDescent="0.15">
      <c r="A687" t="s">
        <v>72</v>
      </c>
      <c r="B687" t="s">
        <v>13079</v>
      </c>
      <c r="C687" t="s">
        <v>74</v>
      </c>
      <c r="D687" t="s">
        <v>74</v>
      </c>
      <c r="E687" t="s">
        <v>74</v>
      </c>
      <c r="F687" t="s">
        <v>13080</v>
      </c>
      <c r="G687" t="s">
        <v>74</v>
      </c>
      <c r="H687" t="s">
        <v>74</v>
      </c>
      <c r="I687" t="s">
        <v>13081</v>
      </c>
      <c r="J687" t="s">
        <v>10936</v>
      </c>
      <c r="K687" t="s">
        <v>74</v>
      </c>
      <c r="L687" t="s">
        <v>74</v>
      </c>
      <c r="M687" t="s">
        <v>78</v>
      </c>
      <c r="N687" t="s">
        <v>338</v>
      </c>
      <c r="O687" t="s">
        <v>74</v>
      </c>
      <c r="P687" t="s">
        <v>74</v>
      </c>
      <c r="Q687" t="s">
        <v>74</v>
      </c>
      <c r="R687" t="s">
        <v>74</v>
      </c>
      <c r="S687" t="s">
        <v>74</v>
      </c>
      <c r="T687" t="s">
        <v>13082</v>
      </c>
      <c r="U687" t="s">
        <v>13083</v>
      </c>
      <c r="V687" t="s">
        <v>13084</v>
      </c>
      <c r="W687" t="s">
        <v>13085</v>
      </c>
      <c r="X687" t="s">
        <v>13086</v>
      </c>
      <c r="Y687" t="s">
        <v>13087</v>
      </c>
      <c r="Z687" t="s">
        <v>13088</v>
      </c>
      <c r="AA687" t="s">
        <v>74</v>
      </c>
      <c r="AB687" t="s">
        <v>74</v>
      </c>
      <c r="AC687" t="s">
        <v>13089</v>
      </c>
      <c r="AD687" t="s">
        <v>13090</v>
      </c>
      <c r="AE687" t="s">
        <v>13091</v>
      </c>
      <c r="AF687" t="s">
        <v>74</v>
      </c>
      <c r="AG687">
        <v>37</v>
      </c>
      <c r="AH687">
        <v>0</v>
      </c>
      <c r="AI687">
        <v>0</v>
      </c>
      <c r="AJ687">
        <v>0</v>
      </c>
      <c r="AK687">
        <v>0</v>
      </c>
      <c r="AL687" t="s">
        <v>426</v>
      </c>
      <c r="AM687" t="s">
        <v>427</v>
      </c>
      <c r="AN687" t="s">
        <v>428</v>
      </c>
      <c r="AO687" t="s">
        <v>10948</v>
      </c>
      <c r="AP687" t="s">
        <v>10949</v>
      </c>
      <c r="AQ687" t="s">
        <v>74</v>
      </c>
      <c r="AR687" t="s">
        <v>10950</v>
      </c>
      <c r="AS687" t="s">
        <v>10951</v>
      </c>
      <c r="AT687" t="s">
        <v>12794</v>
      </c>
      <c r="AU687">
        <v>2023</v>
      </c>
      <c r="AV687" t="s">
        <v>74</v>
      </c>
      <c r="AW687" t="s">
        <v>74</v>
      </c>
      <c r="AX687" t="s">
        <v>74</v>
      </c>
      <c r="AY687" t="s">
        <v>74</v>
      </c>
      <c r="AZ687" t="s">
        <v>74</v>
      </c>
      <c r="BA687" t="s">
        <v>74</v>
      </c>
      <c r="BB687" t="s">
        <v>74</v>
      </c>
      <c r="BC687" t="s">
        <v>74</v>
      </c>
      <c r="BD687" t="s">
        <v>74</v>
      </c>
      <c r="BE687" t="s">
        <v>13092</v>
      </c>
      <c r="BF687" t="str">
        <f>HYPERLINK("http://dx.doi.org/10.1002/mana.202100658","http://dx.doi.org/10.1002/mana.202100658")</f>
        <v>http://dx.doi.org/10.1002/mana.202100658</v>
      </c>
      <c r="BG687" t="s">
        <v>74</v>
      </c>
      <c r="BH687" t="s">
        <v>7524</v>
      </c>
      <c r="BI687">
        <v>25</v>
      </c>
      <c r="BJ687" t="s">
        <v>120</v>
      </c>
      <c r="BK687" t="s">
        <v>119</v>
      </c>
      <c r="BL687" t="s">
        <v>120</v>
      </c>
      <c r="BM687" t="s">
        <v>13093</v>
      </c>
      <c r="BN687" t="s">
        <v>74</v>
      </c>
      <c r="BO687" t="s">
        <v>7073</v>
      </c>
      <c r="BP687" t="s">
        <v>74</v>
      </c>
      <c r="BQ687" t="s">
        <v>74</v>
      </c>
      <c r="BR687" t="s">
        <v>99</v>
      </c>
      <c r="BS687" t="s">
        <v>13094</v>
      </c>
      <c r="BT687" t="str">
        <f>HYPERLINK("https%3A%2F%2Fwww.webofscience.com%2Fwos%2Fwoscc%2Ffull-record%2FWOS:001044778100001","View Full Record in Web of Science")</f>
        <v>View Full Record in Web of Science</v>
      </c>
    </row>
    <row r="688" spans="1:72" x14ac:dyDescent="0.15">
      <c r="A688" t="s">
        <v>72</v>
      </c>
      <c r="B688" t="s">
        <v>13095</v>
      </c>
      <c r="C688" t="s">
        <v>74</v>
      </c>
      <c r="D688" t="s">
        <v>74</v>
      </c>
      <c r="E688" t="s">
        <v>74</v>
      </c>
      <c r="F688" t="s">
        <v>13096</v>
      </c>
      <c r="G688" t="s">
        <v>74</v>
      </c>
      <c r="H688" t="s">
        <v>74</v>
      </c>
      <c r="I688" t="s">
        <v>13097</v>
      </c>
      <c r="J688" t="s">
        <v>5350</v>
      </c>
      <c r="K688" t="s">
        <v>74</v>
      </c>
      <c r="L688" t="s">
        <v>74</v>
      </c>
      <c r="M688" t="s">
        <v>78</v>
      </c>
      <c r="N688" t="s">
        <v>594</v>
      </c>
      <c r="O688" t="s">
        <v>74</v>
      </c>
      <c r="P688" t="s">
        <v>74</v>
      </c>
      <c r="Q688" t="s">
        <v>74</v>
      </c>
      <c r="R688" t="s">
        <v>74</v>
      </c>
      <c r="S688" t="s">
        <v>74</v>
      </c>
      <c r="T688" t="s">
        <v>13098</v>
      </c>
      <c r="U688" t="s">
        <v>13099</v>
      </c>
      <c r="V688" t="s">
        <v>13100</v>
      </c>
      <c r="W688" t="s">
        <v>13101</v>
      </c>
      <c r="X688" t="s">
        <v>13102</v>
      </c>
      <c r="Y688" t="s">
        <v>13103</v>
      </c>
      <c r="Z688" t="s">
        <v>13104</v>
      </c>
      <c r="AA688" t="s">
        <v>74</v>
      </c>
      <c r="AB688" t="s">
        <v>13105</v>
      </c>
      <c r="AC688" t="s">
        <v>74</v>
      </c>
      <c r="AD688" t="s">
        <v>74</v>
      </c>
      <c r="AE688" t="s">
        <v>74</v>
      </c>
      <c r="AF688" t="s">
        <v>74</v>
      </c>
      <c r="AG688">
        <v>118</v>
      </c>
      <c r="AH688">
        <v>0</v>
      </c>
      <c r="AI688">
        <v>0</v>
      </c>
      <c r="AJ688">
        <v>2</v>
      </c>
      <c r="AK688">
        <v>2</v>
      </c>
      <c r="AL688" t="s">
        <v>426</v>
      </c>
      <c r="AM688" t="s">
        <v>427</v>
      </c>
      <c r="AN688" t="s">
        <v>428</v>
      </c>
      <c r="AO688" t="s">
        <v>5363</v>
      </c>
      <c r="AP688" t="s">
        <v>5364</v>
      </c>
      <c r="AQ688" t="s">
        <v>74</v>
      </c>
      <c r="AR688" t="s">
        <v>5365</v>
      </c>
      <c r="AS688" t="s">
        <v>5366</v>
      </c>
      <c r="AT688" t="s">
        <v>12794</v>
      </c>
      <c r="AU688">
        <v>2023</v>
      </c>
      <c r="AV688" t="s">
        <v>74</v>
      </c>
      <c r="AW688" t="s">
        <v>74</v>
      </c>
      <c r="AX688" t="s">
        <v>74</v>
      </c>
      <c r="AY688" t="s">
        <v>74</v>
      </c>
      <c r="AZ688" t="s">
        <v>74</v>
      </c>
      <c r="BA688" t="s">
        <v>74</v>
      </c>
      <c r="BB688" t="s">
        <v>74</v>
      </c>
      <c r="BC688" t="s">
        <v>74</v>
      </c>
      <c r="BD688" t="s">
        <v>74</v>
      </c>
      <c r="BE688" t="s">
        <v>13106</v>
      </c>
      <c r="BF688" t="str">
        <f>HYPERLINK("http://dx.doi.org/10.1002/jbio.202300189","http://dx.doi.org/10.1002/jbio.202300189")</f>
        <v>http://dx.doi.org/10.1002/jbio.202300189</v>
      </c>
      <c r="BG688" t="s">
        <v>74</v>
      </c>
      <c r="BH688" t="s">
        <v>7524</v>
      </c>
      <c r="BI688">
        <v>13</v>
      </c>
      <c r="BJ688" t="s">
        <v>5369</v>
      </c>
      <c r="BK688" t="s">
        <v>119</v>
      </c>
      <c r="BL688" t="s">
        <v>5370</v>
      </c>
      <c r="BM688" t="s">
        <v>13107</v>
      </c>
      <c r="BN688">
        <v>37494000</v>
      </c>
      <c r="BO688" t="s">
        <v>74</v>
      </c>
      <c r="BP688" t="s">
        <v>74</v>
      </c>
      <c r="BQ688" t="s">
        <v>74</v>
      </c>
      <c r="BR688" t="s">
        <v>99</v>
      </c>
      <c r="BS688" t="s">
        <v>13108</v>
      </c>
      <c r="BT688" t="str">
        <f>HYPERLINK("https%3A%2F%2Fwww.webofscience.com%2Fwos%2Fwoscc%2Ffull-record%2FWOS:001044766400001","View Full Record in Web of Science")</f>
        <v>View Full Record in Web of Science</v>
      </c>
    </row>
    <row r="689" spans="1:72" x14ac:dyDescent="0.15">
      <c r="A689" t="s">
        <v>72</v>
      </c>
      <c r="B689" t="s">
        <v>13109</v>
      </c>
      <c r="C689" t="s">
        <v>74</v>
      </c>
      <c r="D689" t="s">
        <v>74</v>
      </c>
      <c r="E689" t="s">
        <v>74</v>
      </c>
      <c r="F689" t="s">
        <v>13110</v>
      </c>
      <c r="G689" t="s">
        <v>74</v>
      </c>
      <c r="H689" t="s">
        <v>74</v>
      </c>
      <c r="I689" t="s">
        <v>13111</v>
      </c>
      <c r="J689" t="s">
        <v>593</v>
      </c>
      <c r="K689" t="s">
        <v>74</v>
      </c>
      <c r="L689" t="s">
        <v>74</v>
      </c>
      <c r="M689" t="s">
        <v>78</v>
      </c>
      <c r="N689" t="s">
        <v>338</v>
      </c>
      <c r="O689" t="s">
        <v>74</v>
      </c>
      <c r="P689" t="s">
        <v>74</v>
      </c>
      <c r="Q689" t="s">
        <v>74</v>
      </c>
      <c r="R689" t="s">
        <v>74</v>
      </c>
      <c r="S689" t="s">
        <v>74</v>
      </c>
      <c r="T689" t="s">
        <v>13112</v>
      </c>
      <c r="U689" t="s">
        <v>13113</v>
      </c>
      <c r="V689" t="s">
        <v>13114</v>
      </c>
      <c r="W689" t="s">
        <v>13115</v>
      </c>
      <c r="X689" t="s">
        <v>13116</v>
      </c>
      <c r="Y689" t="s">
        <v>13117</v>
      </c>
      <c r="Z689" t="s">
        <v>13118</v>
      </c>
      <c r="AA689" t="s">
        <v>74</v>
      </c>
      <c r="AB689" t="s">
        <v>74</v>
      </c>
      <c r="AC689" t="s">
        <v>13119</v>
      </c>
      <c r="AD689" t="s">
        <v>13120</v>
      </c>
      <c r="AE689" t="s">
        <v>13121</v>
      </c>
      <c r="AF689" t="s">
        <v>74</v>
      </c>
      <c r="AG689">
        <v>52</v>
      </c>
      <c r="AH689">
        <v>0</v>
      </c>
      <c r="AI689">
        <v>0</v>
      </c>
      <c r="AJ689">
        <v>26</v>
      </c>
      <c r="AK689">
        <v>26</v>
      </c>
      <c r="AL689" t="s">
        <v>426</v>
      </c>
      <c r="AM689" t="s">
        <v>427</v>
      </c>
      <c r="AN689" t="s">
        <v>428</v>
      </c>
      <c r="AO689" t="s">
        <v>605</v>
      </c>
      <c r="AP689" t="s">
        <v>606</v>
      </c>
      <c r="AQ689" t="s">
        <v>74</v>
      </c>
      <c r="AR689" t="s">
        <v>593</v>
      </c>
      <c r="AS689" t="s">
        <v>607</v>
      </c>
      <c r="AT689" t="s">
        <v>12794</v>
      </c>
      <c r="AU689">
        <v>2023</v>
      </c>
      <c r="AV689" t="s">
        <v>74</v>
      </c>
      <c r="AW689" t="s">
        <v>74</v>
      </c>
      <c r="AX689" t="s">
        <v>74</v>
      </c>
      <c r="AY689" t="s">
        <v>74</v>
      </c>
      <c r="AZ689" t="s">
        <v>74</v>
      </c>
      <c r="BA689" t="s">
        <v>74</v>
      </c>
      <c r="BB689" t="s">
        <v>74</v>
      </c>
      <c r="BC689" t="s">
        <v>74</v>
      </c>
      <c r="BD689" t="s">
        <v>74</v>
      </c>
      <c r="BE689" t="s">
        <v>13122</v>
      </c>
      <c r="BF689" t="str">
        <f>HYPERLINK("http://dx.doi.org/10.1002/smll.202303087","http://dx.doi.org/10.1002/smll.202303087")</f>
        <v>http://dx.doi.org/10.1002/smll.202303087</v>
      </c>
      <c r="BG689" t="s">
        <v>74</v>
      </c>
      <c r="BH689" t="s">
        <v>7524</v>
      </c>
      <c r="BI689">
        <v>11</v>
      </c>
      <c r="BJ689" t="s">
        <v>609</v>
      </c>
      <c r="BK689" t="s">
        <v>119</v>
      </c>
      <c r="BL689" t="s">
        <v>610</v>
      </c>
      <c r="BM689" t="s">
        <v>13123</v>
      </c>
      <c r="BN689">
        <v>37559165</v>
      </c>
      <c r="BO689" t="s">
        <v>74</v>
      </c>
      <c r="BP689" t="s">
        <v>74</v>
      </c>
      <c r="BQ689" t="s">
        <v>74</v>
      </c>
      <c r="BR689" t="s">
        <v>99</v>
      </c>
      <c r="BS689" t="s">
        <v>13124</v>
      </c>
      <c r="BT689" t="str">
        <f>HYPERLINK("https%3A%2F%2Fwww.webofscience.com%2Fwos%2Fwoscc%2Ffull-record%2FWOS:001044101100001","View Full Record in Web of Science")</f>
        <v>View Full Record in Web of Science</v>
      </c>
    </row>
    <row r="690" spans="1:72" x14ac:dyDescent="0.15">
      <c r="A690" t="s">
        <v>72</v>
      </c>
      <c r="B690" t="s">
        <v>13125</v>
      </c>
      <c r="C690" t="s">
        <v>74</v>
      </c>
      <c r="D690" t="s">
        <v>74</v>
      </c>
      <c r="E690" t="s">
        <v>74</v>
      </c>
      <c r="F690" t="s">
        <v>13126</v>
      </c>
      <c r="G690" t="s">
        <v>74</v>
      </c>
      <c r="H690" t="s">
        <v>74</v>
      </c>
      <c r="I690" t="s">
        <v>13127</v>
      </c>
      <c r="J690" t="s">
        <v>10728</v>
      </c>
      <c r="K690" t="s">
        <v>74</v>
      </c>
      <c r="L690" t="s">
        <v>74</v>
      </c>
      <c r="M690" t="s">
        <v>78</v>
      </c>
      <c r="N690" t="s">
        <v>79</v>
      </c>
      <c r="O690" t="s">
        <v>74</v>
      </c>
      <c r="P690" t="s">
        <v>74</v>
      </c>
      <c r="Q690" t="s">
        <v>74</v>
      </c>
      <c r="R690" t="s">
        <v>74</v>
      </c>
      <c r="S690" t="s">
        <v>74</v>
      </c>
      <c r="T690" t="s">
        <v>13128</v>
      </c>
      <c r="U690" t="s">
        <v>13129</v>
      </c>
      <c r="V690" t="s">
        <v>13130</v>
      </c>
      <c r="W690" t="s">
        <v>13131</v>
      </c>
      <c r="X690" t="s">
        <v>13132</v>
      </c>
      <c r="Y690" t="s">
        <v>13133</v>
      </c>
      <c r="Z690" t="s">
        <v>13134</v>
      </c>
      <c r="AA690" t="s">
        <v>13135</v>
      </c>
      <c r="AB690" t="s">
        <v>13136</v>
      </c>
      <c r="AC690" t="s">
        <v>13137</v>
      </c>
      <c r="AD690" t="s">
        <v>13138</v>
      </c>
      <c r="AE690" t="s">
        <v>13139</v>
      </c>
      <c r="AF690" t="s">
        <v>74</v>
      </c>
      <c r="AG690">
        <v>61</v>
      </c>
      <c r="AH690">
        <v>0</v>
      </c>
      <c r="AI690">
        <v>0</v>
      </c>
      <c r="AJ690">
        <v>10</v>
      </c>
      <c r="AK690">
        <v>10</v>
      </c>
      <c r="AL690" t="s">
        <v>87</v>
      </c>
      <c r="AM690" t="s">
        <v>88</v>
      </c>
      <c r="AN690" t="s">
        <v>89</v>
      </c>
      <c r="AO690" t="s">
        <v>10740</v>
      </c>
      <c r="AP690" t="s">
        <v>10741</v>
      </c>
      <c r="AQ690" t="s">
        <v>74</v>
      </c>
      <c r="AR690" t="s">
        <v>10742</v>
      </c>
      <c r="AS690" t="s">
        <v>10743</v>
      </c>
      <c r="AT690" t="s">
        <v>6725</v>
      </c>
      <c r="AU690">
        <v>2023</v>
      </c>
      <c r="AV690">
        <v>60</v>
      </c>
      <c r="AW690">
        <v>9</v>
      </c>
      <c r="AX690" t="s">
        <v>74</v>
      </c>
      <c r="AY690" t="s">
        <v>74</v>
      </c>
      <c r="AZ690" t="s">
        <v>74</v>
      </c>
      <c r="BA690" t="s">
        <v>74</v>
      </c>
      <c r="BB690">
        <v>1929</v>
      </c>
      <c r="BC690">
        <v>1938</v>
      </c>
      <c r="BD690" t="s">
        <v>74</v>
      </c>
      <c r="BE690" t="s">
        <v>13140</v>
      </c>
      <c r="BF690" t="str">
        <f>HYPERLINK("http://dx.doi.org/10.1111/1365-2664.14485","http://dx.doi.org/10.1111/1365-2664.14485")</f>
        <v>http://dx.doi.org/10.1111/1365-2664.14485</v>
      </c>
      <c r="BG690" t="s">
        <v>74</v>
      </c>
      <c r="BH690" t="s">
        <v>7524</v>
      </c>
      <c r="BI690">
        <v>10</v>
      </c>
      <c r="BJ690" t="s">
        <v>765</v>
      </c>
      <c r="BK690" t="s">
        <v>119</v>
      </c>
      <c r="BL690" t="s">
        <v>766</v>
      </c>
      <c r="BM690" t="s">
        <v>13141</v>
      </c>
      <c r="BN690" t="s">
        <v>74</v>
      </c>
      <c r="BO690" t="s">
        <v>301</v>
      </c>
      <c r="BP690" t="s">
        <v>74</v>
      </c>
      <c r="BQ690" t="s">
        <v>74</v>
      </c>
      <c r="BR690" t="s">
        <v>99</v>
      </c>
      <c r="BS690" t="s">
        <v>13142</v>
      </c>
      <c r="BT690" t="str">
        <f>HYPERLINK("https%3A%2F%2Fwww.webofscience.com%2Fwos%2Fwoscc%2Ffull-record%2FWOS:001044746100001","View Full Record in Web of Science")</f>
        <v>View Full Record in Web of Science</v>
      </c>
    </row>
    <row r="691" spans="1:72" x14ac:dyDescent="0.15">
      <c r="A691" t="s">
        <v>72</v>
      </c>
      <c r="B691" t="s">
        <v>13143</v>
      </c>
      <c r="C691" t="s">
        <v>74</v>
      </c>
      <c r="D691" t="s">
        <v>74</v>
      </c>
      <c r="E691" t="s">
        <v>74</v>
      </c>
      <c r="F691" t="s">
        <v>13144</v>
      </c>
      <c r="G691" t="s">
        <v>74</v>
      </c>
      <c r="H691" t="s">
        <v>74</v>
      </c>
      <c r="I691" t="s">
        <v>13145</v>
      </c>
      <c r="J691" t="s">
        <v>13146</v>
      </c>
      <c r="K691" t="s">
        <v>74</v>
      </c>
      <c r="L691" t="s">
        <v>74</v>
      </c>
      <c r="M691" t="s">
        <v>78</v>
      </c>
      <c r="N691" t="s">
        <v>338</v>
      </c>
      <c r="O691" t="s">
        <v>74</v>
      </c>
      <c r="P691" t="s">
        <v>74</v>
      </c>
      <c r="Q691" t="s">
        <v>74</v>
      </c>
      <c r="R691" t="s">
        <v>74</v>
      </c>
      <c r="S691" t="s">
        <v>74</v>
      </c>
      <c r="T691" t="s">
        <v>13147</v>
      </c>
      <c r="U691" t="s">
        <v>13148</v>
      </c>
      <c r="V691" t="s">
        <v>13149</v>
      </c>
      <c r="W691" t="s">
        <v>13150</v>
      </c>
      <c r="X691" t="s">
        <v>13151</v>
      </c>
      <c r="Y691" t="s">
        <v>13152</v>
      </c>
      <c r="Z691" t="s">
        <v>13153</v>
      </c>
      <c r="AA691" t="s">
        <v>13154</v>
      </c>
      <c r="AB691" t="s">
        <v>13155</v>
      </c>
      <c r="AC691" t="s">
        <v>74</v>
      </c>
      <c r="AD691" t="s">
        <v>74</v>
      </c>
      <c r="AE691" t="s">
        <v>74</v>
      </c>
      <c r="AF691" t="s">
        <v>74</v>
      </c>
      <c r="AG691">
        <v>80</v>
      </c>
      <c r="AH691">
        <v>0</v>
      </c>
      <c r="AI691">
        <v>0</v>
      </c>
      <c r="AJ691">
        <v>0</v>
      </c>
      <c r="AK691">
        <v>0</v>
      </c>
      <c r="AL691" t="s">
        <v>87</v>
      </c>
      <c r="AM691" t="s">
        <v>88</v>
      </c>
      <c r="AN691" t="s">
        <v>89</v>
      </c>
      <c r="AO691" t="s">
        <v>13156</v>
      </c>
      <c r="AP691" t="s">
        <v>74</v>
      </c>
      <c r="AQ691" t="s">
        <v>74</v>
      </c>
      <c r="AR691" t="s">
        <v>13157</v>
      </c>
      <c r="AS691" t="s">
        <v>13158</v>
      </c>
      <c r="AT691" t="s">
        <v>13159</v>
      </c>
      <c r="AU691">
        <v>2023</v>
      </c>
      <c r="AV691" t="s">
        <v>74</v>
      </c>
      <c r="AW691" t="s">
        <v>74</v>
      </c>
      <c r="AX691" t="s">
        <v>74</v>
      </c>
      <c r="AY691" t="s">
        <v>74</v>
      </c>
      <c r="AZ691" t="s">
        <v>74</v>
      </c>
      <c r="BA691" t="s">
        <v>74</v>
      </c>
      <c r="BB691" t="s">
        <v>74</v>
      </c>
      <c r="BC691" t="s">
        <v>74</v>
      </c>
      <c r="BD691" t="s">
        <v>74</v>
      </c>
      <c r="BE691" t="s">
        <v>13160</v>
      </c>
      <c r="BF691" t="str">
        <f>HYPERLINK("http://dx.doi.org/10.1111/1471-3802.12615","http://dx.doi.org/10.1111/1471-3802.12615")</f>
        <v>http://dx.doi.org/10.1111/1471-3802.12615</v>
      </c>
      <c r="BG691" t="s">
        <v>74</v>
      </c>
      <c r="BH691" t="s">
        <v>7524</v>
      </c>
      <c r="BI691">
        <v>14</v>
      </c>
      <c r="BJ691" t="s">
        <v>13161</v>
      </c>
      <c r="BK691" t="s">
        <v>96</v>
      </c>
      <c r="BL691" t="s">
        <v>2208</v>
      </c>
      <c r="BM691" t="s">
        <v>13162</v>
      </c>
      <c r="BN691" t="s">
        <v>74</v>
      </c>
      <c r="BO691" t="s">
        <v>122</v>
      </c>
      <c r="BP691" t="s">
        <v>74</v>
      </c>
      <c r="BQ691" t="s">
        <v>74</v>
      </c>
      <c r="BR691" t="s">
        <v>99</v>
      </c>
      <c r="BS691" t="s">
        <v>13163</v>
      </c>
      <c r="BT691" t="str">
        <f>HYPERLINK("https%3A%2F%2Fwww.webofscience.com%2Fwos%2Fwoscc%2Ffull-record%2FWOS:001044328400001","View Full Record in Web of Science")</f>
        <v>View Full Record in Web of Science</v>
      </c>
    </row>
    <row r="692" spans="1:72" x14ac:dyDescent="0.15">
      <c r="A692" t="s">
        <v>72</v>
      </c>
      <c r="B692" t="s">
        <v>13164</v>
      </c>
      <c r="C692" t="s">
        <v>74</v>
      </c>
      <c r="D692" t="s">
        <v>74</v>
      </c>
      <c r="E692" t="s">
        <v>74</v>
      </c>
      <c r="F692" t="s">
        <v>13165</v>
      </c>
      <c r="G692" t="s">
        <v>74</v>
      </c>
      <c r="H692" t="s">
        <v>74</v>
      </c>
      <c r="I692" t="s">
        <v>13166</v>
      </c>
      <c r="J692" t="s">
        <v>13167</v>
      </c>
      <c r="K692" t="s">
        <v>74</v>
      </c>
      <c r="L692" t="s">
        <v>74</v>
      </c>
      <c r="M692" t="s">
        <v>78</v>
      </c>
      <c r="N692" t="s">
        <v>79</v>
      </c>
      <c r="O692" t="s">
        <v>74</v>
      </c>
      <c r="P692" t="s">
        <v>74</v>
      </c>
      <c r="Q692" t="s">
        <v>74</v>
      </c>
      <c r="R692" t="s">
        <v>74</v>
      </c>
      <c r="S692" t="s">
        <v>74</v>
      </c>
      <c r="T692" t="s">
        <v>13168</v>
      </c>
      <c r="U692" t="s">
        <v>13169</v>
      </c>
      <c r="V692" t="s">
        <v>13170</v>
      </c>
      <c r="W692" t="s">
        <v>13171</v>
      </c>
      <c r="X692" t="s">
        <v>13172</v>
      </c>
      <c r="Y692" t="s">
        <v>13173</v>
      </c>
      <c r="Z692" t="s">
        <v>13174</v>
      </c>
      <c r="AA692" t="s">
        <v>13175</v>
      </c>
      <c r="AB692" t="s">
        <v>13176</v>
      </c>
      <c r="AC692" t="s">
        <v>13177</v>
      </c>
      <c r="AD692" t="s">
        <v>13177</v>
      </c>
      <c r="AE692" t="s">
        <v>13178</v>
      </c>
      <c r="AF692" t="s">
        <v>74</v>
      </c>
      <c r="AG692">
        <v>34</v>
      </c>
      <c r="AH692">
        <v>0</v>
      </c>
      <c r="AI692">
        <v>0</v>
      </c>
      <c r="AJ692">
        <v>0</v>
      </c>
      <c r="AK692">
        <v>0</v>
      </c>
      <c r="AL692" t="s">
        <v>87</v>
      </c>
      <c r="AM692" t="s">
        <v>88</v>
      </c>
      <c r="AN692" t="s">
        <v>89</v>
      </c>
      <c r="AO692" t="s">
        <v>13179</v>
      </c>
      <c r="AP692" t="s">
        <v>13180</v>
      </c>
      <c r="AQ692" t="s">
        <v>74</v>
      </c>
      <c r="AR692" t="s">
        <v>13181</v>
      </c>
      <c r="AS692" t="s">
        <v>13182</v>
      </c>
      <c r="AT692" t="s">
        <v>185</v>
      </c>
      <c r="AU692">
        <v>2023</v>
      </c>
      <c r="AV692">
        <v>58</v>
      </c>
      <c r="AW692">
        <v>5</v>
      </c>
      <c r="AX692" t="s">
        <v>74</v>
      </c>
      <c r="AY692" t="s">
        <v>74</v>
      </c>
      <c r="AZ692" t="s">
        <v>74</v>
      </c>
      <c r="BA692" t="s">
        <v>74</v>
      </c>
      <c r="BB692">
        <v>1096</v>
      </c>
      <c r="BC692">
        <v>1104</v>
      </c>
      <c r="BD692" t="s">
        <v>74</v>
      </c>
      <c r="BE692" t="s">
        <v>13183</v>
      </c>
      <c r="BF692" t="str">
        <f>HYPERLINK("http://dx.doi.org/10.1111/jre.13174","http://dx.doi.org/10.1111/jre.13174")</f>
        <v>http://dx.doi.org/10.1111/jre.13174</v>
      </c>
      <c r="BG692" t="s">
        <v>74</v>
      </c>
      <c r="BH692" t="s">
        <v>7524</v>
      </c>
      <c r="BI692">
        <v>9</v>
      </c>
      <c r="BJ692" t="s">
        <v>314</v>
      </c>
      <c r="BK692" t="s">
        <v>119</v>
      </c>
      <c r="BL692" t="s">
        <v>314</v>
      </c>
      <c r="BM692" t="s">
        <v>13184</v>
      </c>
      <c r="BN692">
        <v>37553767</v>
      </c>
      <c r="BO692" t="s">
        <v>122</v>
      </c>
      <c r="BP692" t="s">
        <v>74</v>
      </c>
      <c r="BQ692" t="s">
        <v>74</v>
      </c>
      <c r="BR692" t="s">
        <v>99</v>
      </c>
      <c r="BS692" t="s">
        <v>13185</v>
      </c>
      <c r="BT692" t="str">
        <f>HYPERLINK("https%3A%2F%2Fwww.webofscience.com%2Fwos%2Fwoscc%2Ffull-record%2FWOS:001047251400001","View Full Record in Web of Science")</f>
        <v>View Full Record in Web of Science</v>
      </c>
    </row>
    <row r="693" spans="1:72" x14ac:dyDescent="0.15">
      <c r="A693" t="s">
        <v>72</v>
      </c>
      <c r="B693" t="s">
        <v>13186</v>
      </c>
      <c r="C693" t="s">
        <v>74</v>
      </c>
      <c r="D693" t="s">
        <v>74</v>
      </c>
      <c r="E693" t="s">
        <v>74</v>
      </c>
      <c r="F693" t="s">
        <v>13187</v>
      </c>
      <c r="G693" t="s">
        <v>74</v>
      </c>
      <c r="H693" t="s">
        <v>74</v>
      </c>
      <c r="I693" t="s">
        <v>13188</v>
      </c>
      <c r="J693" t="s">
        <v>11451</v>
      </c>
      <c r="K693" t="s">
        <v>74</v>
      </c>
      <c r="L693" t="s">
        <v>74</v>
      </c>
      <c r="M693" t="s">
        <v>78</v>
      </c>
      <c r="N693" t="s">
        <v>594</v>
      </c>
      <c r="O693" t="s">
        <v>74</v>
      </c>
      <c r="P693" t="s">
        <v>74</v>
      </c>
      <c r="Q693" t="s">
        <v>74</v>
      </c>
      <c r="R693" t="s">
        <v>74</v>
      </c>
      <c r="S693" t="s">
        <v>74</v>
      </c>
      <c r="T693" t="s">
        <v>13189</v>
      </c>
      <c r="U693" t="s">
        <v>13190</v>
      </c>
      <c r="V693" t="s">
        <v>13191</v>
      </c>
      <c r="W693" t="s">
        <v>13192</v>
      </c>
      <c r="X693" t="s">
        <v>13193</v>
      </c>
      <c r="Y693" t="s">
        <v>13194</v>
      </c>
      <c r="Z693" t="s">
        <v>13195</v>
      </c>
      <c r="AA693" t="s">
        <v>74</v>
      </c>
      <c r="AB693" t="s">
        <v>13196</v>
      </c>
      <c r="AC693" t="s">
        <v>13197</v>
      </c>
      <c r="AD693" t="s">
        <v>13197</v>
      </c>
      <c r="AE693" t="s">
        <v>13198</v>
      </c>
      <c r="AF693" t="s">
        <v>74</v>
      </c>
      <c r="AG693">
        <v>279</v>
      </c>
      <c r="AH693">
        <v>0</v>
      </c>
      <c r="AI693">
        <v>0</v>
      </c>
      <c r="AJ693">
        <v>7</v>
      </c>
      <c r="AK693">
        <v>7</v>
      </c>
      <c r="AL693" t="s">
        <v>87</v>
      </c>
      <c r="AM693" t="s">
        <v>88</v>
      </c>
      <c r="AN693" t="s">
        <v>89</v>
      </c>
      <c r="AO693" t="s">
        <v>11463</v>
      </c>
      <c r="AP693" t="s">
        <v>11464</v>
      </c>
      <c r="AQ693" t="s">
        <v>74</v>
      </c>
      <c r="AR693" t="s">
        <v>11465</v>
      </c>
      <c r="AS693" t="s">
        <v>11466</v>
      </c>
      <c r="AT693" t="s">
        <v>13159</v>
      </c>
      <c r="AU693">
        <v>2023</v>
      </c>
      <c r="AV693" t="s">
        <v>74</v>
      </c>
      <c r="AW693" t="s">
        <v>74</v>
      </c>
      <c r="AX693" t="s">
        <v>74</v>
      </c>
      <c r="AY693" t="s">
        <v>74</v>
      </c>
      <c r="AZ693" t="s">
        <v>74</v>
      </c>
      <c r="BA693" t="s">
        <v>74</v>
      </c>
      <c r="BB693" t="s">
        <v>74</v>
      </c>
      <c r="BC693" t="s">
        <v>74</v>
      </c>
      <c r="BD693" t="s">
        <v>74</v>
      </c>
      <c r="BE693" t="s">
        <v>13199</v>
      </c>
      <c r="BF693" t="str">
        <f>HYPERLINK("http://dx.doi.org/10.1002/1873-3468.14709","http://dx.doi.org/10.1002/1873-3468.14709")</f>
        <v>http://dx.doi.org/10.1002/1873-3468.14709</v>
      </c>
      <c r="BG693" t="s">
        <v>74</v>
      </c>
      <c r="BH693" t="s">
        <v>7524</v>
      </c>
      <c r="BI693">
        <v>38</v>
      </c>
      <c r="BJ693" t="s">
        <v>11468</v>
      </c>
      <c r="BK693" t="s">
        <v>119</v>
      </c>
      <c r="BL693" t="s">
        <v>11468</v>
      </c>
      <c r="BM693" t="s">
        <v>13200</v>
      </c>
      <c r="BN693">
        <v>37519013</v>
      </c>
      <c r="BO693" t="s">
        <v>122</v>
      </c>
      <c r="BP693" t="s">
        <v>74</v>
      </c>
      <c r="BQ693" t="s">
        <v>74</v>
      </c>
      <c r="BR693" t="s">
        <v>99</v>
      </c>
      <c r="BS693" t="s">
        <v>13201</v>
      </c>
      <c r="BT693" t="str">
        <f>HYPERLINK("https%3A%2F%2Fwww.webofscience.com%2Fwos%2Fwoscc%2Ffull-record%2FWOS:001044210000001","View Full Record in Web of Science")</f>
        <v>View Full Record in Web of Science</v>
      </c>
    </row>
    <row r="694" spans="1:72" x14ac:dyDescent="0.15">
      <c r="A694" t="s">
        <v>72</v>
      </c>
      <c r="B694" t="s">
        <v>13202</v>
      </c>
      <c r="C694" t="s">
        <v>74</v>
      </c>
      <c r="D694" t="s">
        <v>74</v>
      </c>
      <c r="E694" t="s">
        <v>74</v>
      </c>
      <c r="F694" t="s">
        <v>13203</v>
      </c>
      <c r="G694" t="s">
        <v>74</v>
      </c>
      <c r="H694" t="s">
        <v>74</v>
      </c>
      <c r="I694" t="s">
        <v>13204</v>
      </c>
      <c r="J694" t="s">
        <v>13205</v>
      </c>
      <c r="K694" t="s">
        <v>74</v>
      </c>
      <c r="L694" t="s">
        <v>74</v>
      </c>
      <c r="M694" t="s">
        <v>78</v>
      </c>
      <c r="N694" t="s">
        <v>2743</v>
      </c>
      <c r="O694" t="s">
        <v>74</v>
      </c>
      <c r="P694" t="s">
        <v>74</v>
      </c>
      <c r="Q694" t="s">
        <v>74</v>
      </c>
      <c r="R694" t="s">
        <v>74</v>
      </c>
      <c r="S694" t="s">
        <v>74</v>
      </c>
      <c r="T694" t="s">
        <v>74</v>
      </c>
      <c r="U694" t="s">
        <v>74</v>
      </c>
      <c r="V694" t="s">
        <v>74</v>
      </c>
      <c r="W694" t="s">
        <v>13206</v>
      </c>
      <c r="X694" t="s">
        <v>13207</v>
      </c>
      <c r="Y694" t="s">
        <v>13208</v>
      </c>
      <c r="Z694" t="s">
        <v>13209</v>
      </c>
      <c r="AA694" t="s">
        <v>74</v>
      </c>
      <c r="AB694" t="s">
        <v>74</v>
      </c>
      <c r="AC694" t="s">
        <v>74</v>
      </c>
      <c r="AD694" t="s">
        <v>74</v>
      </c>
      <c r="AE694" t="s">
        <v>74</v>
      </c>
      <c r="AF694" t="s">
        <v>74</v>
      </c>
      <c r="AG694">
        <v>5</v>
      </c>
      <c r="AH694">
        <v>0</v>
      </c>
      <c r="AI694">
        <v>0</v>
      </c>
      <c r="AJ694">
        <v>0</v>
      </c>
      <c r="AK694">
        <v>0</v>
      </c>
      <c r="AL694" t="s">
        <v>87</v>
      </c>
      <c r="AM694" t="s">
        <v>88</v>
      </c>
      <c r="AN694" t="s">
        <v>89</v>
      </c>
      <c r="AO694" t="s">
        <v>13210</v>
      </c>
      <c r="AP694" t="s">
        <v>13211</v>
      </c>
      <c r="AQ694" t="s">
        <v>74</v>
      </c>
      <c r="AR694" t="s">
        <v>13212</v>
      </c>
      <c r="AS694" t="s">
        <v>13213</v>
      </c>
      <c r="AT694" t="s">
        <v>13159</v>
      </c>
      <c r="AU694">
        <v>2023</v>
      </c>
      <c r="AV694" t="s">
        <v>74</v>
      </c>
      <c r="AW694" t="s">
        <v>74</v>
      </c>
      <c r="AX694" t="s">
        <v>74</v>
      </c>
      <c r="AY694" t="s">
        <v>74</v>
      </c>
      <c r="AZ694" t="s">
        <v>74</v>
      </c>
      <c r="BA694" t="s">
        <v>74</v>
      </c>
      <c r="BB694" t="s">
        <v>74</v>
      </c>
      <c r="BC694" t="s">
        <v>74</v>
      </c>
      <c r="BD694" t="s">
        <v>74</v>
      </c>
      <c r="BE694" t="s">
        <v>13214</v>
      </c>
      <c r="BF694" t="str">
        <f>HYPERLINK("http://dx.doi.org/10.1111/jvh.13879","http://dx.doi.org/10.1111/jvh.13879")</f>
        <v>http://dx.doi.org/10.1111/jvh.13879</v>
      </c>
      <c r="BG694" t="s">
        <v>74</v>
      </c>
      <c r="BH694" t="s">
        <v>7524</v>
      </c>
      <c r="BI694">
        <v>2</v>
      </c>
      <c r="BJ694" t="s">
        <v>13215</v>
      </c>
      <c r="BK694" t="s">
        <v>119</v>
      </c>
      <c r="BL694" t="s">
        <v>13215</v>
      </c>
      <c r="BM694" t="s">
        <v>13216</v>
      </c>
      <c r="BN694">
        <v>37551747</v>
      </c>
      <c r="BO694" t="s">
        <v>74</v>
      </c>
      <c r="BP694" t="s">
        <v>74</v>
      </c>
      <c r="BQ694" t="s">
        <v>74</v>
      </c>
      <c r="BR694" t="s">
        <v>99</v>
      </c>
      <c r="BS694" t="s">
        <v>13217</v>
      </c>
      <c r="BT694" t="str">
        <f>HYPERLINK("https%3A%2F%2Fwww.webofscience.com%2Fwos%2Fwoscc%2Ffull-record%2FWOS:001044286200001","View Full Record in Web of Science")</f>
        <v>View Full Record in Web of Science</v>
      </c>
    </row>
    <row r="695" spans="1:72" x14ac:dyDescent="0.15">
      <c r="A695" t="s">
        <v>72</v>
      </c>
      <c r="B695" t="s">
        <v>13218</v>
      </c>
      <c r="C695" t="s">
        <v>74</v>
      </c>
      <c r="D695" t="s">
        <v>74</v>
      </c>
      <c r="E695" t="s">
        <v>74</v>
      </c>
      <c r="F695" t="s">
        <v>13219</v>
      </c>
      <c r="G695" t="s">
        <v>74</v>
      </c>
      <c r="H695" t="s">
        <v>74</v>
      </c>
      <c r="I695" t="s">
        <v>13220</v>
      </c>
      <c r="J695" t="s">
        <v>2828</v>
      </c>
      <c r="K695" t="s">
        <v>74</v>
      </c>
      <c r="L695" t="s">
        <v>74</v>
      </c>
      <c r="M695" t="s">
        <v>78</v>
      </c>
      <c r="N695" t="s">
        <v>338</v>
      </c>
      <c r="O695" t="s">
        <v>74</v>
      </c>
      <c r="P695" t="s">
        <v>74</v>
      </c>
      <c r="Q695" t="s">
        <v>74</v>
      </c>
      <c r="R695" t="s">
        <v>74</v>
      </c>
      <c r="S695" t="s">
        <v>74</v>
      </c>
      <c r="T695" t="s">
        <v>13221</v>
      </c>
      <c r="U695" t="s">
        <v>13222</v>
      </c>
      <c r="V695" t="s">
        <v>13223</v>
      </c>
      <c r="W695" t="s">
        <v>13224</v>
      </c>
      <c r="X695" t="s">
        <v>13225</v>
      </c>
      <c r="Y695" t="s">
        <v>13226</v>
      </c>
      <c r="Z695" t="s">
        <v>13227</v>
      </c>
      <c r="AA695" t="s">
        <v>13228</v>
      </c>
      <c r="AB695" t="s">
        <v>13229</v>
      </c>
      <c r="AC695" t="s">
        <v>13230</v>
      </c>
      <c r="AD695" t="s">
        <v>13231</v>
      </c>
      <c r="AE695" t="s">
        <v>13232</v>
      </c>
      <c r="AF695" t="s">
        <v>74</v>
      </c>
      <c r="AG695">
        <v>42</v>
      </c>
      <c r="AH695">
        <v>0</v>
      </c>
      <c r="AI695">
        <v>0</v>
      </c>
      <c r="AJ695">
        <v>0</v>
      </c>
      <c r="AK695">
        <v>0</v>
      </c>
      <c r="AL695" t="s">
        <v>87</v>
      </c>
      <c r="AM695" t="s">
        <v>88</v>
      </c>
      <c r="AN695" t="s">
        <v>89</v>
      </c>
      <c r="AO695" t="s">
        <v>2837</v>
      </c>
      <c r="AP695" t="s">
        <v>2838</v>
      </c>
      <c r="AQ695" t="s">
        <v>74</v>
      </c>
      <c r="AR695" t="s">
        <v>2839</v>
      </c>
      <c r="AS695" t="s">
        <v>2840</v>
      </c>
      <c r="AT695" t="s">
        <v>13159</v>
      </c>
      <c r="AU695">
        <v>2023</v>
      </c>
      <c r="AV695" t="s">
        <v>74</v>
      </c>
      <c r="AW695" t="s">
        <v>74</v>
      </c>
      <c r="AX695" t="s">
        <v>74</v>
      </c>
      <c r="AY695" t="s">
        <v>74</v>
      </c>
      <c r="AZ695" t="s">
        <v>74</v>
      </c>
      <c r="BA695" t="s">
        <v>74</v>
      </c>
      <c r="BB695" t="s">
        <v>74</v>
      </c>
      <c r="BC695" t="s">
        <v>74</v>
      </c>
      <c r="BD695" t="s">
        <v>74</v>
      </c>
      <c r="BE695" t="s">
        <v>13233</v>
      </c>
      <c r="BF695" t="str">
        <f>HYPERLINK("http://dx.doi.org/10.1111/cge.14415","http://dx.doi.org/10.1111/cge.14415")</f>
        <v>http://dx.doi.org/10.1111/cge.14415</v>
      </c>
      <c r="BG695" t="s">
        <v>74</v>
      </c>
      <c r="BH695" t="s">
        <v>7524</v>
      </c>
      <c r="BI695">
        <v>10</v>
      </c>
      <c r="BJ695" t="s">
        <v>677</v>
      </c>
      <c r="BK695" t="s">
        <v>119</v>
      </c>
      <c r="BL695" t="s">
        <v>677</v>
      </c>
      <c r="BM695" t="s">
        <v>13234</v>
      </c>
      <c r="BN695">
        <v>37553298</v>
      </c>
      <c r="BO695" t="s">
        <v>122</v>
      </c>
      <c r="BP695" t="s">
        <v>74</v>
      </c>
      <c r="BQ695" t="s">
        <v>74</v>
      </c>
      <c r="BR695" t="s">
        <v>99</v>
      </c>
      <c r="BS695" t="s">
        <v>13235</v>
      </c>
      <c r="BT695" t="str">
        <f>HYPERLINK("https%3A%2F%2Fwww.webofscience.com%2Fwos%2Fwoscc%2Ffull-record%2FWOS:001044207600001","View Full Record in Web of Science")</f>
        <v>View Full Record in Web of Science</v>
      </c>
    </row>
    <row r="696" spans="1:72" x14ac:dyDescent="0.15">
      <c r="A696" t="s">
        <v>72</v>
      </c>
      <c r="B696" t="s">
        <v>13236</v>
      </c>
      <c r="C696" t="s">
        <v>74</v>
      </c>
      <c r="D696" t="s">
        <v>74</v>
      </c>
      <c r="E696" t="s">
        <v>74</v>
      </c>
      <c r="F696" t="s">
        <v>13237</v>
      </c>
      <c r="G696" t="s">
        <v>74</v>
      </c>
      <c r="H696" t="s">
        <v>74</v>
      </c>
      <c r="I696" t="s">
        <v>13238</v>
      </c>
      <c r="J696" t="s">
        <v>13239</v>
      </c>
      <c r="K696" t="s">
        <v>74</v>
      </c>
      <c r="L696" t="s">
        <v>74</v>
      </c>
      <c r="M696" t="s">
        <v>78</v>
      </c>
      <c r="N696" t="s">
        <v>338</v>
      </c>
      <c r="O696" t="s">
        <v>74</v>
      </c>
      <c r="P696" t="s">
        <v>74</v>
      </c>
      <c r="Q696" t="s">
        <v>74</v>
      </c>
      <c r="R696" t="s">
        <v>74</v>
      </c>
      <c r="S696" t="s">
        <v>74</v>
      </c>
      <c r="T696" t="s">
        <v>13240</v>
      </c>
      <c r="U696" t="s">
        <v>13241</v>
      </c>
      <c r="V696" t="s">
        <v>13242</v>
      </c>
      <c r="W696" t="s">
        <v>13243</v>
      </c>
      <c r="X696" t="s">
        <v>13244</v>
      </c>
      <c r="Y696" t="s">
        <v>13245</v>
      </c>
      <c r="Z696" t="s">
        <v>13246</v>
      </c>
      <c r="AA696" t="s">
        <v>74</v>
      </c>
      <c r="AB696" t="s">
        <v>74</v>
      </c>
      <c r="AC696" t="s">
        <v>74</v>
      </c>
      <c r="AD696" t="s">
        <v>74</v>
      </c>
      <c r="AE696" t="s">
        <v>74</v>
      </c>
      <c r="AF696" t="s">
        <v>74</v>
      </c>
      <c r="AG696">
        <v>91</v>
      </c>
      <c r="AH696">
        <v>0</v>
      </c>
      <c r="AI696">
        <v>0</v>
      </c>
      <c r="AJ696">
        <v>2</v>
      </c>
      <c r="AK696">
        <v>2</v>
      </c>
      <c r="AL696" t="s">
        <v>87</v>
      </c>
      <c r="AM696" t="s">
        <v>88</v>
      </c>
      <c r="AN696" t="s">
        <v>89</v>
      </c>
      <c r="AO696" t="s">
        <v>13247</v>
      </c>
      <c r="AP696" t="s">
        <v>74</v>
      </c>
      <c r="AQ696" t="s">
        <v>74</v>
      </c>
      <c r="AR696" t="s">
        <v>13248</v>
      </c>
      <c r="AS696" t="s">
        <v>13249</v>
      </c>
      <c r="AT696" t="s">
        <v>13159</v>
      </c>
      <c r="AU696">
        <v>2023</v>
      </c>
      <c r="AV696" t="s">
        <v>74</v>
      </c>
      <c r="AW696" t="s">
        <v>74</v>
      </c>
      <c r="AX696" t="s">
        <v>74</v>
      </c>
      <c r="AY696" t="s">
        <v>74</v>
      </c>
      <c r="AZ696" t="s">
        <v>74</v>
      </c>
      <c r="BA696" t="s">
        <v>74</v>
      </c>
      <c r="BB696" t="s">
        <v>74</v>
      </c>
      <c r="BC696" t="s">
        <v>74</v>
      </c>
      <c r="BD696" t="s">
        <v>74</v>
      </c>
      <c r="BE696" t="s">
        <v>13250</v>
      </c>
      <c r="BF696" t="str">
        <f>HYPERLINK("http://dx.doi.org/10.1111/rsp3.12709","http://dx.doi.org/10.1111/rsp3.12709")</f>
        <v>http://dx.doi.org/10.1111/rsp3.12709</v>
      </c>
      <c r="BG696" t="s">
        <v>74</v>
      </c>
      <c r="BH696" t="s">
        <v>7524</v>
      </c>
      <c r="BI696">
        <v>21</v>
      </c>
      <c r="BJ696" t="s">
        <v>13251</v>
      </c>
      <c r="BK696" t="s">
        <v>96</v>
      </c>
      <c r="BL696" t="s">
        <v>13251</v>
      </c>
      <c r="BM696" t="s">
        <v>13252</v>
      </c>
      <c r="BN696" t="s">
        <v>74</v>
      </c>
      <c r="BO696" t="s">
        <v>74</v>
      </c>
      <c r="BP696" t="s">
        <v>74</v>
      </c>
      <c r="BQ696" t="s">
        <v>74</v>
      </c>
      <c r="BR696" t="s">
        <v>99</v>
      </c>
      <c r="BS696" t="s">
        <v>13253</v>
      </c>
      <c r="BT696" t="str">
        <f>HYPERLINK("https%3A%2F%2Fwww.webofscience.com%2Fwos%2Fwoscc%2Ffull-record%2FWOS:001044102500001","View Full Record in Web of Science")</f>
        <v>View Full Record in Web of Science</v>
      </c>
    </row>
    <row r="697" spans="1:72" x14ac:dyDescent="0.15">
      <c r="A697" t="s">
        <v>72</v>
      </c>
      <c r="B697" t="s">
        <v>13254</v>
      </c>
      <c r="C697" t="s">
        <v>74</v>
      </c>
      <c r="D697" t="s">
        <v>74</v>
      </c>
      <c r="E697" t="s">
        <v>74</v>
      </c>
      <c r="F697" t="s">
        <v>13255</v>
      </c>
      <c r="G697" t="s">
        <v>74</v>
      </c>
      <c r="H697" t="s">
        <v>74</v>
      </c>
      <c r="I697" t="s">
        <v>13256</v>
      </c>
      <c r="J697" t="s">
        <v>5632</v>
      </c>
      <c r="K697" t="s">
        <v>74</v>
      </c>
      <c r="L697" t="s">
        <v>74</v>
      </c>
      <c r="M697" t="s">
        <v>78</v>
      </c>
      <c r="N697" t="s">
        <v>338</v>
      </c>
      <c r="O697" t="s">
        <v>74</v>
      </c>
      <c r="P697" t="s">
        <v>74</v>
      </c>
      <c r="Q697" t="s">
        <v>74</v>
      </c>
      <c r="R697" t="s">
        <v>74</v>
      </c>
      <c r="S697" t="s">
        <v>74</v>
      </c>
      <c r="T697" t="s">
        <v>13257</v>
      </c>
      <c r="U697" t="s">
        <v>13258</v>
      </c>
      <c r="V697" t="s">
        <v>13259</v>
      </c>
      <c r="W697" t="s">
        <v>13260</v>
      </c>
      <c r="X697" t="s">
        <v>13261</v>
      </c>
      <c r="Y697" t="s">
        <v>13262</v>
      </c>
      <c r="Z697" t="s">
        <v>13263</v>
      </c>
      <c r="AA697" t="s">
        <v>74</v>
      </c>
      <c r="AB697" t="s">
        <v>13264</v>
      </c>
      <c r="AC697" t="s">
        <v>13265</v>
      </c>
      <c r="AD697" t="s">
        <v>13265</v>
      </c>
      <c r="AE697" t="s">
        <v>13266</v>
      </c>
      <c r="AF697" t="s">
        <v>74</v>
      </c>
      <c r="AG697">
        <v>85</v>
      </c>
      <c r="AH697">
        <v>0</v>
      </c>
      <c r="AI697">
        <v>0</v>
      </c>
      <c r="AJ697">
        <v>6</v>
      </c>
      <c r="AK697">
        <v>6</v>
      </c>
      <c r="AL697" t="s">
        <v>1100</v>
      </c>
      <c r="AM697" t="s">
        <v>1101</v>
      </c>
      <c r="AN697" t="s">
        <v>1102</v>
      </c>
      <c r="AO697" t="s">
        <v>5644</v>
      </c>
      <c r="AP697" t="s">
        <v>5645</v>
      </c>
      <c r="AQ697" t="s">
        <v>74</v>
      </c>
      <c r="AR697" t="s">
        <v>5646</v>
      </c>
      <c r="AS697" t="s">
        <v>5647</v>
      </c>
      <c r="AT697" t="s">
        <v>13159</v>
      </c>
      <c r="AU697">
        <v>2023</v>
      </c>
      <c r="AV697" t="s">
        <v>74</v>
      </c>
      <c r="AW697" t="s">
        <v>74</v>
      </c>
      <c r="AX697" t="s">
        <v>74</v>
      </c>
      <c r="AY697" t="s">
        <v>74</v>
      </c>
      <c r="AZ697" t="s">
        <v>74</v>
      </c>
      <c r="BA697" t="s">
        <v>74</v>
      </c>
      <c r="BB697" t="s">
        <v>74</v>
      </c>
      <c r="BC697" t="s">
        <v>74</v>
      </c>
      <c r="BD697" t="s">
        <v>74</v>
      </c>
      <c r="BE697" t="s">
        <v>13267</v>
      </c>
      <c r="BF697" t="str">
        <f>HYPERLINK("http://dx.doi.org/10.1002/ps.7688","http://dx.doi.org/10.1002/ps.7688")</f>
        <v>http://dx.doi.org/10.1002/ps.7688</v>
      </c>
      <c r="BG697" t="s">
        <v>74</v>
      </c>
      <c r="BH697" t="s">
        <v>7524</v>
      </c>
      <c r="BI697">
        <v>11</v>
      </c>
      <c r="BJ697" t="s">
        <v>5649</v>
      </c>
      <c r="BK697" t="s">
        <v>119</v>
      </c>
      <c r="BL697" t="s">
        <v>5650</v>
      </c>
      <c r="BM697" t="s">
        <v>13268</v>
      </c>
      <c r="BN697">
        <v>37506299</v>
      </c>
      <c r="BO697" t="s">
        <v>301</v>
      </c>
      <c r="BP697" t="s">
        <v>74</v>
      </c>
      <c r="BQ697" t="s">
        <v>74</v>
      </c>
      <c r="BR697" t="s">
        <v>99</v>
      </c>
      <c r="BS697" t="s">
        <v>13269</v>
      </c>
      <c r="BT697" t="str">
        <f>HYPERLINK("https%3A%2F%2Fwww.webofscience.com%2Fwos%2Fwoscc%2Ffull-record%2FWOS:001044558700001","View Full Record in Web of Science")</f>
        <v>View Full Record in Web of Science</v>
      </c>
    </row>
    <row r="698" spans="1:72" x14ac:dyDescent="0.15">
      <c r="A698" t="s">
        <v>72</v>
      </c>
      <c r="B698" t="s">
        <v>13270</v>
      </c>
      <c r="C698" t="s">
        <v>74</v>
      </c>
      <c r="D698" t="s">
        <v>74</v>
      </c>
      <c r="E698" t="s">
        <v>74</v>
      </c>
      <c r="F698" t="s">
        <v>13271</v>
      </c>
      <c r="G698" t="s">
        <v>74</v>
      </c>
      <c r="H698" t="s">
        <v>74</v>
      </c>
      <c r="I698" t="s">
        <v>13272</v>
      </c>
      <c r="J698" t="s">
        <v>1024</v>
      </c>
      <c r="K698" t="s">
        <v>74</v>
      </c>
      <c r="L698" t="s">
        <v>74</v>
      </c>
      <c r="M698" t="s">
        <v>78</v>
      </c>
      <c r="N698" t="s">
        <v>594</v>
      </c>
      <c r="O698" t="s">
        <v>74</v>
      </c>
      <c r="P698" t="s">
        <v>74</v>
      </c>
      <c r="Q698" t="s">
        <v>74</v>
      </c>
      <c r="R698" t="s">
        <v>74</v>
      </c>
      <c r="S698" t="s">
        <v>74</v>
      </c>
      <c r="T698" t="s">
        <v>13273</v>
      </c>
      <c r="U698" t="s">
        <v>13274</v>
      </c>
      <c r="V698" t="s">
        <v>13275</v>
      </c>
      <c r="W698" t="s">
        <v>13276</v>
      </c>
      <c r="X698" t="s">
        <v>13277</v>
      </c>
      <c r="Y698" t="s">
        <v>13278</v>
      </c>
      <c r="Z698" t="s">
        <v>13279</v>
      </c>
      <c r="AA698" t="s">
        <v>74</v>
      </c>
      <c r="AB698" t="s">
        <v>74</v>
      </c>
      <c r="AC698" t="s">
        <v>13280</v>
      </c>
      <c r="AD698" t="s">
        <v>13281</v>
      </c>
      <c r="AE698" t="s">
        <v>13282</v>
      </c>
      <c r="AF698" t="s">
        <v>74</v>
      </c>
      <c r="AG698">
        <v>169</v>
      </c>
      <c r="AH698">
        <v>0</v>
      </c>
      <c r="AI698">
        <v>0</v>
      </c>
      <c r="AJ698">
        <v>67</v>
      </c>
      <c r="AK698">
        <v>67</v>
      </c>
      <c r="AL698" t="s">
        <v>87</v>
      </c>
      <c r="AM698" t="s">
        <v>88</v>
      </c>
      <c r="AN698" t="s">
        <v>89</v>
      </c>
      <c r="AO698" t="s">
        <v>74</v>
      </c>
      <c r="AP698" t="s">
        <v>1036</v>
      </c>
      <c r="AQ698" t="s">
        <v>74</v>
      </c>
      <c r="AR698" t="s">
        <v>1037</v>
      </c>
      <c r="AS698" t="s">
        <v>1038</v>
      </c>
      <c r="AT698" t="s">
        <v>13159</v>
      </c>
      <c r="AU698">
        <v>2023</v>
      </c>
      <c r="AV698" t="s">
        <v>74</v>
      </c>
      <c r="AW698" t="s">
        <v>74</v>
      </c>
      <c r="AX698" t="s">
        <v>74</v>
      </c>
      <c r="AY698" t="s">
        <v>74</v>
      </c>
      <c r="AZ698" t="s">
        <v>74</v>
      </c>
      <c r="BA698" t="s">
        <v>74</v>
      </c>
      <c r="BB698" t="s">
        <v>74</v>
      </c>
      <c r="BC698" t="s">
        <v>74</v>
      </c>
      <c r="BD698" t="s">
        <v>74</v>
      </c>
      <c r="BE698" t="s">
        <v>13283</v>
      </c>
      <c r="BF698" t="str">
        <f>HYPERLINK("http://dx.doi.org/10.1002/sstr.202300152","http://dx.doi.org/10.1002/sstr.202300152")</f>
        <v>http://dx.doi.org/10.1002/sstr.202300152</v>
      </c>
      <c r="BG698" t="s">
        <v>74</v>
      </c>
      <c r="BH698" t="s">
        <v>7524</v>
      </c>
      <c r="BI698">
        <v>25</v>
      </c>
      <c r="BJ698" t="s">
        <v>1040</v>
      </c>
      <c r="BK698" t="s">
        <v>119</v>
      </c>
      <c r="BL698" t="s">
        <v>954</v>
      </c>
      <c r="BM698" t="s">
        <v>13284</v>
      </c>
      <c r="BN698" t="s">
        <v>74</v>
      </c>
      <c r="BO698" t="s">
        <v>234</v>
      </c>
      <c r="BP698" t="s">
        <v>74</v>
      </c>
      <c r="BQ698" t="s">
        <v>74</v>
      </c>
      <c r="BR698" t="s">
        <v>99</v>
      </c>
      <c r="BS698" t="s">
        <v>13285</v>
      </c>
      <c r="BT698" t="str">
        <f>HYPERLINK("https%3A%2F%2Fwww.webofscience.com%2Fwos%2Fwoscc%2Ffull-record%2FWOS:001044059900001","View Full Record in Web of Science")</f>
        <v>View Full Record in Web of Science</v>
      </c>
    </row>
    <row r="699" spans="1:72" x14ac:dyDescent="0.15">
      <c r="A699" t="s">
        <v>72</v>
      </c>
      <c r="B699" t="s">
        <v>13286</v>
      </c>
      <c r="C699" t="s">
        <v>74</v>
      </c>
      <c r="D699" t="s">
        <v>74</v>
      </c>
      <c r="E699" t="s">
        <v>74</v>
      </c>
      <c r="F699" t="s">
        <v>13287</v>
      </c>
      <c r="G699" t="s">
        <v>74</v>
      </c>
      <c r="H699" t="s">
        <v>74</v>
      </c>
      <c r="I699" t="s">
        <v>13288</v>
      </c>
      <c r="J699" t="s">
        <v>13289</v>
      </c>
      <c r="K699" t="s">
        <v>74</v>
      </c>
      <c r="L699" t="s">
        <v>74</v>
      </c>
      <c r="M699" t="s">
        <v>78</v>
      </c>
      <c r="N699" t="s">
        <v>338</v>
      </c>
      <c r="O699" t="s">
        <v>74</v>
      </c>
      <c r="P699" t="s">
        <v>74</v>
      </c>
      <c r="Q699" t="s">
        <v>74</v>
      </c>
      <c r="R699" t="s">
        <v>74</v>
      </c>
      <c r="S699" t="s">
        <v>74</v>
      </c>
      <c r="T699" t="s">
        <v>74</v>
      </c>
      <c r="U699" t="s">
        <v>74</v>
      </c>
      <c r="V699" t="s">
        <v>13290</v>
      </c>
      <c r="W699" t="s">
        <v>13291</v>
      </c>
      <c r="X699" t="s">
        <v>13292</v>
      </c>
      <c r="Y699" t="s">
        <v>13293</v>
      </c>
      <c r="Z699" t="s">
        <v>13294</v>
      </c>
      <c r="AA699" t="s">
        <v>74</v>
      </c>
      <c r="AB699" t="s">
        <v>13295</v>
      </c>
      <c r="AC699" t="s">
        <v>13296</v>
      </c>
      <c r="AD699" t="s">
        <v>13297</v>
      </c>
      <c r="AE699" t="s">
        <v>13298</v>
      </c>
      <c r="AF699" t="s">
        <v>74</v>
      </c>
      <c r="AG699">
        <v>10</v>
      </c>
      <c r="AH699">
        <v>0</v>
      </c>
      <c r="AI699">
        <v>0</v>
      </c>
      <c r="AJ699">
        <v>0</v>
      </c>
      <c r="AK699">
        <v>0</v>
      </c>
      <c r="AL699" t="s">
        <v>87</v>
      </c>
      <c r="AM699" t="s">
        <v>88</v>
      </c>
      <c r="AN699" t="s">
        <v>89</v>
      </c>
      <c r="AO699" t="s">
        <v>13299</v>
      </c>
      <c r="AP699" t="s">
        <v>74</v>
      </c>
      <c r="AQ699" t="s">
        <v>74</v>
      </c>
      <c r="AR699" t="s">
        <v>13300</v>
      </c>
      <c r="AS699" t="s">
        <v>13301</v>
      </c>
      <c r="AT699" t="s">
        <v>13159</v>
      </c>
      <c r="AU699">
        <v>2023</v>
      </c>
      <c r="AV699" t="s">
        <v>74</v>
      </c>
      <c r="AW699" t="s">
        <v>74</v>
      </c>
      <c r="AX699" t="s">
        <v>74</v>
      </c>
      <c r="AY699" t="s">
        <v>74</v>
      </c>
      <c r="AZ699" t="s">
        <v>74</v>
      </c>
      <c r="BA699" t="s">
        <v>74</v>
      </c>
      <c r="BB699" t="s">
        <v>74</v>
      </c>
      <c r="BC699" t="s">
        <v>74</v>
      </c>
      <c r="BD699" t="s">
        <v>74</v>
      </c>
      <c r="BE699" t="s">
        <v>13302</v>
      </c>
      <c r="BF699" t="str">
        <f>HYPERLINK("http://dx.doi.org/10.1002/acn3.51874","http://dx.doi.org/10.1002/acn3.51874")</f>
        <v>http://dx.doi.org/10.1002/acn3.51874</v>
      </c>
      <c r="BG699" t="s">
        <v>74</v>
      </c>
      <c r="BH699" t="s">
        <v>7524</v>
      </c>
      <c r="BI699">
        <v>7</v>
      </c>
      <c r="BJ699" t="s">
        <v>1670</v>
      </c>
      <c r="BK699" t="s">
        <v>119</v>
      </c>
      <c r="BL699" t="s">
        <v>1562</v>
      </c>
      <c r="BM699" t="s">
        <v>13303</v>
      </c>
      <c r="BN699">
        <v>37553803</v>
      </c>
      <c r="BO699" t="s">
        <v>234</v>
      </c>
      <c r="BP699" t="s">
        <v>74</v>
      </c>
      <c r="BQ699" t="s">
        <v>74</v>
      </c>
      <c r="BR699" t="s">
        <v>99</v>
      </c>
      <c r="BS699" t="s">
        <v>13304</v>
      </c>
      <c r="BT699" t="str">
        <f>HYPERLINK("https%3A%2F%2Fwww.webofscience.com%2Fwos%2Fwoscc%2Ffull-record%2FWOS:001044211200001","View Full Record in Web of Science")</f>
        <v>View Full Record in Web of Science</v>
      </c>
    </row>
    <row r="700" spans="1:72" x14ac:dyDescent="0.15">
      <c r="A700" t="s">
        <v>72</v>
      </c>
      <c r="B700" t="s">
        <v>13305</v>
      </c>
      <c r="C700" t="s">
        <v>74</v>
      </c>
      <c r="D700" t="s">
        <v>74</v>
      </c>
      <c r="E700" t="s">
        <v>74</v>
      </c>
      <c r="F700" t="s">
        <v>13306</v>
      </c>
      <c r="G700" t="s">
        <v>74</v>
      </c>
      <c r="H700" t="s">
        <v>74</v>
      </c>
      <c r="I700" t="s">
        <v>13307</v>
      </c>
      <c r="J700" t="s">
        <v>2913</v>
      </c>
      <c r="K700" t="s">
        <v>74</v>
      </c>
      <c r="L700" t="s">
        <v>74</v>
      </c>
      <c r="M700" t="s">
        <v>78</v>
      </c>
      <c r="N700" t="s">
        <v>79</v>
      </c>
      <c r="O700" t="s">
        <v>74</v>
      </c>
      <c r="P700" t="s">
        <v>74</v>
      </c>
      <c r="Q700" t="s">
        <v>74</v>
      </c>
      <c r="R700" t="s">
        <v>74</v>
      </c>
      <c r="S700" t="s">
        <v>74</v>
      </c>
      <c r="T700" t="s">
        <v>13308</v>
      </c>
      <c r="U700" t="s">
        <v>13309</v>
      </c>
      <c r="V700" t="s">
        <v>13310</v>
      </c>
      <c r="W700" t="s">
        <v>13311</v>
      </c>
      <c r="X700" t="s">
        <v>13312</v>
      </c>
      <c r="Y700" t="s">
        <v>13313</v>
      </c>
      <c r="Z700" t="s">
        <v>13314</v>
      </c>
      <c r="AA700" t="s">
        <v>13315</v>
      </c>
      <c r="AB700" t="s">
        <v>13316</v>
      </c>
      <c r="AC700" t="s">
        <v>13317</v>
      </c>
      <c r="AD700" t="s">
        <v>13318</v>
      </c>
      <c r="AE700" t="s">
        <v>13319</v>
      </c>
      <c r="AF700" t="s">
        <v>74</v>
      </c>
      <c r="AG700">
        <v>61</v>
      </c>
      <c r="AH700">
        <v>0</v>
      </c>
      <c r="AI700">
        <v>0</v>
      </c>
      <c r="AJ700">
        <v>2</v>
      </c>
      <c r="AK700">
        <v>2</v>
      </c>
      <c r="AL700" t="s">
        <v>426</v>
      </c>
      <c r="AM700" t="s">
        <v>427</v>
      </c>
      <c r="AN700" t="s">
        <v>428</v>
      </c>
      <c r="AO700" t="s">
        <v>2925</v>
      </c>
      <c r="AP700" t="s">
        <v>2926</v>
      </c>
      <c r="AQ700" t="s">
        <v>74</v>
      </c>
      <c r="AR700" t="s">
        <v>2927</v>
      </c>
      <c r="AS700" t="s">
        <v>2928</v>
      </c>
      <c r="AT700" t="s">
        <v>13320</v>
      </c>
      <c r="AU700">
        <v>2023</v>
      </c>
      <c r="AV700">
        <v>29</v>
      </c>
      <c r="AW700">
        <v>50</v>
      </c>
      <c r="AX700" t="s">
        <v>74</v>
      </c>
      <c r="AY700" t="s">
        <v>74</v>
      </c>
      <c r="AZ700" t="s">
        <v>74</v>
      </c>
      <c r="BA700" t="s">
        <v>74</v>
      </c>
      <c r="BB700" t="s">
        <v>74</v>
      </c>
      <c r="BC700" t="s">
        <v>74</v>
      </c>
      <c r="BD700" t="s">
        <v>74</v>
      </c>
      <c r="BE700" t="s">
        <v>13321</v>
      </c>
      <c r="BF700" t="str">
        <f>HYPERLINK("http://dx.doi.org/10.1002/chem.202301360","http://dx.doi.org/10.1002/chem.202301360")</f>
        <v>http://dx.doi.org/10.1002/chem.202301360</v>
      </c>
      <c r="BG700" t="s">
        <v>74</v>
      </c>
      <c r="BH700" t="s">
        <v>7524</v>
      </c>
      <c r="BI700">
        <v>7</v>
      </c>
      <c r="BJ700" t="s">
        <v>523</v>
      </c>
      <c r="BK700" t="s">
        <v>119</v>
      </c>
      <c r="BL700" t="s">
        <v>524</v>
      </c>
      <c r="BM700" t="s">
        <v>13322</v>
      </c>
      <c r="BN700">
        <v>37358247</v>
      </c>
      <c r="BO700" t="s">
        <v>74</v>
      </c>
      <c r="BP700" t="s">
        <v>74</v>
      </c>
      <c r="BQ700" t="s">
        <v>74</v>
      </c>
      <c r="BR700" t="s">
        <v>99</v>
      </c>
      <c r="BS700" t="s">
        <v>13323</v>
      </c>
      <c r="BT700" t="str">
        <f>HYPERLINK("https%3A%2F%2Fwww.webofscience.com%2Fwos%2Fwoscc%2Ffull-record%2FWOS:001043915300001","View Full Record in Web of Science")</f>
        <v>View Full Record in Web of Science</v>
      </c>
    </row>
    <row r="701" spans="1:72" x14ac:dyDescent="0.15">
      <c r="A701" t="s">
        <v>72</v>
      </c>
      <c r="B701" t="s">
        <v>13324</v>
      </c>
      <c r="C701" t="s">
        <v>74</v>
      </c>
      <c r="D701" t="s">
        <v>74</v>
      </c>
      <c r="E701" t="s">
        <v>74</v>
      </c>
      <c r="F701" t="s">
        <v>13325</v>
      </c>
      <c r="G701" t="s">
        <v>74</v>
      </c>
      <c r="H701" t="s">
        <v>74</v>
      </c>
      <c r="I701" t="s">
        <v>13326</v>
      </c>
      <c r="J701" t="s">
        <v>13327</v>
      </c>
      <c r="K701" t="s">
        <v>74</v>
      </c>
      <c r="L701" t="s">
        <v>74</v>
      </c>
      <c r="M701" t="s">
        <v>78</v>
      </c>
      <c r="N701" t="s">
        <v>338</v>
      </c>
      <c r="O701" t="s">
        <v>74</v>
      </c>
      <c r="P701" t="s">
        <v>74</v>
      </c>
      <c r="Q701" t="s">
        <v>74</v>
      </c>
      <c r="R701" t="s">
        <v>74</v>
      </c>
      <c r="S701" t="s">
        <v>74</v>
      </c>
      <c r="T701" t="s">
        <v>13328</v>
      </c>
      <c r="U701" t="s">
        <v>13329</v>
      </c>
      <c r="V701" t="s">
        <v>74</v>
      </c>
      <c r="W701" t="s">
        <v>13330</v>
      </c>
      <c r="X701" t="s">
        <v>13331</v>
      </c>
      <c r="Y701" t="s">
        <v>13332</v>
      </c>
      <c r="Z701" t="s">
        <v>13333</v>
      </c>
      <c r="AA701" t="s">
        <v>74</v>
      </c>
      <c r="AB701" t="s">
        <v>13334</v>
      </c>
      <c r="AC701" t="s">
        <v>74</v>
      </c>
      <c r="AD701" t="s">
        <v>74</v>
      </c>
      <c r="AE701" t="s">
        <v>74</v>
      </c>
      <c r="AF701" t="s">
        <v>74</v>
      </c>
      <c r="AG701">
        <v>9</v>
      </c>
      <c r="AH701">
        <v>0</v>
      </c>
      <c r="AI701">
        <v>0</v>
      </c>
      <c r="AJ701">
        <v>3</v>
      </c>
      <c r="AK701">
        <v>3</v>
      </c>
      <c r="AL701" t="s">
        <v>87</v>
      </c>
      <c r="AM701" t="s">
        <v>88</v>
      </c>
      <c r="AN701" t="s">
        <v>89</v>
      </c>
      <c r="AO701" t="s">
        <v>13335</v>
      </c>
      <c r="AP701" t="s">
        <v>13336</v>
      </c>
      <c r="AQ701" t="s">
        <v>74</v>
      </c>
      <c r="AR701" t="s">
        <v>13337</v>
      </c>
      <c r="AS701" t="s">
        <v>13338</v>
      </c>
      <c r="AT701" t="s">
        <v>13159</v>
      </c>
      <c r="AU701">
        <v>2023</v>
      </c>
      <c r="AV701" t="s">
        <v>74</v>
      </c>
      <c r="AW701" t="s">
        <v>74</v>
      </c>
      <c r="AX701" t="s">
        <v>74</v>
      </c>
      <c r="AY701" t="s">
        <v>74</v>
      </c>
      <c r="AZ701" t="s">
        <v>74</v>
      </c>
      <c r="BA701" t="s">
        <v>74</v>
      </c>
      <c r="BB701" t="s">
        <v>74</v>
      </c>
      <c r="BC701" t="s">
        <v>74</v>
      </c>
      <c r="BD701" t="s">
        <v>74</v>
      </c>
      <c r="BE701" t="s">
        <v>13339</v>
      </c>
      <c r="BF701" t="str">
        <f>HYPERLINK("http://dx.doi.org/10.1111/pbi.14131","http://dx.doi.org/10.1111/pbi.14131")</f>
        <v>http://dx.doi.org/10.1111/pbi.14131</v>
      </c>
      <c r="BG701" t="s">
        <v>74</v>
      </c>
      <c r="BH701" t="s">
        <v>7524</v>
      </c>
      <c r="BI701">
        <v>3</v>
      </c>
      <c r="BJ701" t="s">
        <v>13340</v>
      </c>
      <c r="BK701" t="s">
        <v>119</v>
      </c>
      <c r="BL701" t="s">
        <v>13340</v>
      </c>
      <c r="BM701" t="s">
        <v>13341</v>
      </c>
      <c r="BN701">
        <v>37553797</v>
      </c>
      <c r="BO701" t="s">
        <v>98</v>
      </c>
      <c r="BP701" t="s">
        <v>74</v>
      </c>
      <c r="BQ701" t="s">
        <v>74</v>
      </c>
      <c r="BR701" t="s">
        <v>99</v>
      </c>
      <c r="BS701" t="s">
        <v>13342</v>
      </c>
      <c r="BT701" t="str">
        <f>HYPERLINK("https%3A%2F%2Fwww.webofscience.com%2Fwos%2Fwoscc%2Ffull-record%2FWOS:001043166400001","View Full Record in Web of Science")</f>
        <v>View Full Record in Web of Science</v>
      </c>
    </row>
    <row r="702" spans="1:72" x14ac:dyDescent="0.15">
      <c r="A702" t="s">
        <v>72</v>
      </c>
      <c r="B702" t="s">
        <v>13343</v>
      </c>
      <c r="C702" t="s">
        <v>74</v>
      </c>
      <c r="D702" t="s">
        <v>74</v>
      </c>
      <c r="E702" t="s">
        <v>74</v>
      </c>
      <c r="F702" t="s">
        <v>13344</v>
      </c>
      <c r="G702" t="s">
        <v>74</v>
      </c>
      <c r="H702" t="s">
        <v>74</v>
      </c>
      <c r="I702" t="s">
        <v>13345</v>
      </c>
      <c r="J702" t="s">
        <v>13346</v>
      </c>
      <c r="K702" t="s">
        <v>74</v>
      </c>
      <c r="L702" t="s">
        <v>74</v>
      </c>
      <c r="M702" t="s">
        <v>78</v>
      </c>
      <c r="N702" t="s">
        <v>338</v>
      </c>
      <c r="O702" t="s">
        <v>74</v>
      </c>
      <c r="P702" t="s">
        <v>74</v>
      </c>
      <c r="Q702" t="s">
        <v>74</v>
      </c>
      <c r="R702" t="s">
        <v>74</v>
      </c>
      <c r="S702" t="s">
        <v>74</v>
      </c>
      <c r="T702" t="s">
        <v>13347</v>
      </c>
      <c r="U702" t="s">
        <v>13348</v>
      </c>
      <c r="V702" t="s">
        <v>13349</v>
      </c>
      <c r="W702" t="s">
        <v>13350</v>
      </c>
      <c r="X702" t="s">
        <v>13351</v>
      </c>
      <c r="Y702" t="s">
        <v>13352</v>
      </c>
      <c r="Z702" t="s">
        <v>13353</v>
      </c>
      <c r="AA702" t="s">
        <v>74</v>
      </c>
      <c r="AB702" t="s">
        <v>13354</v>
      </c>
      <c r="AC702" t="s">
        <v>13355</v>
      </c>
      <c r="AD702" t="s">
        <v>13356</v>
      </c>
      <c r="AE702" t="s">
        <v>13357</v>
      </c>
      <c r="AF702" t="s">
        <v>74</v>
      </c>
      <c r="AG702">
        <v>29</v>
      </c>
      <c r="AH702">
        <v>0</v>
      </c>
      <c r="AI702">
        <v>0</v>
      </c>
      <c r="AJ702">
        <v>0</v>
      </c>
      <c r="AK702">
        <v>0</v>
      </c>
      <c r="AL702" t="s">
        <v>87</v>
      </c>
      <c r="AM702" t="s">
        <v>88</v>
      </c>
      <c r="AN702" t="s">
        <v>89</v>
      </c>
      <c r="AO702" t="s">
        <v>13358</v>
      </c>
      <c r="AP702" t="s">
        <v>13359</v>
      </c>
      <c r="AQ702" t="s">
        <v>74</v>
      </c>
      <c r="AR702" t="s">
        <v>13360</v>
      </c>
      <c r="AS702" t="s">
        <v>13361</v>
      </c>
      <c r="AT702" t="s">
        <v>13159</v>
      </c>
      <c r="AU702">
        <v>2023</v>
      </c>
      <c r="AV702" t="s">
        <v>74</v>
      </c>
      <c r="AW702" t="s">
        <v>74</v>
      </c>
      <c r="AX702" t="s">
        <v>74</v>
      </c>
      <c r="AY702" t="s">
        <v>74</v>
      </c>
      <c r="AZ702" t="s">
        <v>74</v>
      </c>
      <c r="BA702" t="s">
        <v>74</v>
      </c>
      <c r="BB702" t="s">
        <v>74</v>
      </c>
      <c r="BC702" t="s">
        <v>74</v>
      </c>
      <c r="BD702" t="s">
        <v>74</v>
      </c>
      <c r="BE702" t="s">
        <v>13362</v>
      </c>
      <c r="BF702" t="str">
        <f>HYPERLINK("http://dx.doi.org/10.1111/twec.13475","http://dx.doi.org/10.1111/twec.13475")</f>
        <v>http://dx.doi.org/10.1111/twec.13475</v>
      </c>
      <c r="BG702" t="s">
        <v>74</v>
      </c>
      <c r="BH702" t="s">
        <v>7524</v>
      </c>
      <c r="BI702">
        <v>23</v>
      </c>
      <c r="BJ702" t="s">
        <v>13363</v>
      </c>
      <c r="BK702" t="s">
        <v>546</v>
      </c>
      <c r="BL702" t="s">
        <v>13364</v>
      </c>
      <c r="BM702" t="s">
        <v>13365</v>
      </c>
      <c r="BN702" t="s">
        <v>74</v>
      </c>
      <c r="BO702" t="s">
        <v>301</v>
      </c>
      <c r="BP702" t="s">
        <v>74</v>
      </c>
      <c r="BQ702" t="s">
        <v>74</v>
      </c>
      <c r="BR702" t="s">
        <v>99</v>
      </c>
      <c r="BS702" t="s">
        <v>13366</v>
      </c>
      <c r="BT702" t="str">
        <f>HYPERLINK("https%3A%2F%2Fwww.webofscience.com%2Fwos%2Fwoscc%2Ffull-record%2FWOS:001043251300001","View Full Record in Web of Science")</f>
        <v>View Full Record in Web of Science</v>
      </c>
    </row>
    <row r="703" spans="1:72" x14ac:dyDescent="0.15">
      <c r="A703" t="s">
        <v>72</v>
      </c>
      <c r="B703" t="s">
        <v>13367</v>
      </c>
      <c r="C703" t="s">
        <v>74</v>
      </c>
      <c r="D703" t="s">
        <v>74</v>
      </c>
      <c r="E703" t="s">
        <v>74</v>
      </c>
      <c r="F703" t="s">
        <v>13368</v>
      </c>
      <c r="G703" t="s">
        <v>74</v>
      </c>
      <c r="H703" t="s">
        <v>74</v>
      </c>
      <c r="I703" t="s">
        <v>13369</v>
      </c>
      <c r="J703" t="s">
        <v>3811</v>
      </c>
      <c r="K703" t="s">
        <v>74</v>
      </c>
      <c r="L703" t="s">
        <v>74</v>
      </c>
      <c r="M703" t="s">
        <v>78</v>
      </c>
      <c r="N703" t="s">
        <v>338</v>
      </c>
      <c r="O703" t="s">
        <v>74</v>
      </c>
      <c r="P703" t="s">
        <v>74</v>
      </c>
      <c r="Q703" t="s">
        <v>74</v>
      </c>
      <c r="R703" t="s">
        <v>74</v>
      </c>
      <c r="S703" t="s">
        <v>74</v>
      </c>
      <c r="T703" t="s">
        <v>13370</v>
      </c>
      <c r="U703" t="s">
        <v>13371</v>
      </c>
      <c r="V703" t="s">
        <v>13372</v>
      </c>
      <c r="W703" t="s">
        <v>13373</v>
      </c>
      <c r="X703" t="s">
        <v>13374</v>
      </c>
      <c r="Y703" t="s">
        <v>13375</v>
      </c>
      <c r="Z703" t="s">
        <v>13376</v>
      </c>
      <c r="AA703" t="s">
        <v>74</v>
      </c>
      <c r="AB703" t="s">
        <v>74</v>
      </c>
      <c r="AC703" t="s">
        <v>13377</v>
      </c>
      <c r="AD703" t="s">
        <v>13378</v>
      </c>
      <c r="AE703" t="s">
        <v>13379</v>
      </c>
      <c r="AF703" t="s">
        <v>74</v>
      </c>
      <c r="AG703">
        <v>34</v>
      </c>
      <c r="AH703">
        <v>0</v>
      </c>
      <c r="AI703">
        <v>0</v>
      </c>
      <c r="AJ703">
        <v>6</v>
      </c>
      <c r="AK703">
        <v>6</v>
      </c>
      <c r="AL703" t="s">
        <v>87</v>
      </c>
      <c r="AM703" t="s">
        <v>88</v>
      </c>
      <c r="AN703" t="s">
        <v>89</v>
      </c>
      <c r="AO703" t="s">
        <v>3821</v>
      </c>
      <c r="AP703" t="s">
        <v>3822</v>
      </c>
      <c r="AQ703" t="s">
        <v>74</v>
      </c>
      <c r="AR703" t="s">
        <v>3823</v>
      </c>
      <c r="AS703" t="s">
        <v>3824</v>
      </c>
      <c r="AT703" t="s">
        <v>13159</v>
      </c>
      <c r="AU703">
        <v>2023</v>
      </c>
      <c r="AV703" t="s">
        <v>74</v>
      </c>
      <c r="AW703" t="s">
        <v>74</v>
      </c>
      <c r="AX703" t="s">
        <v>74</v>
      </c>
      <c r="AY703" t="s">
        <v>74</v>
      </c>
      <c r="AZ703" t="s">
        <v>74</v>
      </c>
      <c r="BA703" t="s">
        <v>74</v>
      </c>
      <c r="BB703" t="s">
        <v>74</v>
      </c>
      <c r="BC703" t="s">
        <v>74</v>
      </c>
      <c r="BD703" t="s">
        <v>74</v>
      </c>
      <c r="BE703" t="s">
        <v>13380</v>
      </c>
      <c r="BF703" t="str">
        <f>HYPERLINK("http://dx.doi.org/10.1111/jace.19364","http://dx.doi.org/10.1111/jace.19364")</f>
        <v>http://dx.doi.org/10.1111/jace.19364</v>
      </c>
      <c r="BG703" t="s">
        <v>74</v>
      </c>
      <c r="BH703" t="s">
        <v>7524</v>
      </c>
      <c r="BI703">
        <v>9</v>
      </c>
      <c r="BJ703" t="s">
        <v>3826</v>
      </c>
      <c r="BK703" t="s">
        <v>119</v>
      </c>
      <c r="BL703" t="s">
        <v>1999</v>
      </c>
      <c r="BM703" t="s">
        <v>13381</v>
      </c>
      <c r="BN703" t="s">
        <v>74</v>
      </c>
      <c r="BO703" t="s">
        <v>74</v>
      </c>
      <c r="BP703" t="s">
        <v>74</v>
      </c>
      <c r="BQ703" t="s">
        <v>74</v>
      </c>
      <c r="BR703" t="s">
        <v>99</v>
      </c>
      <c r="BS703" t="s">
        <v>13382</v>
      </c>
      <c r="BT703" t="str">
        <f>HYPERLINK("https%3A%2F%2Fwww.webofscience.com%2Fwos%2Fwoscc%2Ffull-record%2FWOS:001042964800001","View Full Record in Web of Science")</f>
        <v>View Full Record in Web of Science</v>
      </c>
    </row>
    <row r="704" spans="1:72" x14ac:dyDescent="0.15">
      <c r="A704" t="s">
        <v>72</v>
      </c>
      <c r="B704" t="s">
        <v>13383</v>
      </c>
      <c r="C704" t="s">
        <v>74</v>
      </c>
      <c r="D704" t="s">
        <v>74</v>
      </c>
      <c r="E704" t="s">
        <v>74</v>
      </c>
      <c r="F704" t="s">
        <v>13384</v>
      </c>
      <c r="G704" t="s">
        <v>74</v>
      </c>
      <c r="H704" t="s">
        <v>74</v>
      </c>
      <c r="I704" t="s">
        <v>13385</v>
      </c>
      <c r="J704" t="s">
        <v>13386</v>
      </c>
      <c r="K704" t="s">
        <v>74</v>
      </c>
      <c r="L704" t="s">
        <v>74</v>
      </c>
      <c r="M704" t="s">
        <v>78</v>
      </c>
      <c r="N704" t="s">
        <v>338</v>
      </c>
      <c r="O704" t="s">
        <v>74</v>
      </c>
      <c r="P704" t="s">
        <v>74</v>
      </c>
      <c r="Q704" t="s">
        <v>74</v>
      </c>
      <c r="R704" t="s">
        <v>74</v>
      </c>
      <c r="S704" t="s">
        <v>74</v>
      </c>
      <c r="T704" t="s">
        <v>13387</v>
      </c>
      <c r="U704" t="s">
        <v>13388</v>
      </c>
      <c r="V704" t="s">
        <v>13389</v>
      </c>
      <c r="W704" t="s">
        <v>13390</v>
      </c>
      <c r="X704" t="s">
        <v>13391</v>
      </c>
      <c r="Y704" t="s">
        <v>13392</v>
      </c>
      <c r="Z704" t="s">
        <v>13393</v>
      </c>
      <c r="AA704" t="s">
        <v>74</v>
      </c>
      <c r="AB704" t="s">
        <v>74</v>
      </c>
      <c r="AC704" t="s">
        <v>13394</v>
      </c>
      <c r="AD704" t="s">
        <v>13395</v>
      </c>
      <c r="AE704" t="s">
        <v>13396</v>
      </c>
      <c r="AF704" t="s">
        <v>74</v>
      </c>
      <c r="AG704">
        <v>38</v>
      </c>
      <c r="AH704">
        <v>0</v>
      </c>
      <c r="AI704">
        <v>0</v>
      </c>
      <c r="AJ704">
        <v>12</v>
      </c>
      <c r="AK704">
        <v>12</v>
      </c>
      <c r="AL704" t="s">
        <v>87</v>
      </c>
      <c r="AM704" t="s">
        <v>88</v>
      </c>
      <c r="AN704" t="s">
        <v>89</v>
      </c>
      <c r="AO704" t="s">
        <v>13397</v>
      </c>
      <c r="AP704" t="s">
        <v>13398</v>
      </c>
      <c r="AQ704" t="s">
        <v>74</v>
      </c>
      <c r="AR704" t="s">
        <v>13386</v>
      </c>
      <c r="AS704" t="s">
        <v>13399</v>
      </c>
      <c r="AT704" t="s">
        <v>13159</v>
      </c>
      <c r="AU704">
        <v>2023</v>
      </c>
      <c r="AV704" t="s">
        <v>74</v>
      </c>
      <c r="AW704" t="s">
        <v>74</v>
      </c>
      <c r="AX704" t="s">
        <v>74</v>
      </c>
      <c r="AY704" t="s">
        <v>74</v>
      </c>
      <c r="AZ704" t="s">
        <v>74</v>
      </c>
      <c r="BA704" t="s">
        <v>74</v>
      </c>
      <c r="BB704" t="s">
        <v>74</v>
      </c>
      <c r="BC704" t="s">
        <v>74</v>
      </c>
      <c r="BD704" t="s">
        <v>74</v>
      </c>
      <c r="BE704" t="s">
        <v>13400</v>
      </c>
      <c r="BF704" t="str">
        <f>HYPERLINK("http://dx.doi.org/10.1002/smm2.1240","http://dx.doi.org/10.1002/smm2.1240")</f>
        <v>http://dx.doi.org/10.1002/smm2.1240</v>
      </c>
      <c r="BG704" t="s">
        <v>74</v>
      </c>
      <c r="BH704" t="s">
        <v>7524</v>
      </c>
      <c r="BI704">
        <v>11</v>
      </c>
      <c r="BJ704" t="s">
        <v>3127</v>
      </c>
      <c r="BK704" t="s">
        <v>96</v>
      </c>
      <c r="BL704" t="s">
        <v>3128</v>
      </c>
      <c r="BM704" t="s">
        <v>13401</v>
      </c>
      <c r="BN704" t="s">
        <v>74</v>
      </c>
      <c r="BO704" t="s">
        <v>234</v>
      </c>
      <c r="BP704" t="s">
        <v>74</v>
      </c>
      <c r="BQ704" t="s">
        <v>74</v>
      </c>
      <c r="BR704" t="s">
        <v>99</v>
      </c>
      <c r="BS704" t="s">
        <v>13402</v>
      </c>
      <c r="BT704" t="str">
        <f>HYPERLINK("https%3A%2F%2Fwww.webofscience.com%2Fwos%2Fwoscc%2Ffull-record%2FWOS:001043919500001","View Full Record in Web of Science")</f>
        <v>View Full Record in Web of Science</v>
      </c>
    </row>
    <row r="705" spans="1:72" x14ac:dyDescent="0.15">
      <c r="A705" t="s">
        <v>72</v>
      </c>
      <c r="B705" t="s">
        <v>13403</v>
      </c>
      <c r="C705" t="s">
        <v>74</v>
      </c>
      <c r="D705" t="s">
        <v>74</v>
      </c>
      <c r="E705" t="s">
        <v>74</v>
      </c>
      <c r="F705" t="s">
        <v>13404</v>
      </c>
      <c r="G705" t="s">
        <v>74</v>
      </c>
      <c r="H705" t="s">
        <v>74</v>
      </c>
      <c r="I705" t="s">
        <v>13405</v>
      </c>
      <c r="J705" t="s">
        <v>4466</v>
      </c>
      <c r="K705" t="s">
        <v>74</v>
      </c>
      <c r="L705" t="s">
        <v>74</v>
      </c>
      <c r="M705" t="s">
        <v>78</v>
      </c>
      <c r="N705" t="s">
        <v>338</v>
      </c>
      <c r="O705" t="s">
        <v>74</v>
      </c>
      <c r="P705" t="s">
        <v>74</v>
      </c>
      <c r="Q705" t="s">
        <v>74</v>
      </c>
      <c r="R705" t="s">
        <v>74</v>
      </c>
      <c r="S705" t="s">
        <v>74</v>
      </c>
      <c r="T705" t="s">
        <v>13406</v>
      </c>
      <c r="U705" t="s">
        <v>13407</v>
      </c>
      <c r="V705" t="s">
        <v>13408</v>
      </c>
      <c r="W705" t="s">
        <v>13409</v>
      </c>
      <c r="X705" t="s">
        <v>13410</v>
      </c>
      <c r="Y705" t="s">
        <v>13411</v>
      </c>
      <c r="Z705" t="s">
        <v>13412</v>
      </c>
      <c r="AA705" t="s">
        <v>13413</v>
      </c>
      <c r="AB705" t="s">
        <v>74</v>
      </c>
      <c r="AC705" t="s">
        <v>74</v>
      </c>
      <c r="AD705" t="s">
        <v>74</v>
      </c>
      <c r="AE705" t="s">
        <v>74</v>
      </c>
      <c r="AF705" t="s">
        <v>74</v>
      </c>
      <c r="AG705">
        <v>44</v>
      </c>
      <c r="AH705">
        <v>0</v>
      </c>
      <c r="AI705">
        <v>0</v>
      </c>
      <c r="AJ705">
        <v>5</v>
      </c>
      <c r="AK705">
        <v>5</v>
      </c>
      <c r="AL705" t="s">
        <v>87</v>
      </c>
      <c r="AM705" t="s">
        <v>88</v>
      </c>
      <c r="AN705" t="s">
        <v>89</v>
      </c>
      <c r="AO705" t="s">
        <v>4473</v>
      </c>
      <c r="AP705" t="s">
        <v>4474</v>
      </c>
      <c r="AQ705" t="s">
        <v>74</v>
      </c>
      <c r="AR705" t="s">
        <v>4475</v>
      </c>
      <c r="AS705" t="s">
        <v>4476</v>
      </c>
      <c r="AT705" t="s">
        <v>13159</v>
      </c>
      <c r="AU705">
        <v>2023</v>
      </c>
      <c r="AV705" t="s">
        <v>74</v>
      </c>
      <c r="AW705" t="s">
        <v>74</v>
      </c>
      <c r="AX705" t="s">
        <v>74</v>
      </c>
      <c r="AY705" t="s">
        <v>74</v>
      </c>
      <c r="AZ705" t="s">
        <v>74</v>
      </c>
      <c r="BA705" t="s">
        <v>74</v>
      </c>
      <c r="BB705" t="s">
        <v>74</v>
      </c>
      <c r="BC705" t="s">
        <v>74</v>
      </c>
      <c r="BD705" t="s">
        <v>74</v>
      </c>
      <c r="BE705" t="s">
        <v>13414</v>
      </c>
      <c r="BF705" t="str">
        <f>HYPERLINK("http://dx.doi.org/10.1002/tox.23926","http://dx.doi.org/10.1002/tox.23926")</f>
        <v>http://dx.doi.org/10.1002/tox.23926</v>
      </c>
      <c r="BG705" t="s">
        <v>74</v>
      </c>
      <c r="BH705" t="s">
        <v>7524</v>
      </c>
      <c r="BI705">
        <v>11</v>
      </c>
      <c r="BJ705" t="s">
        <v>4478</v>
      </c>
      <c r="BK705" t="s">
        <v>119</v>
      </c>
      <c r="BL705" t="s">
        <v>4479</v>
      </c>
      <c r="BM705" t="s">
        <v>13415</v>
      </c>
      <c r="BN705">
        <v>37551664</v>
      </c>
      <c r="BO705" t="s">
        <v>74</v>
      </c>
      <c r="BP705" t="s">
        <v>74</v>
      </c>
      <c r="BQ705" t="s">
        <v>74</v>
      </c>
      <c r="BR705" t="s">
        <v>99</v>
      </c>
      <c r="BS705" t="s">
        <v>13416</v>
      </c>
      <c r="BT705" t="str">
        <f>HYPERLINK("https%3A%2F%2Fwww.webofscience.com%2Fwos%2Fwoscc%2Ffull-record%2FWOS:001042677500001","View Full Record in Web of Science")</f>
        <v>View Full Record in Web of Science</v>
      </c>
    </row>
    <row r="706" spans="1:72" x14ac:dyDescent="0.15">
      <c r="A706" t="s">
        <v>72</v>
      </c>
      <c r="B706" t="s">
        <v>13417</v>
      </c>
      <c r="C706" t="s">
        <v>74</v>
      </c>
      <c r="D706" t="s">
        <v>74</v>
      </c>
      <c r="E706" t="s">
        <v>74</v>
      </c>
      <c r="F706" t="s">
        <v>13418</v>
      </c>
      <c r="G706" t="s">
        <v>74</v>
      </c>
      <c r="H706" t="s">
        <v>74</v>
      </c>
      <c r="I706" t="s">
        <v>13419</v>
      </c>
      <c r="J706" t="s">
        <v>13420</v>
      </c>
      <c r="K706" t="s">
        <v>74</v>
      </c>
      <c r="L706" t="s">
        <v>74</v>
      </c>
      <c r="M706" t="s">
        <v>78</v>
      </c>
      <c r="N706" t="s">
        <v>594</v>
      </c>
      <c r="O706" t="s">
        <v>74</v>
      </c>
      <c r="P706" t="s">
        <v>74</v>
      </c>
      <c r="Q706" t="s">
        <v>74</v>
      </c>
      <c r="R706" t="s">
        <v>74</v>
      </c>
      <c r="S706" t="s">
        <v>74</v>
      </c>
      <c r="T706" t="s">
        <v>74</v>
      </c>
      <c r="U706" t="s">
        <v>13421</v>
      </c>
      <c r="V706" t="s">
        <v>13422</v>
      </c>
      <c r="W706" t="s">
        <v>13423</v>
      </c>
      <c r="X706" t="s">
        <v>13424</v>
      </c>
      <c r="Y706" t="s">
        <v>13425</v>
      </c>
      <c r="Z706" t="s">
        <v>13426</v>
      </c>
      <c r="AA706" t="s">
        <v>74</v>
      </c>
      <c r="AB706" t="s">
        <v>13427</v>
      </c>
      <c r="AC706" t="s">
        <v>74</v>
      </c>
      <c r="AD706" t="s">
        <v>74</v>
      </c>
      <c r="AE706" t="s">
        <v>74</v>
      </c>
      <c r="AF706" t="s">
        <v>74</v>
      </c>
      <c r="AG706">
        <v>77</v>
      </c>
      <c r="AH706">
        <v>0</v>
      </c>
      <c r="AI706">
        <v>0</v>
      </c>
      <c r="AJ706">
        <v>1</v>
      </c>
      <c r="AK706">
        <v>1</v>
      </c>
      <c r="AL706" t="s">
        <v>87</v>
      </c>
      <c r="AM706" t="s">
        <v>88</v>
      </c>
      <c r="AN706" t="s">
        <v>89</v>
      </c>
      <c r="AO706" t="s">
        <v>13428</v>
      </c>
      <c r="AP706" t="s">
        <v>13429</v>
      </c>
      <c r="AQ706" t="s">
        <v>74</v>
      </c>
      <c r="AR706" t="s">
        <v>13430</v>
      </c>
      <c r="AS706" t="s">
        <v>13431</v>
      </c>
      <c r="AT706" t="s">
        <v>13159</v>
      </c>
      <c r="AU706">
        <v>2023</v>
      </c>
      <c r="AV706" t="s">
        <v>74</v>
      </c>
      <c r="AW706" t="s">
        <v>74</v>
      </c>
      <c r="AX706" t="s">
        <v>74</v>
      </c>
      <c r="AY706" t="s">
        <v>74</v>
      </c>
      <c r="AZ706" t="s">
        <v>74</v>
      </c>
      <c r="BA706" t="s">
        <v>74</v>
      </c>
      <c r="BB706" t="s">
        <v>74</v>
      </c>
      <c r="BC706" t="s">
        <v>74</v>
      </c>
      <c r="BD706" t="s">
        <v>74</v>
      </c>
      <c r="BE706" t="s">
        <v>13432</v>
      </c>
      <c r="BF706" t="str">
        <f>HYPERLINK("http://dx.doi.org/10.1111/ajad.13455","http://dx.doi.org/10.1111/ajad.13455")</f>
        <v>http://dx.doi.org/10.1111/ajad.13455</v>
      </c>
      <c r="BG706" t="s">
        <v>74</v>
      </c>
      <c r="BH706" t="s">
        <v>7524</v>
      </c>
      <c r="BI706">
        <v>9</v>
      </c>
      <c r="BJ706" t="s">
        <v>8817</v>
      </c>
      <c r="BK706" t="s">
        <v>546</v>
      </c>
      <c r="BL706" t="s">
        <v>8817</v>
      </c>
      <c r="BM706" t="s">
        <v>13433</v>
      </c>
      <c r="BN706">
        <v>37551638</v>
      </c>
      <c r="BO706" t="s">
        <v>74</v>
      </c>
      <c r="BP706" t="s">
        <v>74</v>
      </c>
      <c r="BQ706" t="s">
        <v>74</v>
      </c>
      <c r="BR706" t="s">
        <v>99</v>
      </c>
      <c r="BS706" t="s">
        <v>13434</v>
      </c>
      <c r="BT706" t="str">
        <f>HYPERLINK("https%3A%2F%2Fwww.webofscience.com%2Fwos%2Fwoscc%2Ffull-record%2FWOS:001043716000001","View Full Record in Web of Science")</f>
        <v>View Full Record in Web of Science</v>
      </c>
    </row>
    <row r="707" spans="1:72" x14ac:dyDescent="0.15">
      <c r="A707" t="s">
        <v>72</v>
      </c>
      <c r="B707" t="s">
        <v>13435</v>
      </c>
      <c r="C707" t="s">
        <v>74</v>
      </c>
      <c r="D707" t="s">
        <v>74</v>
      </c>
      <c r="E707" t="s">
        <v>74</v>
      </c>
      <c r="F707" t="s">
        <v>13436</v>
      </c>
      <c r="G707" t="s">
        <v>74</v>
      </c>
      <c r="H707" t="s">
        <v>74</v>
      </c>
      <c r="I707" t="s">
        <v>13437</v>
      </c>
      <c r="J707" t="s">
        <v>13438</v>
      </c>
      <c r="K707" t="s">
        <v>74</v>
      </c>
      <c r="L707" t="s">
        <v>74</v>
      </c>
      <c r="M707" t="s">
        <v>78</v>
      </c>
      <c r="N707" t="s">
        <v>338</v>
      </c>
      <c r="O707" t="s">
        <v>74</v>
      </c>
      <c r="P707" t="s">
        <v>74</v>
      </c>
      <c r="Q707" t="s">
        <v>74</v>
      </c>
      <c r="R707" t="s">
        <v>74</v>
      </c>
      <c r="S707" t="s">
        <v>74</v>
      </c>
      <c r="T707" t="s">
        <v>13439</v>
      </c>
      <c r="U707" t="s">
        <v>13440</v>
      </c>
      <c r="V707" t="s">
        <v>13441</v>
      </c>
      <c r="W707" t="s">
        <v>13442</v>
      </c>
      <c r="X707" t="s">
        <v>13443</v>
      </c>
      <c r="Y707" t="s">
        <v>13444</v>
      </c>
      <c r="Z707" t="s">
        <v>13445</v>
      </c>
      <c r="AA707" t="s">
        <v>74</v>
      </c>
      <c r="AB707" t="s">
        <v>13446</v>
      </c>
      <c r="AC707" t="s">
        <v>74</v>
      </c>
      <c r="AD707" t="s">
        <v>74</v>
      </c>
      <c r="AE707" t="s">
        <v>74</v>
      </c>
      <c r="AF707" t="s">
        <v>74</v>
      </c>
      <c r="AG707">
        <v>58</v>
      </c>
      <c r="AH707">
        <v>0</v>
      </c>
      <c r="AI707">
        <v>0</v>
      </c>
      <c r="AJ707">
        <v>0</v>
      </c>
      <c r="AK707">
        <v>0</v>
      </c>
      <c r="AL707" t="s">
        <v>87</v>
      </c>
      <c r="AM707" t="s">
        <v>88</v>
      </c>
      <c r="AN707" t="s">
        <v>89</v>
      </c>
      <c r="AO707" t="s">
        <v>13447</v>
      </c>
      <c r="AP707" t="s">
        <v>13448</v>
      </c>
      <c r="AQ707" t="s">
        <v>74</v>
      </c>
      <c r="AR707" t="s">
        <v>13449</v>
      </c>
      <c r="AS707" t="s">
        <v>13450</v>
      </c>
      <c r="AT707" t="s">
        <v>13159</v>
      </c>
      <c r="AU707">
        <v>2023</v>
      </c>
      <c r="AV707" t="s">
        <v>74</v>
      </c>
      <c r="AW707" t="s">
        <v>74</v>
      </c>
      <c r="AX707" t="s">
        <v>74</v>
      </c>
      <c r="AY707" t="s">
        <v>74</v>
      </c>
      <c r="AZ707" t="s">
        <v>74</v>
      </c>
      <c r="BA707" t="s">
        <v>74</v>
      </c>
      <c r="BB707" t="s">
        <v>74</v>
      </c>
      <c r="BC707" t="s">
        <v>74</v>
      </c>
      <c r="BD707" t="s">
        <v>74</v>
      </c>
      <c r="BE707" t="s">
        <v>13451</v>
      </c>
      <c r="BF707" t="str">
        <f>HYPERLINK("http://dx.doi.org/10.1002/cncr.34973","http://dx.doi.org/10.1002/cncr.34973")</f>
        <v>http://dx.doi.org/10.1002/cncr.34973</v>
      </c>
      <c r="BG707" t="s">
        <v>74</v>
      </c>
      <c r="BH707" t="s">
        <v>7524</v>
      </c>
      <c r="BI707">
        <v>11</v>
      </c>
      <c r="BJ707" t="s">
        <v>789</v>
      </c>
      <c r="BK707" t="s">
        <v>119</v>
      </c>
      <c r="BL707" t="s">
        <v>789</v>
      </c>
      <c r="BM707" t="s">
        <v>13452</v>
      </c>
      <c r="BN707">
        <v>37552155</v>
      </c>
      <c r="BO707" t="s">
        <v>122</v>
      </c>
      <c r="BP707" t="s">
        <v>74</v>
      </c>
      <c r="BQ707" t="s">
        <v>74</v>
      </c>
      <c r="BR707" t="s">
        <v>99</v>
      </c>
      <c r="BS707" t="s">
        <v>13453</v>
      </c>
      <c r="BT707" t="str">
        <f>HYPERLINK("https%3A%2F%2Fwww.webofscience.com%2Fwos%2Fwoscc%2Ffull-record%2FWOS:001042873800001","View Full Record in Web of Science")</f>
        <v>View Full Record in Web of Science</v>
      </c>
    </row>
    <row r="708" spans="1:72" x14ac:dyDescent="0.15">
      <c r="A708" t="s">
        <v>72</v>
      </c>
      <c r="B708" t="s">
        <v>13454</v>
      </c>
      <c r="C708" t="s">
        <v>74</v>
      </c>
      <c r="D708" t="s">
        <v>74</v>
      </c>
      <c r="E708" t="s">
        <v>74</v>
      </c>
      <c r="F708" t="s">
        <v>13455</v>
      </c>
      <c r="G708" t="s">
        <v>74</v>
      </c>
      <c r="H708" t="s">
        <v>74</v>
      </c>
      <c r="I708" t="s">
        <v>13456</v>
      </c>
      <c r="J708" t="s">
        <v>13457</v>
      </c>
      <c r="K708" t="s">
        <v>74</v>
      </c>
      <c r="L708" t="s">
        <v>74</v>
      </c>
      <c r="M708" t="s">
        <v>78</v>
      </c>
      <c r="N708" t="s">
        <v>338</v>
      </c>
      <c r="O708" t="s">
        <v>74</v>
      </c>
      <c r="P708" t="s">
        <v>74</v>
      </c>
      <c r="Q708" t="s">
        <v>74</v>
      </c>
      <c r="R708" t="s">
        <v>74</v>
      </c>
      <c r="S708" t="s">
        <v>74</v>
      </c>
      <c r="T708" t="s">
        <v>13458</v>
      </c>
      <c r="U708" t="s">
        <v>13459</v>
      </c>
      <c r="V708" t="s">
        <v>13460</v>
      </c>
      <c r="W708" t="s">
        <v>13461</v>
      </c>
      <c r="X708" t="s">
        <v>13462</v>
      </c>
      <c r="Y708" t="s">
        <v>13463</v>
      </c>
      <c r="Z708" t="s">
        <v>13464</v>
      </c>
      <c r="AA708" t="s">
        <v>74</v>
      </c>
      <c r="AB708" t="s">
        <v>74</v>
      </c>
      <c r="AC708" t="s">
        <v>74</v>
      </c>
      <c r="AD708" t="s">
        <v>74</v>
      </c>
      <c r="AE708" t="s">
        <v>74</v>
      </c>
      <c r="AF708" t="s">
        <v>74</v>
      </c>
      <c r="AG708">
        <v>68</v>
      </c>
      <c r="AH708">
        <v>0</v>
      </c>
      <c r="AI708">
        <v>0</v>
      </c>
      <c r="AJ708">
        <v>3</v>
      </c>
      <c r="AK708">
        <v>3</v>
      </c>
      <c r="AL708" t="s">
        <v>87</v>
      </c>
      <c r="AM708" t="s">
        <v>88</v>
      </c>
      <c r="AN708" t="s">
        <v>89</v>
      </c>
      <c r="AO708" t="s">
        <v>13465</v>
      </c>
      <c r="AP708" t="s">
        <v>13466</v>
      </c>
      <c r="AQ708" t="s">
        <v>74</v>
      </c>
      <c r="AR708" t="s">
        <v>13467</v>
      </c>
      <c r="AS708" t="s">
        <v>13468</v>
      </c>
      <c r="AT708" t="s">
        <v>13159</v>
      </c>
      <c r="AU708">
        <v>2023</v>
      </c>
      <c r="AV708" t="s">
        <v>74</v>
      </c>
      <c r="AW708" t="s">
        <v>74</v>
      </c>
      <c r="AX708" t="s">
        <v>74</v>
      </c>
      <c r="AY708" t="s">
        <v>74</v>
      </c>
      <c r="AZ708" t="s">
        <v>74</v>
      </c>
      <c r="BA708" t="s">
        <v>74</v>
      </c>
      <c r="BB708" t="s">
        <v>74</v>
      </c>
      <c r="BC708" t="s">
        <v>74</v>
      </c>
      <c r="BD708" t="s">
        <v>74</v>
      </c>
      <c r="BE708" t="s">
        <v>13469</v>
      </c>
      <c r="BF708" t="str">
        <f>HYPERLINK("http://dx.doi.org/10.1111/1749-4877.12758","http://dx.doi.org/10.1111/1749-4877.12758")</f>
        <v>http://dx.doi.org/10.1111/1749-4877.12758</v>
      </c>
      <c r="BG708" t="s">
        <v>74</v>
      </c>
      <c r="BH708" t="s">
        <v>7524</v>
      </c>
      <c r="BI708">
        <v>11</v>
      </c>
      <c r="BJ708" t="s">
        <v>8924</v>
      </c>
      <c r="BK708" t="s">
        <v>119</v>
      </c>
      <c r="BL708" t="s">
        <v>8924</v>
      </c>
      <c r="BM708" t="s">
        <v>13470</v>
      </c>
      <c r="BN708">
        <v>37551631</v>
      </c>
      <c r="BO708" t="s">
        <v>301</v>
      </c>
      <c r="BP708" t="s">
        <v>74</v>
      </c>
      <c r="BQ708" t="s">
        <v>74</v>
      </c>
      <c r="BR708" t="s">
        <v>99</v>
      </c>
      <c r="BS708" t="s">
        <v>13471</v>
      </c>
      <c r="BT708" t="str">
        <f>HYPERLINK("https%3A%2F%2Fwww.webofscience.com%2Fwos%2Fwoscc%2Ffull-record%2FWOS:001042605400001","View Full Record in Web of Science")</f>
        <v>View Full Record in Web of Science</v>
      </c>
    </row>
    <row r="709" spans="1:72" x14ac:dyDescent="0.15">
      <c r="A709" t="s">
        <v>72</v>
      </c>
      <c r="B709" t="s">
        <v>13472</v>
      </c>
      <c r="C709" t="s">
        <v>74</v>
      </c>
      <c r="D709" t="s">
        <v>74</v>
      </c>
      <c r="E709" t="s">
        <v>74</v>
      </c>
      <c r="F709" t="s">
        <v>13473</v>
      </c>
      <c r="G709" t="s">
        <v>74</v>
      </c>
      <c r="H709" t="s">
        <v>74</v>
      </c>
      <c r="I709" t="s">
        <v>13474</v>
      </c>
      <c r="J709" t="s">
        <v>13475</v>
      </c>
      <c r="K709" t="s">
        <v>74</v>
      </c>
      <c r="L709" t="s">
        <v>74</v>
      </c>
      <c r="M709" t="s">
        <v>78</v>
      </c>
      <c r="N709" t="s">
        <v>338</v>
      </c>
      <c r="O709" t="s">
        <v>74</v>
      </c>
      <c r="P709" t="s">
        <v>74</v>
      </c>
      <c r="Q709" t="s">
        <v>74</v>
      </c>
      <c r="R709" t="s">
        <v>74</v>
      </c>
      <c r="S709" t="s">
        <v>74</v>
      </c>
      <c r="T709" t="s">
        <v>13476</v>
      </c>
      <c r="U709" t="s">
        <v>13477</v>
      </c>
      <c r="V709" t="s">
        <v>13478</v>
      </c>
      <c r="W709" t="s">
        <v>13479</v>
      </c>
      <c r="X709" t="s">
        <v>13480</v>
      </c>
      <c r="Y709" t="s">
        <v>13481</v>
      </c>
      <c r="Z709" t="s">
        <v>13482</v>
      </c>
      <c r="AA709" t="s">
        <v>74</v>
      </c>
      <c r="AB709" t="s">
        <v>13483</v>
      </c>
      <c r="AC709" t="s">
        <v>13484</v>
      </c>
      <c r="AD709" t="s">
        <v>13484</v>
      </c>
      <c r="AE709" t="s">
        <v>13484</v>
      </c>
      <c r="AF709" t="s">
        <v>74</v>
      </c>
      <c r="AG709">
        <v>57</v>
      </c>
      <c r="AH709">
        <v>0</v>
      </c>
      <c r="AI709">
        <v>0</v>
      </c>
      <c r="AJ709">
        <v>0</v>
      </c>
      <c r="AK709">
        <v>0</v>
      </c>
      <c r="AL709" t="s">
        <v>87</v>
      </c>
      <c r="AM709" t="s">
        <v>88</v>
      </c>
      <c r="AN709" t="s">
        <v>89</v>
      </c>
      <c r="AO709" t="s">
        <v>13485</v>
      </c>
      <c r="AP709" t="s">
        <v>13486</v>
      </c>
      <c r="AQ709" t="s">
        <v>74</v>
      </c>
      <c r="AR709" t="s">
        <v>13487</v>
      </c>
      <c r="AS709" t="s">
        <v>13488</v>
      </c>
      <c r="AT709" t="s">
        <v>13159</v>
      </c>
      <c r="AU709">
        <v>2023</v>
      </c>
      <c r="AV709" t="s">
        <v>74</v>
      </c>
      <c r="AW709" t="s">
        <v>74</v>
      </c>
      <c r="AX709" t="s">
        <v>74</v>
      </c>
      <c r="AY709" t="s">
        <v>74</v>
      </c>
      <c r="AZ709" t="s">
        <v>74</v>
      </c>
      <c r="BA709" t="s">
        <v>74</v>
      </c>
      <c r="BB709" t="s">
        <v>74</v>
      </c>
      <c r="BC709" t="s">
        <v>74</v>
      </c>
      <c r="BD709" t="s">
        <v>74</v>
      </c>
      <c r="BE709" t="s">
        <v>13489</v>
      </c>
      <c r="BF709" t="str">
        <f>HYPERLINK("http://dx.doi.org/10.1111/tme.12989","http://dx.doi.org/10.1111/tme.12989")</f>
        <v>http://dx.doi.org/10.1111/tme.12989</v>
      </c>
      <c r="BG709" t="s">
        <v>74</v>
      </c>
      <c r="BH709" t="s">
        <v>7524</v>
      </c>
      <c r="BI709">
        <v>11</v>
      </c>
      <c r="BJ709" t="s">
        <v>1625</v>
      </c>
      <c r="BK709" t="s">
        <v>119</v>
      </c>
      <c r="BL709" t="s">
        <v>1625</v>
      </c>
      <c r="BM709" t="s">
        <v>13490</v>
      </c>
      <c r="BN709">
        <v>37553476</v>
      </c>
      <c r="BO709" t="s">
        <v>74</v>
      </c>
      <c r="BP709" t="s">
        <v>74</v>
      </c>
      <c r="BQ709" t="s">
        <v>74</v>
      </c>
      <c r="BR709" t="s">
        <v>99</v>
      </c>
      <c r="BS709" t="s">
        <v>13491</v>
      </c>
      <c r="BT709" t="str">
        <f>HYPERLINK("https%3A%2F%2Fwww.webofscience.com%2Fwos%2Fwoscc%2Ffull-record%2FWOS:001044550200001","View Full Record in Web of Science")</f>
        <v>View Full Record in Web of Science</v>
      </c>
    </row>
    <row r="710" spans="1:72" x14ac:dyDescent="0.15">
      <c r="A710" t="s">
        <v>72</v>
      </c>
      <c r="B710" t="s">
        <v>13492</v>
      </c>
      <c r="C710" t="s">
        <v>74</v>
      </c>
      <c r="D710" t="s">
        <v>74</v>
      </c>
      <c r="E710" t="s">
        <v>74</v>
      </c>
      <c r="F710" t="s">
        <v>13493</v>
      </c>
      <c r="G710" t="s">
        <v>74</v>
      </c>
      <c r="H710" t="s">
        <v>74</v>
      </c>
      <c r="I710" t="s">
        <v>13494</v>
      </c>
      <c r="J710" t="s">
        <v>13495</v>
      </c>
      <c r="K710" t="s">
        <v>74</v>
      </c>
      <c r="L710" t="s">
        <v>74</v>
      </c>
      <c r="M710" t="s">
        <v>78</v>
      </c>
      <c r="N710" t="s">
        <v>594</v>
      </c>
      <c r="O710" t="s">
        <v>74</v>
      </c>
      <c r="P710" t="s">
        <v>74</v>
      </c>
      <c r="Q710" t="s">
        <v>74</v>
      </c>
      <c r="R710" t="s">
        <v>74</v>
      </c>
      <c r="S710" t="s">
        <v>74</v>
      </c>
      <c r="T710" t="s">
        <v>13496</v>
      </c>
      <c r="U710" t="s">
        <v>13497</v>
      </c>
      <c r="V710" t="s">
        <v>13498</v>
      </c>
      <c r="W710" t="s">
        <v>13499</v>
      </c>
      <c r="X710" t="s">
        <v>13500</v>
      </c>
      <c r="Y710" t="s">
        <v>13501</v>
      </c>
      <c r="Z710" t="s">
        <v>13502</v>
      </c>
      <c r="AA710" t="s">
        <v>74</v>
      </c>
      <c r="AB710" t="s">
        <v>74</v>
      </c>
      <c r="AC710" t="s">
        <v>74</v>
      </c>
      <c r="AD710" t="s">
        <v>74</v>
      </c>
      <c r="AE710" t="s">
        <v>74</v>
      </c>
      <c r="AF710" t="s">
        <v>74</v>
      </c>
      <c r="AG710">
        <v>26</v>
      </c>
      <c r="AH710">
        <v>0</v>
      </c>
      <c r="AI710">
        <v>0</v>
      </c>
      <c r="AJ710">
        <v>2</v>
      </c>
      <c r="AK710">
        <v>2</v>
      </c>
      <c r="AL710" t="s">
        <v>87</v>
      </c>
      <c r="AM710" t="s">
        <v>88</v>
      </c>
      <c r="AN710" t="s">
        <v>89</v>
      </c>
      <c r="AO710" t="s">
        <v>13503</v>
      </c>
      <c r="AP710" t="s">
        <v>13504</v>
      </c>
      <c r="AQ710" t="s">
        <v>74</v>
      </c>
      <c r="AR710" t="s">
        <v>13505</v>
      </c>
      <c r="AS710" t="s">
        <v>13506</v>
      </c>
      <c r="AT710" t="s">
        <v>13159</v>
      </c>
      <c r="AU710">
        <v>2023</v>
      </c>
      <c r="AV710" t="s">
        <v>74</v>
      </c>
      <c r="AW710" t="s">
        <v>74</v>
      </c>
      <c r="AX710" t="s">
        <v>74</v>
      </c>
      <c r="AY710" t="s">
        <v>74</v>
      </c>
      <c r="AZ710" t="s">
        <v>74</v>
      </c>
      <c r="BA710" t="s">
        <v>74</v>
      </c>
      <c r="BB710" t="s">
        <v>74</v>
      </c>
      <c r="BC710" t="s">
        <v>74</v>
      </c>
      <c r="BD710" t="s">
        <v>74</v>
      </c>
      <c r="BE710" t="s">
        <v>13507</v>
      </c>
      <c r="BF710" t="str">
        <f>HYPERLINK("http://dx.doi.org/10.1111/josh.13389","http://dx.doi.org/10.1111/josh.13389")</f>
        <v>http://dx.doi.org/10.1111/josh.13389</v>
      </c>
      <c r="BG710" t="s">
        <v>74</v>
      </c>
      <c r="BH710" t="s">
        <v>7524</v>
      </c>
      <c r="BI710">
        <v>7</v>
      </c>
      <c r="BJ710" t="s">
        <v>13508</v>
      </c>
      <c r="BK710" t="s">
        <v>409</v>
      </c>
      <c r="BL710" t="s">
        <v>13509</v>
      </c>
      <c r="BM710" t="s">
        <v>13510</v>
      </c>
      <c r="BN710">
        <v>37553008</v>
      </c>
      <c r="BO710" t="s">
        <v>122</v>
      </c>
      <c r="BP710" t="s">
        <v>74</v>
      </c>
      <c r="BQ710" t="s">
        <v>74</v>
      </c>
      <c r="BR710" t="s">
        <v>99</v>
      </c>
      <c r="BS710" t="s">
        <v>13511</v>
      </c>
      <c r="BT710" t="str">
        <f>HYPERLINK("https%3A%2F%2Fwww.webofscience.com%2Fwos%2Fwoscc%2Ffull-record%2FWOS:001044472300001","View Full Record in Web of Science")</f>
        <v>View Full Record in Web of Science</v>
      </c>
    </row>
    <row r="711" spans="1:72" x14ac:dyDescent="0.15">
      <c r="A711" t="s">
        <v>72</v>
      </c>
      <c r="B711" t="s">
        <v>13512</v>
      </c>
      <c r="C711" t="s">
        <v>74</v>
      </c>
      <c r="D711" t="s">
        <v>74</v>
      </c>
      <c r="E711" t="s">
        <v>74</v>
      </c>
      <c r="F711" t="s">
        <v>13513</v>
      </c>
      <c r="G711" t="s">
        <v>74</v>
      </c>
      <c r="H711" t="s">
        <v>74</v>
      </c>
      <c r="I711" t="s">
        <v>13514</v>
      </c>
      <c r="J711" t="s">
        <v>13515</v>
      </c>
      <c r="K711" t="s">
        <v>74</v>
      </c>
      <c r="L711" t="s">
        <v>74</v>
      </c>
      <c r="M711" t="s">
        <v>78</v>
      </c>
      <c r="N711" t="s">
        <v>338</v>
      </c>
      <c r="O711" t="s">
        <v>74</v>
      </c>
      <c r="P711" t="s">
        <v>74</v>
      </c>
      <c r="Q711" t="s">
        <v>74</v>
      </c>
      <c r="R711" t="s">
        <v>74</v>
      </c>
      <c r="S711" t="s">
        <v>74</v>
      </c>
      <c r="T711" t="s">
        <v>13516</v>
      </c>
      <c r="U711" t="s">
        <v>13517</v>
      </c>
      <c r="V711" t="s">
        <v>13518</v>
      </c>
      <c r="W711" t="s">
        <v>13519</v>
      </c>
      <c r="X711" t="s">
        <v>13520</v>
      </c>
      <c r="Y711" t="s">
        <v>13521</v>
      </c>
      <c r="Z711" t="s">
        <v>13522</v>
      </c>
      <c r="AA711" t="s">
        <v>13523</v>
      </c>
      <c r="AB711" t="s">
        <v>13524</v>
      </c>
      <c r="AC711" t="s">
        <v>13525</v>
      </c>
      <c r="AD711" t="s">
        <v>3742</v>
      </c>
      <c r="AE711" t="s">
        <v>13526</v>
      </c>
      <c r="AF711" t="s">
        <v>74</v>
      </c>
      <c r="AG711">
        <v>50</v>
      </c>
      <c r="AH711">
        <v>0</v>
      </c>
      <c r="AI711">
        <v>0</v>
      </c>
      <c r="AJ711">
        <v>1</v>
      </c>
      <c r="AK711">
        <v>1</v>
      </c>
      <c r="AL711" t="s">
        <v>87</v>
      </c>
      <c r="AM711" t="s">
        <v>88</v>
      </c>
      <c r="AN711" t="s">
        <v>89</v>
      </c>
      <c r="AO711" t="s">
        <v>13527</v>
      </c>
      <c r="AP711" t="s">
        <v>13528</v>
      </c>
      <c r="AQ711" t="s">
        <v>74</v>
      </c>
      <c r="AR711" t="s">
        <v>13529</v>
      </c>
      <c r="AS711" t="s">
        <v>13530</v>
      </c>
      <c r="AT711" t="s">
        <v>13159</v>
      </c>
      <c r="AU711">
        <v>2023</v>
      </c>
      <c r="AV711" t="s">
        <v>74</v>
      </c>
      <c r="AW711" t="s">
        <v>74</v>
      </c>
      <c r="AX711" t="s">
        <v>74</v>
      </c>
      <c r="AY711" t="s">
        <v>74</v>
      </c>
      <c r="AZ711" t="s">
        <v>74</v>
      </c>
      <c r="BA711" t="s">
        <v>74</v>
      </c>
      <c r="BB711" t="s">
        <v>74</v>
      </c>
      <c r="BC711" t="s">
        <v>74</v>
      </c>
      <c r="BD711" t="s">
        <v>74</v>
      </c>
      <c r="BE711" t="s">
        <v>13531</v>
      </c>
      <c r="BF711" t="str">
        <f>HYPERLINK("http://dx.doi.org/10.1111/jdi.14066","http://dx.doi.org/10.1111/jdi.14066")</f>
        <v>http://dx.doi.org/10.1111/jdi.14066</v>
      </c>
      <c r="BG711" t="s">
        <v>74</v>
      </c>
      <c r="BH711" t="s">
        <v>7524</v>
      </c>
      <c r="BI711">
        <v>9</v>
      </c>
      <c r="BJ711" t="s">
        <v>2313</v>
      </c>
      <c r="BK711" t="s">
        <v>119</v>
      </c>
      <c r="BL711" t="s">
        <v>2313</v>
      </c>
      <c r="BM711" t="s">
        <v>13532</v>
      </c>
      <c r="BN711">
        <v>37551797</v>
      </c>
      <c r="BO711" t="s">
        <v>234</v>
      </c>
      <c r="BP711" t="s">
        <v>74</v>
      </c>
      <c r="BQ711" t="s">
        <v>74</v>
      </c>
      <c r="BR711" t="s">
        <v>99</v>
      </c>
      <c r="BS711" t="s">
        <v>13533</v>
      </c>
      <c r="BT711" t="str">
        <f>HYPERLINK("https%3A%2F%2Fwww.webofscience.com%2Fwos%2Fwoscc%2Ffull-record%2FWOS:001042716400001","View Full Record in Web of Science")</f>
        <v>View Full Record in Web of Science</v>
      </c>
    </row>
    <row r="712" spans="1:72" x14ac:dyDescent="0.15">
      <c r="A712" t="s">
        <v>72</v>
      </c>
      <c r="B712" t="s">
        <v>13534</v>
      </c>
      <c r="C712" t="s">
        <v>74</v>
      </c>
      <c r="D712" t="s">
        <v>74</v>
      </c>
      <c r="E712" t="s">
        <v>74</v>
      </c>
      <c r="F712" t="s">
        <v>13535</v>
      </c>
      <c r="G712" t="s">
        <v>74</v>
      </c>
      <c r="H712" t="s">
        <v>74</v>
      </c>
      <c r="I712" t="s">
        <v>13536</v>
      </c>
      <c r="J712" t="s">
        <v>13537</v>
      </c>
      <c r="K712" t="s">
        <v>74</v>
      </c>
      <c r="L712" t="s">
        <v>74</v>
      </c>
      <c r="M712" t="s">
        <v>78</v>
      </c>
      <c r="N712" t="s">
        <v>338</v>
      </c>
      <c r="O712" t="s">
        <v>74</v>
      </c>
      <c r="P712" t="s">
        <v>74</v>
      </c>
      <c r="Q712" t="s">
        <v>74</v>
      </c>
      <c r="R712" t="s">
        <v>74</v>
      </c>
      <c r="S712" t="s">
        <v>74</v>
      </c>
      <c r="T712" t="s">
        <v>13538</v>
      </c>
      <c r="U712" t="s">
        <v>13539</v>
      </c>
      <c r="V712" t="s">
        <v>13540</v>
      </c>
      <c r="W712" t="s">
        <v>13541</v>
      </c>
      <c r="X712" t="s">
        <v>13542</v>
      </c>
      <c r="Y712" t="s">
        <v>13543</v>
      </c>
      <c r="Z712" t="s">
        <v>13544</v>
      </c>
      <c r="AA712" t="s">
        <v>74</v>
      </c>
      <c r="AB712" t="s">
        <v>13545</v>
      </c>
      <c r="AC712" t="s">
        <v>13074</v>
      </c>
      <c r="AD712" t="s">
        <v>13074</v>
      </c>
      <c r="AE712" t="s">
        <v>13546</v>
      </c>
      <c r="AF712" t="s">
        <v>74</v>
      </c>
      <c r="AG712">
        <v>16</v>
      </c>
      <c r="AH712">
        <v>0</v>
      </c>
      <c r="AI712">
        <v>0</v>
      </c>
      <c r="AJ712">
        <v>0</v>
      </c>
      <c r="AK712">
        <v>0</v>
      </c>
      <c r="AL712" t="s">
        <v>87</v>
      </c>
      <c r="AM712" t="s">
        <v>88</v>
      </c>
      <c r="AN712" t="s">
        <v>89</v>
      </c>
      <c r="AO712" t="s">
        <v>13547</v>
      </c>
      <c r="AP712" t="s">
        <v>13548</v>
      </c>
      <c r="AQ712" t="s">
        <v>74</v>
      </c>
      <c r="AR712" t="s">
        <v>13549</v>
      </c>
      <c r="AS712" t="s">
        <v>13550</v>
      </c>
      <c r="AT712" t="s">
        <v>13159</v>
      </c>
      <c r="AU712">
        <v>2023</v>
      </c>
      <c r="AV712" t="s">
        <v>74</v>
      </c>
      <c r="AW712" t="s">
        <v>74</v>
      </c>
      <c r="AX712" t="s">
        <v>74</v>
      </c>
      <c r="AY712" t="s">
        <v>74</v>
      </c>
      <c r="AZ712" t="s">
        <v>74</v>
      </c>
      <c r="BA712" t="s">
        <v>74</v>
      </c>
      <c r="BB712" t="s">
        <v>74</v>
      </c>
      <c r="BC712" t="s">
        <v>74</v>
      </c>
      <c r="BD712" t="s">
        <v>74</v>
      </c>
      <c r="BE712" t="s">
        <v>13551</v>
      </c>
      <c r="BF712" t="str">
        <f>HYPERLINK("http://dx.doi.org/10.1111/pan.14743","http://dx.doi.org/10.1111/pan.14743")</f>
        <v>http://dx.doi.org/10.1111/pan.14743</v>
      </c>
      <c r="BG712" t="s">
        <v>74</v>
      </c>
      <c r="BH712" t="s">
        <v>7524</v>
      </c>
      <c r="BI712">
        <v>7</v>
      </c>
      <c r="BJ712" t="s">
        <v>13552</v>
      </c>
      <c r="BK712" t="s">
        <v>119</v>
      </c>
      <c r="BL712" t="s">
        <v>13552</v>
      </c>
      <c r="BM712" t="s">
        <v>13553</v>
      </c>
      <c r="BN712">
        <v>37551627</v>
      </c>
      <c r="BO712" t="s">
        <v>122</v>
      </c>
      <c r="BP712" t="s">
        <v>74</v>
      </c>
      <c r="BQ712" t="s">
        <v>74</v>
      </c>
      <c r="BR712" t="s">
        <v>99</v>
      </c>
      <c r="BS712" t="s">
        <v>13554</v>
      </c>
      <c r="BT712" t="str">
        <f>HYPERLINK("https%3A%2F%2Fwww.webofscience.com%2Fwos%2Fwoscc%2Ffull-record%2FWOS:001044254700001","View Full Record in Web of Science")</f>
        <v>View Full Record in Web of Science</v>
      </c>
    </row>
    <row r="713" spans="1:72" x14ac:dyDescent="0.15">
      <c r="A713" t="s">
        <v>72</v>
      </c>
      <c r="B713" t="s">
        <v>13555</v>
      </c>
      <c r="C713" t="s">
        <v>74</v>
      </c>
      <c r="D713" t="s">
        <v>74</v>
      </c>
      <c r="E713" t="s">
        <v>74</v>
      </c>
      <c r="F713" t="s">
        <v>13556</v>
      </c>
      <c r="G713" t="s">
        <v>74</v>
      </c>
      <c r="H713" t="s">
        <v>74</v>
      </c>
      <c r="I713" t="s">
        <v>13557</v>
      </c>
      <c r="J713" t="s">
        <v>937</v>
      </c>
      <c r="K713" t="s">
        <v>74</v>
      </c>
      <c r="L713" t="s">
        <v>74</v>
      </c>
      <c r="M713" t="s">
        <v>78</v>
      </c>
      <c r="N713" t="s">
        <v>338</v>
      </c>
      <c r="O713" t="s">
        <v>74</v>
      </c>
      <c r="P713" t="s">
        <v>74</v>
      </c>
      <c r="Q713" t="s">
        <v>74</v>
      </c>
      <c r="R713" t="s">
        <v>74</v>
      </c>
      <c r="S713" t="s">
        <v>74</v>
      </c>
      <c r="T713" t="s">
        <v>13558</v>
      </c>
      <c r="U713" t="s">
        <v>13559</v>
      </c>
      <c r="V713" t="s">
        <v>13560</v>
      </c>
      <c r="W713" t="s">
        <v>13561</v>
      </c>
      <c r="X713" t="s">
        <v>13562</v>
      </c>
      <c r="Y713" t="s">
        <v>13563</v>
      </c>
      <c r="Z713" t="s">
        <v>13564</v>
      </c>
      <c r="AA713" t="s">
        <v>74</v>
      </c>
      <c r="AB713" t="s">
        <v>74</v>
      </c>
      <c r="AC713" t="s">
        <v>13565</v>
      </c>
      <c r="AD713" t="s">
        <v>13566</v>
      </c>
      <c r="AE713" t="s">
        <v>13567</v>
      </c>
      <c r="AF713" t="s">
        <v>74</v>
      </c>
      <c r="AG713">
        <v>30</v>
      </c>
      <c r="AH713">
        <v>0</v>
      </c>
      <c r="AI713">
        <v>0</v>
      </c>
      <c r="AJ713">
        <v>6</v>
      </c>
      <c r="AK713">
        <v>6</v>
      </c>
      <c r="AL713" t="s">
        <v>87</v>
      </c>
      <c r="AM713" t="s">
        <v>88</v>
      </c>
      <c r="AN713" t="s">
        <v>89</v>
      </c>
      <c r="AO713" t="s">
        <v>74</v>
      </c>
      <c r="AP713" t="s">
        <v>949</v>
      </c>
      <c r="AQ713" t="s">
        <v>74</v>
      </c>
      <c r="AR713" t="s">
        <v>950</v>
      </c>
      <c r="AS713" t="s">
        <v>951</v>
      </c>
      <c r="AT713" t="s">
        <v>13159</v>
      </c>
      <c r="AU713">
        <v>2023</v>
      </c>
      <c r="AV713" t="s">
        <v>74</v>
      </c>
      <c r="AW713" t="s">
        <v>74</v>
      </c>
      <c r="AX713" t="s">
        <v>74</v>
      </c>
      <c r="AY713" t="s">
        <v>74</v>
      </c>
      <c r="AZ713" t="s">
        <v>74</v>
      </c>
      <c r="BA713" t="s">
        <v>74</v>
      </c>
      <c r="BB713" t="s">
        <v>74</v>
      </c>
      <c r="BC713" t="s">
        <v>74</v>
      </c>
      <c r="BD713" t="s">
        <v>74</v>
      </c>
      <c r="BE713" t="s">
        <v>13568</v>
      </c>
      <c r="BF713" t="str">
        <f>HYPERLINK("http://dx.doi.org/10.1002/advs.202302760","http://dx.doi.org/10.1002/advs.202302760")</f>
        <v>http://dx.doi.org/10.1002/advs.202302760</v>
      </c>
      <c r="BG713" t="s">
        <v>74</v>
      </c>
      <c r="BH713" t="s">
        <v>7524</v>
      </c>
      <c r="BI713">
        <v>7</v>
      </c>
      <c r="BJ713" t="s">
        <v>953</v>
      </c>
      <c r="BK713" t="s">
        <v>119</v>
      </c>
      <c r="BL713" t="s">
        <v>954</v>
      </c>
      <c r="BM713" t="s">
        <v>13569</v>
      </c>
      <c r="BN713">
        <v>37552811</v>
      </c>
      <c r="BO713" t="s">
        <v>234</v>
      </c>
      <c r="BP713" t="s">
        <v>74</v>
      </c>
      <c r="BQ713" t="s">
        <v>74</v>
      </c>
      <c r="BR713" t="s">
        <v>99</v>
      </c>
      <c r="BS713" t="s">
        <v>13570</v>
      </c>
      <c r="BT713" t="str">
        <f>HYPERLINK("https%3A%2F%2Fwww.webofscience.com%2Fwos%2Fwoscc%2Ffull-record%2FWOS:001043022700001","View Full Record in Web of Science")</f>
        <v>View Full Record in Web of Science</v>
      </c>
    </row>
    <row r="714" spans="1:72" x14ac:dyDescent="0.15">
      <c r="A714" t="s">
        <v>72</v>
      </c>
      <c r="B714" t="s">
        <v>13571</v>
      </c>
      <c r="C714" t="s">
        <v>74</v>
      </c>
      <c r="D714" t="s">
        <v>74</v>
      </c>
      <c r="E714" t="s">
        <v>74</v>
      </c>
      <c r="F714" t="s">
        <v>13572</v>
      </c>
      <c r="G714" t="s">
        <v>74</v>
      </c>
      <c r="H714" t="s">
        <v>74</v>
      </c>
      <c r="I714" t="s">
        <v>13573</v>
      </c>
      <c r="J714" t="s">
        <v>5056</v>
      </c>
      <c r="K714" t="s">
        <v>74</v>
      </c>
      <c r="L714" t="s">
        <v>74</v>
      </c>
      <c r="M714" t="s">
        <v>78</v>
      </c>
      <c r="N714" t="s">
        <v>594</v>
      </c>
      <c r="O714" t="s">
        <v>74</v>
      </c>
      <c r="P714" t="s">
        <v>74</v>
      </c>
      <c r="Q714" t="s">
        <v>74</v>
      </c>
      <c r="R714" t="s">
        <v>74</v>
      </c>
      <c r="S714" t="s">
        <v>74</v>
      </c>
      <c r="T714" t="s">
        <v>13574</v>
      </c>
      <c r="U714" t="s">
        <v>13575</v>
      </c>
      <c r="V714" t="s">
        <v>13576</v>
      </c>
      <c r="W714" t="s">
        <v>13577</v>
      </c>
      <c r="X714" t="s">
        <v>13578</v>
      </c>
      <c r="Y714" t="s">
        <v>13579</v>
      </c>
      <c r="Z714" t="s">
        <v>13580</v>
      </c>
      <c r="AA714" t="s">
        <v>74</v>
      </c>
      <c r="AB714" t="s">
        <v>74</v>
      </c>
      <c r="AC714" t="s">
        <v>13581</v>
      </c>
      <c r="AD714" t="s">
        <v>13582</v>
      </c>
      <c r="AE714" t="s">
        <v>13583</v>
      </c>
      <c r="AF714" t="s">
        <v>74</v>
      </c>
      <c r="AG714">
        <v>134</v>
      </c>
      <c r="AH714">
        <v>2</v>
      </c>
      <c r="AI714">
        <v>2</v>
      </c>
      <c r="AJ714">
        <v>1</v>
      </c>
      <c r="AK714">
        <v>1</v>
      </c>
      <c r="AL714" t="s">
        <v>87</v>
      </c>
      <c r="AM714" t="s">
        <v>88</v>
      </c>
      <c r="AN714" t="s">
        <v>89</v>
      </c>
      <c r="AO714" t="s">
        <v>5068</v>
      </c>
      <c r="AP714" t="s">
        <v>5069</v>
      </c>
      <c r="AQ714" t="s">
        <v>74</v>
      </c>
      <c r="AR714" t="s">
        <v>5070</v>
      </c>
      <c r="AS714" t="s">
        <v>5071</v>
      </c>
      <c r="AT714" t="s">
        <v>13584</v>
      </c>
      <c r="AU714">
        <v>2023</v>
      </c>
      <c r="AV714" t="s">
        <v>74</v>
      </c>
      <c r="AW714" t="s">
        <v>74</v>
      </c>
      <c r="AX714" t="s">
        <v>74</v>
      </c>
      <c r="AY714" t="s">
        <v>74</v>
      </c>
      <c r="AZ714" t="s">
        <v>74</v>
      </c>
      <c r="BA714" t="s">
        <v>74</v>
      </c>
      <c r="BB714" t="s">
        <v>74</v>
      </c>
      <c r="BC714" t="s">
        <v>74</v>
      </c>
      <c r="BD714" t="s">
        <v>74</v>
      </c>
      <c r="BE714" t="s">
        <v>13585</v>
      </c>
      <c r="BF714" t="str">
        <f>HYPERLINK("http://dx.doi.org/10.1002/path.6168","http://dx.doi.org/10.1002/path.6168")</f>
        <v>http://dx.doi.org/10.1002/path.6168</v>
      </c>
      <c r="BG714" t="s">
        <v>74</v>
      </c>
      <c r="BH714" t="s">
        <v>7524</v>
      </c>
      <c r="BI714">
        <v>14</v>
      </c>
      <c r="BJ714" t="s">
        <v>1328</v>
      </c>
      <c r="BK714" t="s">
        <v>119</v>
      </c>
      <c r="BL714" t="s">
        <v>1328</v>
      </c>
      <c r="BM714" t="s">
        <v>13586</v>
      </c>
      <c r="BN714">
        <v>37550878</v>
      </c>
      <c r="BO714" t="s">
        <v>122</v>
      </c>
      <c r="BP714" t="s">
        <v>74</v>
      </c>
      <c r="BQ714" t="s">
        <v>74</v>
      </c>
      <c r="BR714" t="s">
        <v>99</v>
      </c>
      <c r="BS714" t="s">
        <v>13587</v>
      </c>
      <c r="BT714" t="str">
        <f>HYPERLINK("https%3A%2F%2Fwww.webofscience.com%2Fwos%2Fwoscc%2Ffull-record%2FWOS:001043555600001","View Full Record in Web of Science")</f>
        <v>View Full Record in Web of Science</v>
      </c>
    </row>
    <row r="715" spans="1:72" x14ac:dyDescent="0.15">
      <c r="A715" t="s">
        <v>72</v>
      </c>
      <c r="B715" t="s">
        <v>13588</v>
      </c>
      <c r="C715" t="s">
        <v>74</v>
      </c>
      <c r="D715" t="s">
        <v>74</v>
      </c>
      <c r="E715" t="s">
        <v>74</v>
      </c>
      <c r="F715" t="s">
        <v>13589</v>
      </c>
      <c r="G715" t="s">
        <v>74</v>
      </c>
      <c r="H715" t="s">
        <v>74</v>
      </c>
      <c r="I715" t="s">
        <v>13590</v>
      </c>
      <c r="J715" t="s">
        <v>13591</v>
      </c>
      <c r="K715" t="s">
        <v>74</v>
      </c>
      <c r="L715" t="s">
        <v>74</v>
      </c>
      <c r="M715" t="s">
        <v>78</v>
      </c>
      <c r="N715" t="s">
        <v>79</v>
      </c>
      <c r="O715" t="s">
        <v>74</v>
      </c>
      <c r="P715" t="s">
        <v>74</v>
      </c>
      <c r="Q715" t="s">
        <v>74</v>
      </c>
      <c r="R715" t="s">
        <v>74</v>
      </c>
      <c r="S715" t="s">
        <v>74</v>
      </c>
      <c r="T715" t="s">
        <v>13592</v>
      </c>
      <c r="U715" t="s">
        <v>74</v>
      </c>
      <c r="V715" t="s">
        <v>13593</v>
      </c>
      <c r="W715" t="s">
        <v>13594</v>
      </c>
      <c r="X715" t="s">
        <v>13595</v>
      </c>
      <c r="Y715" t="s">
        <v>13596</v>
      </c>
      <c r="Z715" t="s">
        <v>13597</v>
      </c>
      <c r="AA715" t="s">
        <v>74</v>
      </c>
      <c r="AB715" t="s">
        <v>74</v>
      </c>
      <c r="AC715" t="s">
        <v>74</v>
      </c>
      <c r="AD715" t="s">
        <v>74</v>
      </c>
      <c r="AE715" t="s">
        <v>74</v>
      </c>
      <c r="AF715" t="s">
        <v>74</v>
      </c>
      <c r="AG715">
        <v>51</v>
      </c>
      <c r="AH715">
        <v>0</v>
      </c>
      <c r="AI715">
        <v>0</v>
      </c>
      <c r="AJ715">
        <v>2</v>
      </c>
      <c r="AK715">
        <v>2</v>
      </c>
      <c r="AL715" t="s">
        <v>87</v>
      </c>
      <c r="AM715" t="s">
        <v>88</v>
      </c>
      <c r="AN715" t="s">
        <v>89</v>
      </c>
      <c r="AO715" t="s">
        <v>13598</v>
      </c>
      <c r="AP715" t="s">
        <v>13599</v>
      </c>
      <c r="AQ715" t="s">
        <v>74</v>
      </c>
      <c r="AR715" t="s">
        <v>13591</v>
      </c>
      <c r="AS715" t="s">
        <v>13600</v>
      </c>
      <c r="AT715" t="s">
        <v>13601</v>
      </c>
      <c r="AU715">
        <v>2023</v>
      </c>
      <c r="AV715">
        <v>113</v>
      </c>
      <c r="AW715">
        <v>3</v>
      </c>
      <c r="AX715" t="s">
        <v>74</v>
      </c>
      <c r="AY715" t="s">
        <v>74</v>
      </c>
      <c r="AZ715" t="s">
        <v>74</v>
      </c>
      <c r="BA715" t="s">
        <v>74</v>
      </c>
      <c r="BB715">
        <v>211</v>
      </c>
      <c r="BC715">
        <v>227</v>
      </c>
      <c r="BD715" t="s">
        <v>74</v>
      </c>
      <c r="BE715" t="s">
        <v>13602</v>
      </c>
      <c r="BF715" t="str">
        <f>HYPERLINK("http://dx.doi.org/10.1111/muwo.12472","http://dx.doi.org/10.1111/muwo.12472")</f>
        <v>http://dx.doi.org/10.1111/muwo.12472</v>
      </c>
      <c r="BG715" t="s">
        <v>74</v>
      </c>
      <c r="BH715" t="s">
        <v>7524</v>
      </c>
      <c r="BI715">
        <v>17</v>
      </c>
      <c r="BJ715" t="s">
        <v>13603</v>
      </c>
      <c r="BK715" t="s">
        <v>498</v>
      </c>
      <c r="BL715" t="s">
        <v>13603</v>
      </c>
      <c r="BM715" t="s">
        <v>13604</v>
      </c>
      <c r="BN715" t="s">
        <v>74</v>
      </c>
      <c r="BO715" t="s">
        <v>74</v>
      </c>
      <c r="BP715" t="s">
        <v>74</v>
      </c>
      <c r="BQ715" t="s">
        <v>74</v>
      </c>
      <c r="BR715" t="s">
        <v>99</v>
      </c>
      <c r="BS715" t="s">
        <v>13605</v>
      </c>
      <c r="BT715" t="str">
        <f>HYPERLINK("https%3A%2F%2Fwww.webofscience.com%2Fwos%2Fwoscc%2Ffull-record%2FWOS:001043617000001","View Full Record in Web of Science")</f>
        <v>View Full Record in Web of Science</v>
      </c>
    </row>
    <row r="716" spans="1:72" x14ac:dyDescent="0.15">
      <c r="A716" t="s">
        <v>72</v>
      </c>
      <c r="B716" t="s">
        <v>13606</v>
      </c>
      <c r="C716" t="s">
        <v>74</v>
      </c>
      <c r="D716" t="s">
        <v>74</v>
      </c>
      <c r="E716" t="s">
        <v>74</v>
      </c>
      <c r="F716" t="s">
        <v>13607</v>
      </c>
      <c r="G716" t="s">
        <v>74</v>
      </c>
      <c r="H716" t="s">
        <v>74</v>
      </c>
      <c r="I716" t="s">
        <v>13608</v>
      </c>
      <c r="J716" t="s">
        <v>13609</v>
      </c>
      <c r="K716" t="s">
        <v>74</v>
      </c>
      <c r="L716" t="s">
        <v>74</v>
      </c>
      <c r="M716" t="s">
        <v>78</v>
      </c>
      <c r="N716" t="s">
        <v>79</v>
      </c>
      <c r="O716" t="s">
        <v>74</v>
      </c>
      <c r="P716" t="s">
        <v>74</v>
      </c>
      <c r="Q716" t="s">
        <v>74</v>
      </c>
      <c r="R716" t="s">
        <v>74</v>
      </c>
      <c r="S716" t="s">
        <v>74</v>
      </c>
      <c r="T716" t="s">
        <v>13610</v>
      </c>
      <c r="U716" t="s">
        <v>13611</v>
      </c>
      <c r="V716" t="s">
        <v>13612</v>
      </c>
      <c r="W716" t="s">
        <v>13613</v>
      </c>
      <c r="X716" t="s">
        <v>13614</v>
      </c>
      <c r="Y716" t="s">
        <v>13615</v>
      </c>
      <c r="Z716" t="s">
        <v>13616</v>
      </c>
      <c r="AA716" t="s">
        <v>74</v>
      </c>
      <c r="AB716" t="s">
        <v>13617</v>
      </c>
      <c r="AC716" t="s">
        <v>13618</v>
      </c>
      <c r="AD716" t="s">
        <v>13619</v>
      </c>
      <c r="AE716" t="s">
        <v>13620</v>
      </c>
      <c r="AF716" t="s">
        <v>74</v>
      </c>
      <c r="AG716">
        <v>30</v>
      </c>
      <c r="AH716">
        <v>0</v>
      </c>
      <c r="AI716">
        <v>0</v>
      </c>
      <c r="AJ716">
        <v>11</v>
      </c>
      <c r="AK716">
        <v>11</v>
      </c>
      <c r="AL716" t="s">
        <v>426</v>
      </c>
      <c r="AM716" t="s">
        <v>427</v>
      </c>
      <c r="AN716" t="s">
        <v>428</v>
      </c>
      <c r="AO716" t="s">
        <v>74</v>
      </c>
      <c r="AP716" t="s">
        <v>13621</v>
      </c>
      <c r="AQ716" t="s">
        <v>74</v>
      </c>
      <c r="AR716" t="s">
        <v>13622</v>
      </c>
      <c r="AS716" t="s">
        <v>13623</v>
      </c>
      <c r="AT716" t="s">
        <v>6725</v>
      </c>
      <c r="AU716">
        <v>2023</v>
      </c>
      <c r="AV716">
        <v>6</v>
      </c>
      <c r="AW716">
        <v>9</v>
      </c>
      <c r="AX716" t="s">
        <v>74</v>
      </c>
      <c r="AY716" t="s">
        <v>74</v>
      </c>
      <c r="AZ716" t="s">
        <v>74</v>
      </c>
      <c r="BA716" t="s">
        <v>74</v>
      </c>
      <c r="BB716" t="s">
        <v>74</v>
      </c>
      <c r="BC716" t="s">
        <v>74</v>
      </c>
      <c r="BD716" t="s">
        <v>74</v>
      </c>
      <c r="BE716" t="s">
        <v>13624</v>
      </c>
      <c r="BF716" t="str">
        <f>HYPERLINK("http://dx.doi.org/10.1002/batt.202300202","http://dx.doi.org/10.1002/batt.202300202")</f>
        <v>http://dx.doi.org/10.1002/batt.202300202</v>
      </c>
      <c r="BG716" t="s">
        <v>74</v>
      </c>
      <c r="BH716" t="s">
        <v>7524</v>
      </c>
      <c r="BI716">
        <v>11</v>
      </c>
      <c r="BJ716" t="s">
        <v>13625</v>
      </c>
      <c r="BK716" t="s">
        <v>119</v>
      </c>
      <c r="BL716" t="s">
        <v>13626</v>
      </c>
      <c r="BM716" t="s">
        <v>13627</v>
      </c>
      <c r="BN716" t="s">
        <v>74</v>
      </c>
      <c r="BO716" t="s">
        <v>122</v>
      </c>
      <c r="BP716" t="s">
        <v>74</v>
      </c>
      <c r="BQ716" t="s">
        <v>74</v>
      </c>
      <c r="BR716" t="s">
        <v>99</v>
      </c>
      <c r="BS716" t="s">
        <v>13628</v>
      </c>
      <c r="BT716" t="str">
        <f>HYPERLINK("https%3A%2F%2Fwww.webofscience.com%2Fwos%2Fwoscc%2Ffull-record%2FWOS:001043316000001","View Full Record in Web of Science")</f>
        <v>View Full Record in Web of Science</v>
      </c>
    </row>
    <row r="717" spans="1:72" x14ac:dyDescent="0.15">
      <c r="A717" t="s">
        <v>72</v>
      </c>
      <c r="B717" t="s">
        <v>13629</v>
      </c>
      <c r="C717" t="s">
        <v>74</v>
      </c>
      <c r="D717" t="s">
        <v>74</v>
      </c>
      <c r="E717" t="s">
        <v>74</v>
      </c>
      <c r="F717" t="s">
        <v>13630</v>
      </c>
      <c r="G717" t="s">
        <v>74</v>
      </c>
      <c r="H717" t="s">
        <v>74</v>
      </c>
      <c r="I717" t="s">
        <v>13631</v>
      </c>
      <c r="J717" t="s">
        <v>13632</v>
      </c>
      <c r="K717" t="s">
        <v>74</v>
      </c>
      <c r="L717" t="s">
        <v>74</v>
      </c>
      <c r="M717" t="s">
        <v>78</v>
      </c>
      <c r="N717" t="s">
        <v>338</v>
      </c>
      <c r="O717" t="s">
        <v>74</v>
      </c>
      <c r="P717" t="s">
        <v>74</v>
      </c>
      <c r="Q717" t="s">
        <v>74</v>
      </c>
      <c r="R717" t="s">
        <v>74</v>
      </c>
      <c r="S717" t="s">
        <v>74</v>
      </c>
      <c r="T717" t="s">
        <v>13633</v>
      </c>
      <c r="U717" t="s">
        <v>13634</v>
      </c>
      <c r="V717" t="s">
        <v>13635</v>
      </c>
      <c r="W717" t="s">
        <v>13636</v>
      </c>
      <c r="X717" t="s">
        <v>13637</v>
      </c>
      <c r="Y717" t="s">
        <v>13638</v>
      </c>
      <c r="Z717" t="s">
        <v>13639</v>
      </c>
      <c r="AA717" t="s">
        <v>74</v>
      </c>
      <c r="AB717" t="s">
        <v>74</v>
      </c>
      <c r="AC717" t="s">
        <v>74</v>
      </c>
      <c r="AD717" t="s">
        <v>74</v>
      </c>
      <c r="AE717" t="s">
        <v>74</v>
      </c>
      <c r="AF717" t="s">
        <v>74</v>
      </c>
      <c r="AG717">
        <v>44</v>
      </c>
      <c r="AH717">
        <v>0</v>
      </c>
      <c r="AI717">
        <v>0</v>
      </c>
      <c r="AJ717">
        <v>0</v>
      </c>
      <c r="AK717">
        <v>0</v>
      </c>
      <c r="AL717" t="s">
        <v>87</v>
      </c>
      <c r="AM717" t="s">
        <v>88</v>
      </c>
      <c r="AN717" t="s">
        <v>89</v>
      </c>
      <c r="AO717" t="s">
        <v>13640</v>
      </c>
      <c r="AP717" t="s">
        <v>13641</v>
      </c>
      <c r="AQ717" t="s">
        <v>74</v>
      </c>
      <c r="AR717" t="s">
        <v>13642</v>
      </c>
      <c r="AS717" t="s">
        <v>13643</v>
      </c>
      <c r="AT717" t="s">
        <v>13584</v>
      </c>
      <c r="AU717">
        <v>2023</v>
      </c>
      <c r="AV717" t="s">
        <v>74</v>
      </c>
      <c r="AW717" t="s">
        <v>74</v>
      </c>
      <c r="AX717" t="s">
        <v>74</v>
      </c>
      <c r="AY717" t="s">
        <v>74</v>
      </c>
      <c r="AZ717" t="s">
        <v>74</v>
      </c>
      <c r="BA717" t="s">
        <v>74</v>
      </c>
      <c r="BB717" t="s">
        <v>74</v>
      </c>
      <c r="BC717" t="s">
        <v>74</v>
      </c>
      <c r="BD717" t="s">
        <v>74</v>
      </c>
      <c r="BE717" t="s">
        <v>13644</v>
      </c>
      <c r="BF717" t="str">
        <f>HYPERLINK("http://dx.doi.org/10.1002/capr.12684","http://dx.doi.org/10.1002/capr.12684")</f>
        <v>http://dx.doi.org/10.1002/capr.12684</v>
      </c>
      <c r="BG717" t="s">
        <v>74</v>
      </c>
      <c r="BH717" t="s">
        <v>7524</v>
      </c>
      <c r="BI717">
        <v>11</v>
      </c>
      <c r="BJ717" t="s">
        <v>6035</v>
      </c>
      <c r="BK717" t="s">
        <v>96</v>
      </c>
      <c r="BL717" t="s">
        <v>1210</v>
      </c>
      <c r="BM717" t="s">
        <v>13645</v>
      </c>
      <c r="BN717" t="s">
        <v>74</v>
      </c>
      <c r="BO717" t="s">
        <v>122</v>
      </c>
      <c r="BP717" t="s">
        <v>74</v>
      </c>
      <c r="BQ717" t="s">
        <v>74</v>
      </c>
      <c r="BR717" t="s">
        <v>99</v>
      </c>
      <c r="BS717" t="s">
        <v>13646</v>
      </c>
      <c r="BT717" t="str">
        <f>HYPERLINK("https%3A%2F%2Fwww.webofscience.com%2Fwos%2Fwoscc%2Ffull-record%2FWOS:001043133600001","View Full Record in Web of Science")</f>
        <v>View Full Record in Web of Science</v>
      </c>
    </row>
    <row r="718" spans="1:72" x14ac:dyDescent="0.15">
      <c r="A718" t="s">
        <v>72</v>
      </c>
      <c r="B718" t="s">
        <v>13647</v>
      </c>
      <c r="C718" t="s">
        <v>74</v>
      </c>
      <c r="D718" t="s">
        <v>74</v>
      </c>
      <c r="E718" t="s">
        <v>74</v>
      </c>
      <c r="F718" t="s">
        <v>13648</v>
      </c>
      <c r="G718" t="s">
        <v>74</v>
      </c>
      <c r="H718" t="s">
        <v>74</v>
      </c>
      <c r="I718" t="s">
        <v>13649</v>
      </c>
      <c r="J718" t="s">
        <v>13650</v>
      </c>
      <c r="K718" t="s">
        <v>74</v>
      </c>
      <c r="L718" t="s">
        <v>74</v>
      </c>
      <c r="M718" t="s">
        <v>78</v>
      </c>
      <c r="N718" t="s">
        <v>338</v>
      </c>
      <c r="O718" t="s">
        <v>74</v>
      </c>
      <c r="P718" t="s">
        <v>74</v>
      </c>
      <c r="Q718" t="s">
        <v>74</v>
      </c>
      <c r="R718" t="s">
        <v>74</v>
      </c>
      <c r="S718" t="s">
        <v>74</v>
      </c>
      <c r="T718" t="s">
        <v>13651</v>
      </c>
      <c r="U718" t="s">
        <v>74</v>
      </c>
      <c r="V718" t="s">
        <v>13652</v>
      </c>
      <c r="W718" t="s">
        <v>13653</v>
      </c>
      <c r="X718" t="s">
        <v>13654</v>
      </c>
      <c r="Y718" t="s">
        <v>13655</v>
      </c>
      <c r="Z718" t="s">
        <v>13656</v>
      </c>
      <c r="AA718" t="s">
        <v>13657</v>
      </c>
      <c r="AB718" t="s">
        <v>13658</v>
      </c>
      <c r="AC718" t="s">
        <v>74</v>
      </c>
      <c r="AD718" t="s">
        <v>74</v>
      </c>
      <c r="AE718" t="s">
        <v>74</v>
      </c>
      <c r="AF718" t="s">
        <v>74</v>
      </c>
      <c r="AG718">
        <v>33</v>
      </c>
      <c r="AH718">
        <v>0</v>
      </c>
      <c r="AI718">
        <v>0</v>
      </c>
      <c r="AJ718">
        <v>0</v>
      </c>
      <c r="AK718">
        <v>0</v>
      </c>
      <c r="AL718" t="s">
        <v>87</v>
      </c>
      <c r="AM718" t="s">
        <v>88</v>
      </c>
      <c r="AN718" t="s">
        <v>89</v>
      </c>
      <c r="AO718" t="s">
        <v>13659</v>
      </c>
      <c r="AP718" t="s">
        <v>13660</v>
      </c>
      <c r="AQ718" t="s">
        <v>74</v>
      </c>
      <c r="AR718" t="s">
        <v>13661</v>
      </c>
      <c r="AS718" t="s">
        <v>13662</v>
      </c>
      <c r="AT718" t="s">
        <v>13584</v>
      </c>
      <c r="AU718">
        <v>2023</v>
      </c>
      <c r="AV718" t="s">
        <v>74</v>
      </c>
      <c r="AW718" t="s">
        <v>74</v>
      </c>
      <c r="AX718" t="s">
        <v>74</v>
      </c>
      <c r="AY718" t="s">
        <v>74</v>
      </c>
      <c r="AZ718" t="s">
        <v>74</v>
      </c>
      <c r="BA718" t="s">
        <v>74</v>
      </c>
      <c r="BB718" t="s">
        <v>74</v>
      </c>
      <c r="BC718" t="s">
        <v>74</v>
      </c>
      <c r="BD718" t="s">
        <v>74</v>
      </c>
      <c r="BE718" t="s">
        <v>13663</v>
      </c>
      <c r="BF718" t="str">
        <f>HYPERLINK("http://dx.doi.org/10.1111/tmi.13918","http://dx.doi.org/10.1111/tmi.13918")</f>
        <v>http://dx.doi.org/10.1111/tmi.13918</v>
      </c>
      <c r="BG718" t="s">
        <v>74</v>
      </c>
      <c r="BH718" t="s">
        <v>7524</v>
      </c>
      <c r="BI718">
        <v>10</v>
      </c>
      <c r="BJ718" t="s">
        <v>13664</v>
      </c>
      <c r="BK718" t="s">
        <v>119</v>
      </c>
      <c r="BL718" t="s">
        <v>13664</v>
      </c>
      <c r="BM718" t="s">
        <v>13665</v>
      </c>
      <c r="BN718">
        <v>37548073</v>
      </c>
      <c r="BO718" t="s">
        <v>74</v>
      </c>
      <c r="BP718" t="s">
        <v>74</v>
      </c>
      <c r="BQ718" t="s">
        <v>74</v>
      </c>
      <c r="BR718" t="s">
        <v>99</v>
      </c>
      <c r="BS718" t="s">
        <v>13666</v>
      </c>
      <c r="BT718" t="str">
        <f>HYPERLINK("https%3A%2F%2Fwww.webofscience.com%2Fwos%2Fwoscc%2Ffull-record%2FWOS:001043658000001","View Full Record in Web of Science")</f>
        <v>View Full Record in Web of Science</v>
      </c>
    </row>
    <row r="719" spans="1:72" x14ac:dyDescent="0.15">
      <c r="A719" t="s">
        <v>72</v>
      </c>
      <c r="B719" t="s">
        <v>13667</v>
      </c>
      <c r="C719" t="s">
        <v>74</v>
      </c>
      <c r="D719" t="s">
        <v>74</v>
      </c>
      <c r="E719" t="s">
        <v>74</v>
      </c>
      <c r="F719" t="s">
        <v>13668</v>
      </c>
      <c r="G719" t="s">
        <v>74</v>
      </c>
      <c r="H719" t="s">
        <v>74</v>
      </c>
      <c r="I719" t="s">
        <v>13669</v>
      </c>
      <c r="J719" t="s">
        <v>13670</v>
      </c>
      <c r="K719" t="s">
        <v>74</v>
      </c>
      <c r="L719" t="s">
        <v>74</v>
      </c>
      <c r="M719" t="s">
        <v>78</v>
      </c>
      <c r="N719" t="s">
        <v>338</v>
      </c>
      <c r="O719" t="s">
        <v>74</v>
      </c>
      <c r="P719" t="s">
        <v>74</v>
      </c>
      <c r="Q719" t="s">
        <v>74</v>
      </c>
      <c r="R719" t="s">
        <v>74</v>
      </c>
      <c r="S719" t="s">
        <v>74</v>
      </c>
      <c r="T719" t="s">
        <v>74</v>
      </c>
      <c r="U719" t="s">
        <v>13671</v>
      </c>
      <c r="V719" t="s">
        <v>13672</v>
      </c>
      <c r="W719" t="s">
        <v>13673</v>
      </c>
      <c r="X719" t="s">
        <v>13674</v>
      </c>
      <c r="Y719" t="s">
        <v>13675</v>
      </c>
      <c r="Z719" t="s">
        <v>13676</v>
      </c>
      <c r="AA719" t="s">
        <v>74</v>
      </c>
      <c r="AB719" t="s">
        <v>74</v>
      </c>
      <c r="AC719" t="s">
        <v>13677</v>
      </c>
      <c r="AD719" t="s">
        <v>13678</v>
      </c>
      <c r="AE719" t="s">
        <v>13679</v>
      </c>
      <c r="AF719" t="s">
        <v>74</v>
      </c>
      <c r="AG719">
        <v>38</v>
      </c>
      <c r="AH719">
        <v>0</v>
      </c>
      <c r="AI719">
        <v>0</v>
      </c>
      <c r="AJ719">
        <v>4</v>
      </c>
      <c r="AK719">
        <v>4</v>
      </c>
      <c r="AL719" t="s">
        <v>87</v>
      </c>
      <c r="AM719" t="s">
        <v>88</v>
      </c>
      <c r="AN719" t="s">
        <v>89</v>
      </c>
      <c r="AO719" t="s">
        <v>13680</v>
      </c>
      <c r="AP719" t="s">
        <v>13681</v>
      </c>
      <c r="AQ719" t="s">
        <v>74</v>
      </c>
      <c r="AR719" t="s">
        <v>13682</v>
      </c>
      <c r="AS719" t="s">
        <v>13683</v>
      </c>
      <c r="AT719" t="s">
        <v>13584</v>
      </c>
      <c r="AU719">
        <v>2023</v>
      </c>
      <c r="AV719" t="s">
        <v>74</v>
      </c>
      <c r="AW719" t="s">
        <v>74</v>
      </c>
      <c r="AX719" t="s">
        <v>74</v>
      </c>
      <c r="AY719" t="s">
        <v>74</v>
      </c>
      <c r="AZ719" t="s">
        <v>74</v>
      </c>
      <c r="BA719" t="s">
        <v>74</v>
      </c>
      <c r="BB719" t="s">
        <v>74</v>
      </c>
      <c r="BC719" t="s">
        <v>74</v>
      </c>
      <c r="BD719" t="s">
        <v>74</v>
      </c>
      <c r="BE719" t="s">
        <v>13684</v>
      </c>
      <c r="BF719" t="str">
        <f>HYPERLINK("http://dx.doi.org/10.1002/jhet.4721","http://dx.doi.org/10.1002/jhet.4721")</f>
        <v>http://dx.doi.org/10.1002/jhet.4721</v>
      </c>
      <c r="BG719" t="s">
        <v>74</v>
      </c>
      <c r="BH719" t="s">
        <v>7524</v>
      </c>
      <c r="BI719">
        <v>6</v>
      </c>
      <c r="BJ719" t="s">
        <v>743</v>
      </c>
      <c r="BK719" t="s">
        <v>119</v>
      </c>
      <c r="BL719" t="s">
        <v>524</v>
      </c>
      <c r="BM719" t="s">
        <v>13685</v>
      </c>
      <c r="BN719" t="s">
        <v>74</v>
      </c>
      <c r="BO719" t="s">
        <v>74</v>
      </c>
      <c r="BP719" t="s">
        <v>74</v>
      </c>
      <c r="BQ719" t="s">
        <v>74</v>
      </c>
      <c r="BR719" t="s">
        <v>99</v>
      </c>
      <c r="BS719" t="s">
        <v>13686</v>
      </c>
      <c r="BT719" t="str">
        <f>HYPERLINK("https%3A%2F%2Fwww.webofscience.com%2Fwos%2Fwoscc%2Ffull-record%2FWOS:001043551200001","View Full Record in Web of Science")</f>
        <v>View Full Record in Web of Science</v>
      </c>
    </row>
    <row r="720" spans="1:72" x14ac:dyDescent="0.15">
      <c r="A720" t="s">
        <v>72</v>
      </c>
      <c r="B720" t="s">
        <v>13687</v>
      </c>
      <c r="C720" t="s">
        <v>74</v>
      </c>
      <c r="D720" t="s">
        <v>74</v>
      </c>
      <c r="E720" t="s">
        <v>74</v>
      </c>
      <c r="F720" t="s">
        <v>13688</v>
      </c>
      <c r="G720" t="s">
        <v>74</v>
      </c>
      <c r="H720" t="s">
        <v>74</v>
      </c>
      <c r="I720" t="s">
        <v>13689</v>
      </c>
      <c r="J720" t="s">
        <v>1734</v>
      </c>
      <c r="K720" t="s">
        <v>74</v>
      </c>
      <c r="L720" t="s">
        <v>74</v>
      </c>
      <c r="M720" t="s">
        <v>78</v>
      </c>
      <c r="N720" t="s">
        <v>338</v>
      </c>
      <c r="O720" t="s">
        <v>74</v>
      </c>
      <c r="P720" t="s">
        <v>74</v>
      </c>
      <c r="Q720" t="s">
        <v>74</v>
      </c>
      <c r="R720" t="s">
        <v>74</v>
      </c>
      <c r="S720" t="s">
        <v>74</v>
      </c>
      <c r="T720" t="s">
        <v>13690</v>
      </c>
      <c r="U720" t="s">
        <v>13691</v>
      </c>
      <c r="V720" t="s">
        <v>13692</v>
      </c>
      <c r="W720" t="s">
        <v>13693</v>
      </c>
      <c r="X720" t="s">
        <v>13694</v>
      </c>
      <c r="Y720" t="s">
        <v>13695</v>
      </c>
      <c r="Z720" t="s">
        <v>13696</v>
      </c>
      <c r="AA720" t="s">
        <v>74</v>
      </c>
      <c r="AB720" t="s">
        <v>13697</v>
      </c>
      <c r="AC720" t="s">
        <v>13698</v>
      </c>
      <c r="AD720" t="s">
        <v>13699</v>
      </c>
      <c r="AE720" t="s">
        <v>13700</v>
      </c>
      <c r="AF720" t="s">
        <v>74</v>
      </c>
      <c r="AG720">
        <v>49</v>
      </c>
      <c r="AH720">
        <v>0</v>
      </c>
      <c r="AI720">
        <v>0</v>
      </c>
      <c r="AJ720">
        <v>2</v>
      </c>
      <c r="AK720">
        <v>2</v>
      </c>
      <c r="AL720" t="s">
        <v>87</v>
      </c>
      <c r="AM720" t="s">
        <v>88</v>
      </c>
      <c r="AN720" t="s">
        <v>89</v>
      </c>
      <c r="AO720" t="s">
        <v>1746</v>
      </c>
      <c r="AP720" t="s">
        <v>1747</v>
      </c>
      <c r="AQ720" t="s">
        <v>74</v>
      </c>
      <c r="AR720" t="s">
        <v>1748</v>
      </c>
      <c r="AS720" t="s">
        <v>1749</v>
      </c>
      <c r="AT720" t="s">
        <v>13584</v>
      </c>
      <c r="AU720">
        <v>2023</v>
      </c>
      <c r="AV720" t="s">
        <v>74</v>
      </c>
      <c r="AW720" t="s">
        <v>74</v>
      </c>
      <c r="AX720" t="s">
        <v>74</v>
      </c>
      <c r="AY720" t="s">
        <v>74</v>
      </c>
      <c r="AZ720" t="s">
        <v>74</v>
      </c>
      <c r="BA720" t="s">
        <v>74</v>
      </c>
      <c r="BB720" t="s">
        <v>74</v>
      </c>
      <c r="BC720" t="s">
        <v>74</v>
      </c>
      <c r="BD720" t="s">
        <v>74</v>
      </c>
      <c r="BE720" t="s">
        <v>13701</v>
      </c>
      <c r="BF720" t="str">
        <f>HYPERLINK("http://dx.doi.org/10.1111/nph.19182","http://dx.doi.org/10.1111/nph.19182")</f>
        <v>http://dx.doi.org/10.1111/nph.19182</v>
      </c>
      <c r="BG720" t="s">
        <v>74</v>
      </c>
      <c r="BH720" t="s">
        <v>7524</v>
      </c>
      <c r="BI720">
        <v>13</v>
      </c>
      <c r="BJ720" t="s">
        <v>1751</v>
      </c>
      <c r="BK720" t="s">
        <v>119</v>
      </c>
      <c r="BL720" t="s">
        <v>1751</v>
      </c>
      <c r="BM720" t="s">
        <v>13702</v>
      </c>
      <c r="BN720">
        <v>37547977</v>
      </c>
      <c r="BO720" t="s">
        <v>122</v>
      </c>
      <c r="BP720" t="s">
        <v>74</v>
      </c>
      <c r="BQ720" t="s">
        <v>74</v>
      </c>
      <c r="BR720" t="s">
        <v>99</v>
      </c>
      <c r="BS720" t="s">
        <v>13703</v>
      </c>
      <c r="BT720" t="str">
        <f>HYPERLINK("https%3A%2F%2Fwww.webofscience.com%2Fwos%2Fwoscc%2Ffull-record%2FWOS:001043118100001","View Full Record in Web of Science")</f>
        <v>View Full Record in Web of Science</v>
      </c>
    </row>
    <row r="721" spans="1:72" x14ac:dyDescent="0.15">
      <c r="A721" t="s">
        <v>72</v>
      </c>
      <c r="B721" t="s">
        <v>13704</v>
      </c>
      <c r="C721" t="s">
        <v>74</v>
      </c>
      <c r="D721" t="s">
        <v>74</v>
      </c>
      <c r="E721" t="s">
        <v>74</v>
      </c>
      <c r="F721" t="s">
        <v>13705</v>
      </c>
      <c r="G721" t="s">
        <v>74</v>
      </c>
      <c r="H721" t="s">
        <v>74</v>
      </c>
      <c r="I721" t="s">
        <v>13706</v>
      </c>
      <c r="J721" t="s">
        <v>1773</v>
      </c>
      <c r="K721" t="s">
        <v>74</v>
      </c>
      <c r="L721" t="s">
        <v>74</v>
      </c>
      <c r="M721" t="s">
        <v>78</v>
      </c>
      <c r="N721" t="s">
        <v>338</v>
      </c>
      <c r="O721" t="s">
        <v>74</v>
      </c>
      <c r="P721" t="s">
        <v>74</v>
      </c>
      <c r="Q721" t="s">
        <v>74</v>
      </c>
      <c r="R721" t="s">
        <v>74</v>
      </c>
      <c r="S721" t="s">
        <v>74</v>
      </c>
      <c r="T721" t="s">
        <v>13707</v>
      </c>
      <c r="U721" t="s">
        <v>74</v>
      </c>
      <c r="V721" t="s">
        <v>13708</v>
      </c>
      <c r="W721" t="s">
        <v>13709</v>
      </c>
      <c r="X721" t="s">
        <v>13710</v>
      </c>
      <c r="Y721" t="s">
        <v>13711</v>
      </c>
      <c r="Z721" t="s">
        <v>13712</v>
      </c>
      <c r="AA721" t="s">
        <v>13713</v>
      </c>
      <c r="AB721" t="s">
        <v>74</v>
      </c>
      <c r="AC721" t="s">
        <v>13714</v>
      </c>
      <c r="AD721" t="s">
        <v>13715</v>
      </c>
      <c r="AE721" t="s">
        <v>13716</v>
      </c>
      <c r="AF721" t="s">
        <v>74</v>
      </c>
      <c r="AG721">
        <v>34</v>
      </c>
      <c r="AH721">
        <v>2</v>
      </c>
      <c r="AI721">
        <v>2</v>
      </c>
      <c r="AJ721">
        <v>110</v>
      </c>
      <c r="AK721">
        <v>110</v>
      </c>
      <c r="AL721" t="s">
        <v>426</v>
      </c>
      <c r="AM721" t="s">
        <v>427</v>
      </c>
      <c r="AN721" t="s">
        <v>428</v>
      </c>
      <c r="AO721" t="s">
        <v>1785</v>
      </c>
      <c r="AP721" t="s">
        <v>1786</v>
      </c>
      <c r="AQ721" t="s">
        <v>74</v>
      </c>
      <c r="AR721" t="s">
        <v>1787</v>
      </c>
      <c r="AS721" t="s">
        <v>1788</v>
      </c>
      <c r="AT721" t="s">
        <v>13584</v>
      </c>
      <c r="AU721">
        <v>2023</v>
      </c>
      <c r="AV721" t="s">
        <v>74</v>
      </c>
      <c r="AW721" t="s">
        <v>74</v>
      </c>
      <c r="AX721" t="s">
        <v>74</v>
      </c>
      <c r="AY721" t="s">
        <v>74</v>
      </c>
      <c r="AZ721" t="s">
        <v>74</v>
      </c>
      <c r="BA721" t="s">
        <v>74</v>
      </c>
      <c r="BB721" t="s">
        <v>74</v>
      </c>
      <c r="BC721" t="s">
        <v>74</v>
      </c>
      <c r="BD721" t="s">
        <v>74</v>
      </c>
      <c r="BE721" t="s">
        <v>13717</v>
      </c>
      <c r="BF721" t="str">
        <f>HYPERLINK("http://dx.doi.org/10.1002/adma.202303732","http://dx.doi.org/10.1002/adma.202303732")</f>
        <v>http://dx.doi.org/10.1002/adma.202303732</v>
      </c>
      <c r="BG721" t="s">
        <v>74</v>
      </c>
      <c r="BH721" t="s">
        <v>7524</v>
      </c>
      <c r="BI721">
        <v>10</v>
      </c>
      <c r="BJ721" t="s">
        <v>609</v>
      </c>
      <c r="BK721" t="s">
        <v>119</v>
      </c>
      <c r="BL721" t="s">
        <v>610</v>
      </c>
      <c r="BM721" t="s">
        <v>13718</v>
      </c>
      <c r="BN721">
        <v>37358064</v>
      </c>
      <c r="BO721" t="s">
        <v>74</v>
      </c>
      <c r="BP721" t="s">
        <v>74</v>
      </c>
      <c r="BQ721" t="s">
        <v>74</v>
      </c>
      <c r="BR721" t="s">
        <v>99</v>
      </c>
      <c r="BS721" t="s">
        <v>13719</v>
      </c>
      <c r="BT721" t="str">
        <f>HYPERLINK("https%3A%2F%2Fwww.webofscience.com%2Fwos%2Fwoscc%2Ffull-record%2FWOS:001042191300001","View Full Record in Web of Science")</f>
        <v>View Full Record in Web of Science</v>
      </c>
    </row>
    <row r="722" spans="1:72" x14ac:dyDescent="0.15">
      <c r="A722" t="s">
        <v>72</v>
      </c>
      <c r="B722" t="s">
        <v>13720</v>
      </c>
      <c r="C722" t="s">
        <v>74</v>
      </c>
      <c r="D722" t="s">
        <v>74</v>
      </c>
      <c r="E722" t="s">
        <v>74</v>
      </c>
      <c r="F722" t="s">
        <v>13721</v>
      </c>
      <c r="G722" t="s">
        <v>74</v>
      </c>
      <c r="H722" t="s">
        <v>74</v>
      </c>
      <c r="I722" t="s">
        <v>13722</v>
      </c>
      <c r="J722" t="s">
        <v>11512</v>
      </c>
      <c r="K722" t="s">
        <v>74</v>
      </c>
      <c r="L722" t="s">
        <v>74</v>
      </c>
      <c r="M722" t="s">
        <v>78</v>
      </c>
      <c r="N722" t="s">
        <v>338</v>
      </c>
      <c r="O722" t="s">
        <v>74</v>
      </c>
      <c r="P722" t="s">
        <v>74</v>
      </c>
      <c r="Q722" t="s">
        <v>74</v>
      </c>
      <c r="R722" t="s">
        <v>74</v>
      </c>
      <c r="S722" t="s">
        <v>74</v>
      </c>
      <c r="T722" t="s">
        <v>13723</v>
      </c>
      <c r="U722" t="s">
        <v>13724</v>
      </c>
      <c r="V722" t="s">
        <v>13725</v>
      </c>
      <c r="W722" t="s">
        <v>13726</v>
      </c>
      <c r="X722" t="s">
        <v>13727</v>
      </c>
      <c r="Y722" t="s">
        <v>13728</v>
      </c>
      <c r="Z722" t="s">
        <v>13729</v>
      </c>
      <c r="AA722" t="s">
        <v>74</v>
      </c>
      <c r="AB722" t="s">
        <v>74</v>
      </c>
      <c r="AC722" t="s">
        <v>13730</v>
      </c>
      <c r="AD722" t="s">
        <v>13731</v>
      </c>
      <c r="AE722" t="s">
        <v>13732</v>
      </c>
      <c r="AF722" t="s">
        <v>74</v>
      </c>
      <c r="AG722">
        <v>48</v>
      </c>
      <c r="AH722">
        <v>0</v>
      </c>
      <c r="AI722">
        <v>0</v>
      </c>
      <c r="AJ722">
        <v>1</v>
      </c>
      <c r="AK722">
        <v>1</v>
      </c>
      <c r="AL722" t="s">
        <v>87</v>
      </c>
      <c r="AM722" t="s">
        <v>88</v>
      </c>
      <c r="AN722" t="s">
        <v>89</v>
      </c>
      <c r="AO722" t="s">
        <v>11522</v>
      </c>
      <c r="AP722" t="s">
        <v>11523</v>
      </c>
      <c r="AQ722" t="s">
        <v>74</v>
      </c>
      <c r="AR722" t="s">
        <v>11524</v>
      </c>
      <c r="AS722" t="s">
        <v>11525</v>
      </c>
      <c r="AT722" t="s">
        <v>13584</v>
      </c>
      <c r="AU722">
        <v>2023</v>
      </c>
      <c r="AV722" t="s">
        <v>74</v>
      </c>
      <c r="AW722" t="s">
        <v>74</v>
      </c>
      <c r="AX722" t="s">
        <v>74</v>
      </c>
      <c r="AY722" t="s">
        <v>74</v>
      </c>
      <c r="AZ722" t="s">
        <v>74</v>
      </c>
      <c r="BA722" t="s">
        <v>74</v>
      </c>
      <c r="BB722" t="s">
        <v>74</v>
      </c>
      <c r="BC722" t="s">
        <v>74</v>
      </c>
      <c r="BD722" t="s">
        <v>74</v>
      </c>
      <c r="BE722" t="s">
        <v>13733</v>
      </c>
      <c r="BF722" t="str">
        <f>HYPERLINK("http://dx.doi.org/10.1049/itr2.12403","http://dx.doi.org/10.1049/itr2.12403")</f>
        <v>http://dx.doi.org/10.1049/itr2.12403</v>
      </c>
      <c r="BG722" t="s">
        <v>74</v>
      </c>
      <c r="BH722" t="s">
        <v>7524</v>
      </c>
      <c r="BI722">
        <v>16</v>
      </c>
      <c r="BJ722" t="s">
        <v>11527</v>
      </c>
      <c r="BK722" t="s">
        <v>119</v>
      </c>
      <c r="BL722" t="s">
        <v>11528</v>
      </c>
      <c r="BM722" t="s">
        <v>13734</v>
      </c>
      <c r="BN722" t="s">
        <v>74</v>
      </c>
      <c r="BO722" t="s">
        <v>234</v>
      </c>
      <c r="BP722" t="s">
        <v>74</v>
      </c>
      <c r="BQ722" t="s">
        <v>74</v>
      </c>
      <c r="BR722" t="s">
        <v>99</v>
      </c>
      <c r="BS722" t="s">
        <v>13735</v>
      </c>
      <c r="BT722" t="str">
        <f>HYPERLINK("https%3A%2F%2Fwww.webofscience.com%2Fwos%2Fwoscc%2Ffull-record%2FWOS:001043119100001","View Full Record in Web of Science")</f>
        <v>View Full Record in Web of Science</v>
      </c>
    </row>
    <row r="723" spans="1:72" x14ac:dyDescent="0.15">
      <c r="A723" t="s">
        <v>72</v>
      </c>
      <c r="B723" t="s">
        <v>13736</v>
      </c>
      <c r="C723" t="s">
        <v>74</v>
      </c>
      <c r="D723" t="s">
        <v>74</v>
      </c>
      <c r="E723" t="s">
        <v>74</v>
      </c>
      <c r="F723" t="s">
        <v>13737</v>
      </c>
      <c r="G723" t="s">
        <v>74</v>
      </c>
      <c r="H723" t="s">
        <v>74</v>
      </c>
      <c r="I723" t="s">
        <v>13738</v>
      </c>
      <c r="J723" t="s">
        <v>13739</v>
      </c>
      <c r="K723" t="s">
        <v>74</v>
      </c>
      <c r="L723" t="s">
        <v>74</v>
      </c>
      <c r="M723" t="s">
        <v>78</v>
      </c>
      <c r="N723" t="s">
        <v>338</v>
      </c>
      <c r="O723" t="s">
        <v>74</v>
      </c>
      <c r="P723" t="s">
        <v>74</v>
      </c>
      <c r="Q723" t="s">
        <v>74</v>
      </c>
      <c r="R723" t="s">
        <v>74</v>
      </c>
      <c r="S723" t="s">
        <v>74</v>
      </c>
      <c r="T723" t="s">
        <v>13740</v>
      </c>
      <c r="U723" t="s">
        <v>13741</v>
      </c>
      <c r="V723" t="s">
        <v>13742</v>
      </c>
      <c r="W723" t="s">
        <v>13743</v>
      </c>
      <c r="X723" t="s">
        <v>13744</v>
      </c>
      <c r="Y723" t="s">
        <v>13745</v>
      </c>
      <c r="Z723" t="s">
        <v>13746</v>
      </c>
      <c r="AA723" t="s">
        <v>74</v>
      </c>
      <c r="AB723" t="s">
        <v>13747</v>
      </c>
      <c r="AC723" t="s">
        <v>74</v>
      </c>
      <c r="AD723" t="s">
        <v>74</v>
      </c>
      <c r="AE723" t="s">
        <v>74</v>
      </c>
      <c r="AF723" t="s">
        <v>74</v>
      </c>
      <c r="AG723">
        <v>47</v>
      </c>
      <c r="AH723">
        <v>0</v>
      </c>
      <c r="AI723">
        <v>0</v>
      </c>
      <c r="AJ723">
        <v>0</v>
      </c>
      <c r="AK723">
        <v>0</v>
      </c>
      <c r="AL723" t="s">
        <v>87</v>
      </c>
      <c r="AM723" t="s">
        <v>88</v>
      </c>
      <c r="AN723" t="s">
        <v>89</v>
      </c>
      <c r="AO723" t="s">
        <v>13748</v>
      </c>
      <c r="AP723" t="s">
        <v>13749</v>
      </c>
      <c r="AQ723" t="s">
        <v>74</v>
      </c>
      <c r="AR723" t="s">
        <v>13750</v>
      </c>
      <c r="AS723" t="s">
        <v>13751</v>
      </c>
      <c r="AT723" t="s">
        <v>13584</v>
      </c>
      <c r="AU723">
        <v>2023</v>
      </c>
      <c r="AV723" t="s">
        <v>74</v>
      </c>
      <c r="AW723" t="s">
        <v>74</v>
      </c>
      <c r="AX723" t="s">
        <v>74</v>
      </c>
      <c r="AY723" t="s">
        <v>74</v>
      </c>
      <c r="AZ723" t="s">
        <v>74</v>
      </c>
      <c r="BA723" t="s">
        <v>74</v>
      </c>
      <c r="BB723" t="s">
        <v>74</v>
      </c>
      <c r="BC723" t="s">
        <v>74</v>
      </c>
      <c r="BD723" t="s">
        <v>74</v>
      </c>
      <c r="BE723" t="s">
        <v>13752</v>
      </c>
      <c r="BF723" t="str">
        <f>HYPERLINK("http://dx.doi.org/10.1111/1467-9566.13701","http://dx.doi.org/10.1111/1467-9566.13701")</f>
        <v>http://dx.doi.org/10.1111/1467-9566.13701</v>
      </c>
      <c r="BG723" t="s">
        <v>74</v>
      </c>
      <c r="BH723" t="s">
        <v>7524</v>
      </c>
      <c r="BI723">
        <v>19</v>
      </c>
      <c r="BJ723" t="s">
        <v>13753</v>
      </c>
      <c r="BK723" t="s">
        <v>546</v>
      </c>
      <c r="BL723" t="s">
        <v>13754</v>
      </c>
      <c r="BM723" t="s">
        <v>13755</v>
      </c>
      <c r="BN723">
        <v>37550844</v>
      </c>
      <c r="BO723" t="s">
        <v>122</v>
      </c>
      <c r="BP723" t="s">
        <v>74</v>
      </c>
      <c r="BQ723" t="s">
        <v>74</v>
      </c>
      <c r="BR723" t="s">
        <v>99</v>
      </c>
      <c r="BS723" t="s">
        <v>13756</v>
      </c>
      <c r="BT723" t="str">
        <f>HYPERLINK("https%3A%2F%2Fwww.webofscience.com%2Fwos%2Fwoscc%2Ffull-record%2FWOS:001042432300001","View Full Record in Web of Science")</f>
        <v>View Full Record in Web of Science</v>
      </c>
    </row>
    <row r="724" spans="1:72" x14ac:dyDescent="0.15">
      <c r="A724" t="s">
        <v>72</v>
      </c>
      <c r="B724" t="s">
        <v>13757</v>
      </c>
      <c r="C724" t="s">
        <v>74</v>
      </c>
      <c r="D724" t="s">
        <v>74</v>
      </c>
      <c r="E724" t="s">
        <v>74</v>
      </c>
      <c r="F724" t="s">
        <v>13758</v>
      </c>
      <c r="G724" t="s">
        <v>74</v>
      </c>
      <c r="H724" t="s">
        <v>74</v>
      </c>
      <c r="I724" t="s">
        <v>13759</v>
      </c>
      <c r="J724" t="s">
        <v>2806</v>
      </c>
      <c r="K724" t="s">
        <v>74</v>
      </c>
      <c r="L724" t="s">
        <v>74</v>
      </c>
      <c r="M724" t="s">
        <v>78</v>
      </c>
      <c r="N724" t="s">
        <v>338</v>
      </c>
      <c r="O724" t="s">
        <v>74</v>
      </c>
      <c r="P724" t="s">
        <v>74</v>
      </c>
      <c r="Q724" t="s">
        <v>74</v>
      </c>
      <c r="R724" t="s">
        <v>74</v>
      </c>
      <c r="S724" t="s">
        <v>74</v>
      </c>
      <c r="T724" t="s">
        <v>13760</v>
      </c>
      <c r="U724" t="s">
        <v>74</v>
      </c>
      <c r="V724" t="s">
        <v>13761</v>
      </c>
      <c r="W724" t="s">
        <v>13762</v>
      </c>
      <c r="X724" t="s">
        <v>13763</v>
      </c>
      <c r="Y724" t="s">
        <v>13764</v>
      </c>
      <c r="Z724" t="s">
        <v>13765</v>
      </c>
      <c r="AA724" t="s">
        <v>74</v>
      </c>
      <c r="AB724" t="s">
        <v>74</v>
      </c>
      <c r="AC724" t="s">
        <v>13766</v>
      </c>
      <c r="AD724" t="s">
        <v>13767</v>
      </c>
      <c r="AE724" t="s">
        <v>13768</v>
      </c>
      <c r="AF724" t="s">
        <v>74</v>
      </c>
      <c r="AG724">
        <v>40</v>
      </c>
      <c r="AH724">
        <v>0</v>
      </c>
      <c r="AI724">
        <v>0</v>
      </c>
      <c r="AJ724">
        <v>3</v>
      </c>
      <c r="AK724">
        <v>3</v>
      </c>
      <c r="AL724" t="s">
        <v>87</v>
      </c>
      <c r="AM724" t="s">
        <v>88</v>
      </c>
      <c r="AN724" t="s">
        <v>89</v>
      </c>
      <c r="AO724" t="s">
        <v>2816</v>
      </c>
      <c r="AP724" t="s">
        <v>2817</v>
      </c>
      <c r="AQ724" t="s">
        <v>74</v>
      </c>
      <c r="AR724" t="s">
        <v>2818</v>
      </c>
      <c r="AS724" t="s">
        <v>2819</v>
      </c>
      <c r="AT724" t="s">
        <v>13584</v>
      </c>
      <c r="AU724">
        <v>2023</v>
      </c>
      <c r="AV724" t="s">
        <v>74</v>
      </c>
      <c r="AW724" t="s">
        <v>74</v>
      </c>
      <c r="AX724" t="s">
        <v>74</v>
      </c>
      <c r="AY724" t="s">
        <v>74</v>
      </c>
      <c r="AZ724" t="s">
        <v>74</v>
      </c>
      <c r="BA724" t="s">
        <v>74</v>
      </c>
      <c r="BB724" t="s">
        <v>74</v>
      </c>
      <c r="BC724" t="s">
        <v>74</v>
      </c>
      <c r="BD724" t="s">
        <v>74</v>
      </c>
      <c r="BE724" t="s">
        <v>13769</v>
      </c>
      <c r="BF724" t="str">
        <f>HYPERLINK("http://dx.doi.org/10.1049/ipr2.12903","http://dx.doi.org/10.1049/ipr2.12903")</f>
        <v>http://dx.doi.org/10.1049/ipr2.12903</v>
      </c>
      <c r="BG724" t="s">
        <v>74</v>
      </c>
      <c r="BH724" t="s">
        <v>7524</v>
      </c>
      <c r="BI724">
        <v>15</v>
      </c>
      <c r="BJ724" t="s">
        <v>2821</v>
      </c>
      <c r="BK724" t="s">
        <v>119</v>
      </c>
      <c r="BL724" t="s">
        <v>2822</v>
      </c>
      <c r="BM724" t="s">
        <v>13770</v>
      </c>
      <c r="BN724" t="s">
        <v>74</v>
      </c>
      <c r="BO724" t="s">
        <v>234</v>
      </c>
      <c r="BP724" t="s">
        <v>74</v>
      </c>
      <c r="BQ724" t="s">
        <v>74</v>
      </c>
      <c r="BR724" t="s">
        <v>99</v>
      </c>
      <c r="BS724" t="s">
        <v>13771</v>
      </c>
      <c r="BT724" t="str">
        <f>HYPERLINK("https%3A%2F%2Fwww.webofscience.com%2Fwos%2Fwoscc%2Ffull-record%2FWOS:001043252100001","View Full Record in Web of Science")</f>
        <v>View Full Record in Web of Science</v>
      </c>
    </row>
    <row r="725" spans="1:72" x14ac:dyDescent="0.15">
      <c r="A725" t="s">
        <v>72</v>
      </c>
      <c r="B725" t="s">
        <v>13772</v>
      </c>
      <c r="C725" t="s">
        <v>74</v>
      </c>
      <c r="D725" t="s">
        <v>74</v>
      </c>
      <c r="E725" t="s">
        <v>74</v>
      </c>
      <c r="F725" t="s">
        <v>13773</v>
      </c>
      <c r="G725" t="s">
        <v>74</v>
      </c>
      <c r="H725" t="s">
        <v>74</v>
      </c>
      <c r="I725" t="s">
        <v>13774</v>
      </c>
      <c r="J725" t="s">
        <v>4428</v>
      </c>
      <c r="K725" t="s">
        <v>74</v>
      </c>
      <c r="L725" t="s">
        <v>74</v>
      </c>
      <c r="M725" t="s">
        <v>78</v>
      </c>
      <c r="N725" t="s">
        <v>338</v>
      </c>
      <c r="O725" t="s">
        <v>74</v>
      </c>
      <c r="P725" t="s">
        <v>74</v>
      </c>
      <c r="Q725" t="s">
        <v>74</v>
      </c>
      <c r="R725" t="s">
        <v>74</v>
      </c>
      <c r="S725" t="s">
        <v>74</v>
      </c>
      <c r="T725" t="s">
        <v>13775</v>
      </c>
      <c r="U725" t="s">
        <v>13776</v>
      </c>
      <c r="V725" t="s">
        <v>13777</v>
      </c>
      <c r="W725" t="s">
        <v>13778</v>
      </c>
      <c r="X725" t="s">
        <v>13779</v>
      </c>
      <c r="Y725" t="s">
        <v>13780</v>
      </c>
      <c r="Z725" t="s">
        <v>13781</v>
      </c>
      <c r="AA725" t="s">
        <v>13782</v>
      </c>
      <c r="AB725" t="s">
        <v>13783</v>
      </c>
      <c r="AC725" t="s">
        <v>13784</v>
      </c>
      <c r="AD725" t="s">
        <v>13785</v>
      </c>
      <c r="AE725" t="s">
        <v>13786</v>
      </c>
      <c r="AF725" t="s">
        <v>74</v>
      </c>
      <c r="AG725">
        <v>86</v>
      </c>
      <c r="AH725">
        <v>0</v>
      </c>
      <c r="AI725">
        <v>0</v>
      </c>
      <c r="AJ725">
        <v>5</v>
      </c>
      <c r="AK725">
        <v>5</v>
      </c>
      <c r="AL725" t="s">
        <v>87</v>
      </c>
      <c r="AM725" t="s">
        <v>88</v>
      </c>
      <c r="AN725" t="s">
        <v>89</v>
      </c>
      <c r="AO725" t="s">
        <v>74</v>
      </c>
      <c r="AP725" t="s">
        <v>4436</v>
      </c>
      <c r="AQ725" t="s">
        <v>74</v>
      </c>
      <c r="AR725" t="s">
        <v>4437</v>
      </c>
      <c r="AS725" t="s">
        <v>4438</v>
      </c>
      <c r="AT725" t="s">
        <v>13584</v>
      </c>
      <c r="AU725">
        <v>2023</v>
      </c>
      <c r="AV725" t="s">
        <v>74</v>
      </c>
      <c r="AW725" t="s">
        <v>74</v>
      </c>
      <c r="AX725" t="s">
        <v>74</v>
      </c>
      <c r="AY725" t="s">
        <v>74</v>
      </c>
      <c r="AZ725" t="s">
        <v>74</v>
      </c>
      <c r="BA725" t="s">
        <v>74</v>
      </c>
      <c r="BB725" t="s">
        <v>74</v>
      </c>
      <c r="BC725" t="s">
        <v>74</v>
      </c>
      <c r="BD725" t="s">
        <v>74</v>
      </c>
      <c r="BE725" t="s">
        <v>13787</v>
      </c>
      <c r="BF725" t="str">
        <f>HYPERLINK("http://dx.doi.org/10.1002/pan3.10524","http://dx.doi.org/10.1002/pan3.10524")</f>
        <v>http://dx.doi.org/10.1002/pan3.10524</v>
      </c>
      <c r="BG725" t="s">
        <v>74</v>
      </c>
      <c r="BH725" t="s">
        <v>7524</v>
      </c>
      <c r="BI725">
        <v>18</v>
      </c>
      <c r="BJ725" t="s">
        <v>765</v>
      </c>
      <c r="BK725" t="s">
        <v>119</v>
      </c>
      <c r="BL725" t="s">
        <v>766</v>
      </c>
      <c r="BM725" t="s">
        <v>13788</v>
      </c>
      <c r="BN725" t="s">
        <v>74</v>
      </c>
      <c r="BO725" t="s">
        <v>13789</v>
      </c>
      <c r="BP725" t="s">
        <v>74</v>
      </c>
      <c r="BQ725" t="s">
        <v>74</v>
      </c>
      <c r="BR725" t="s">
        <v>99</v>
      </c>
      <c r="BS725" t="s">
        <v>13790</v>
      </c>
      <c r="BT725" t="str">
        <f>HYPERLINK("https%3A%2F%2Fwww.webofscience.com%2Fwos%2Fwoscc%2Ffull-record%2FWOS:001043628800001","View Full Record in Web of Science")</f>
        <v>View Full Record in Web of Science</v>
      </c>
    </row>
    <row r="726" spans="1:72" x14ac:dyDescent="0.15">
      <c r="A726" t="s">
        <v>72</v>
      </c>
      <c r="B726" t="s">
        <v>13791</v>
      </c>
      <c r="C726" t="s">
        <v>74</v>
      </c>
      <c r="D726" t="s">
        <v>74</v>
      </c>
      <c r="E726" t="s">
        <v>74</v>
      </c>
      <c r="F726" t="s">
        <v>13792</v>
      </c>
      <c r="G726" t="s">
        <v>74</v>
      </c>
      <c r="H726" t="s">
        <v>74</v>
      </c>
      <c r="I726" t="s">
        <v>13793</v>
      </c>
      <c r="J726" t="s">
        <v>13794</v>
      </c>
      <c r="K726" t="s">
        <v>74</v>
      </c>
      <c r="L726" t="s">
        <v>74</v>
      </c>
      <c r="M726" t="s">
        <v>78</v>
      </c>
      <c r="N726" t="s">
        <v>594</v>
      </c>
      <c r="O726" t="s">
        <v>74</v>
      </c>
      <c r="P726" t="s">
        <v>74</v>
      </c>
      <c r="Q726" t="s">
        <v>74</v>
      </c>
      <c r="R726" t="s">
        <v>74</v>
      </c>
      <c r="S726" t="s">
        <v>74</v>
      </c>
      <c r="T726" t="s">
        <v>13795</v>
      </c>
      <c r="U726" t="s">
        <v>13796</v>
      </c>
      <c r="V726" t="s">
        <v>13797</v>
      </c>
      <c r="W726" t="s">
        <v>13798</v>
      </c>
      <c r="X726" t="s">
        <v>13799</v>
      </c>
      <c r="Y726" t="s">
        <v>13800</v>
      </c>
      <c r="Z726" t="s">
        <v>13801</v>
      </c>
      <c r="AA726" t="s">
        <v>13802</v>
      </c>
      <c r="AB726" t="s">
        <v>13803</v>
      </c>
      <c r="AC726" t="s">
        <v>13804</v>
      </c>
      <c r="AD726" t="s">
        <v>13805</v>
      </c>
      <c r="AE726" t="s">
        <v>13806</v>
      </c>
      <c r="AF726" t="s">
        <v>74</v>
      </c>
      <c r="AG726">
        <v>57</v>
      </c>
      <c r="AH726">
        <v>0</v>
      </c>
      <c r="AI726">
        <v>0</v>
      </c>
      <c r="AJ726">
        <v>0</v>
      </c>
      <c r="AK726">
        <v>0</v>
      </c>
      <c r="AL726" t="s">
        <v>87</v>
      </c>
      <c r="AM726" t="s">
        <v>88</v>
      </c>
      <c r="AN726" t="s">
        <v>89</v>
      </c>
      <c r="AO726" t="s">
        <v>13807</v>
      </c>
      <c r="AP726" t="s">
        <v>13808</v>
      </c>
      <c r="AQ726" t="s">
        <v>74</v>
      </c>
      <c r="AR726" t="s">
        <v>13809</v>
      </c>
      <c r="AS726" t="s">
        <v>13810</v>
      </c>
      <c r="AT726" t="s">
        <v>13584</v>
      </c>
      <c r="AU726">
        <v>2023</v>
      </c>
      <c r="AV726" t="s">
        <v>74</v>
      </c>
      <c r="AW726" t="s">
        <v>74</v>
      </c>
      <c r="AX726" t="s">
        <v>74</v>
      </c>
      <c r="AY726" t="s">
        <v>74</v>
      </c>
      <c r="AZ726" t="s">
        <v>74</v>
      </c>
      <c r="BA726" t="s">
        <v>74</v>
      </c>
      <c r="BB726" t="s">
        <v>74</v>
      </c>
      <c r="BC726" t="s">
        <v>74</v>
      </c>
      <c r="BD726" t="s">
        <v>74</v>
      </c>
      <c r="BE726" t="s">
        <v>13811</v>
      </c>
      <c r="BF726" t="str">
        <f>HYPERLINK("http://dx.doi.org/10.1111/aor.14618","http://dx.doi.org/10.1111/aor.14618")</f>
        <v>http://dx.doi.org/10.1111/aor.14618</v>
      </c>
      <c r="BG726" t="s">
        <v>74</v>
      </c>
      <c r="BH726" t="s">
        <v>7524</v>
      </c>
      <c r="BI726">
        <v>22</v>
      </c>
      <c r="BJ726" t="s">
        <v>13812</v>
      </c>
      <c r="BK726" t="s">
        <v>119</v>
      </c>
      <c r="BL726" t="s">
        <v>13813</v>
      </c>
      <c r="BM726" t="s">
        <v>13814</v>
      </c>
      <c r="BN726">
        <v>37548237</v>
      </c>
      <c r="BO726" t="s">
        <v>122</v>
      </c>
      <c r="BP726" t="s">
        <v>74</v>
      </c>
      <c r="BQ726" t="s">
        <v>74</v>
      </c>
      <c r="BR726" t="s">
        <v>99</v>
      </c>
      <c r="BS726" t="s">
        <v>13815</v>
      </c>
      <c r="BT726" t="str">
        <f>HYPERLINK("https%3A%2F%2Fwww.webofscience.com%2Fwos%2Fwoscc%2Ffull-record%2FWOS:001043162400001","View Full Record in Web of Science")</f>
        <v>View Full Record in Web of Science</v>
      </c>
    </row>
    <row r="727" spans="1:72" x14ac:dyDescent="0.15">
      <c r="A727" t="s">
        <v>72</v>
      </c>
      <c r="B727" t="s">
        <v>13816</v>
      </c>
      <c r="C727" t="s">
        <v>74</v>
      </c>
      <c r="D727" t="s">
        <v>74</v>
      </c>
      <c r="E727" t="s">
        <v>74</v>
      </c>
      <c r="F727" t="s">
        <v>13817</v>
      </c>
      <c r="G727" t="s">
        <v>74</v>
      </c>
      <c r="H727" t="s">
        <v>74</v>
      </c>
      <c r="I727" t="s">
        <v>13818</v>
      </c>
      <c r="J727" t="s">
        <v>875</v>
      </c>
      <c r="K727" t="s">
        <v>74</v>
      </c>
      <c r="L727" t="s">
        <v>74</v>
      </c>
      <c r="M727" t="s">
        <v>78</v>
      </c>
      <c r="N727" t="s">
        <v>338</v>
      </c>
      <c r="O727" t="s">
        <v>74</v>
      </c>
      <c r="P727" t="s">
        <v>74</v>
      </c>
      <c r="Q727" t="s">
        <v>74</v>
      </c>
      <c r="R727" t="s">
        <v>74</v>
      </c>
      <c r="S727" t="s">
        <v>74</v>
      </c>
      <c r="T727" t="s">
        <v>13819</v>
      </c>
      <c r="U727" t="s">
        <v>13820</v>
      </c>
      <c r="V727" t="s">
        <v>13821</v>
      </c>
      <c r="W727" t="s">
        <v>13822</v>
      </c>
      <c r="X727" t="s">
        <v>13823</v>
      </c>
      <c r="Y727" t="s">
        <v>13824</v>
      </c>
      <c r="Z727" t="s">
        <v>13825</v>
      </c>
      <c r="AA727" t="s">
        <v>74</v>
      </c>
      <c r="AB727" t="s">
        <v>13826</v>
      </c>
      <c r="AC727" t="s">
        <v>13827</v>
      </c>
      <c r="AD727" t="s">
        <v>13828</v>
      </c>
      <c r="AE727" t="s">
        <v>13829</v>
      </c>
      <c r="AF727" t="s">
        <v>74</v>
      </c>
      <c r="AG727">
        <v>78</v>
      </c>
      <c r="AH727">
        <v>0</v>
      </c>
      <c r="AI727">
        <v>0</v>
      </c>
      <c r="AJ727">
        <v>22</v>
      </c>
      <c r="AK727">
        <v>22</v>
      </c>
      <c r="AL727" t="s">
        <v>426</v>
      </c>
      <c r="AM727" t="s">
        <v>427</v>
      </c>
      <c r="AN727" t="s">
        <v>428</v>
      </c>
      <c r="AO727" t="s">
        <v>886</v>
      </c>
      <c r="AP727" t="s">
        <v>887</v>
      </c>
      <c r="AQ727" t="s">
        <v>74</v>
      </c>
      <c r="AR727" t="s">
        <v>888</v>
      </c>
      <c r="AS727" t="s">
        <v>889</v>
      </c>
      <c r="AT727" t="s">
        <v>13584</v>
      </c>
      <c r="AU727">
        <v>2023</v>
      </c>
      <c r="AV727" t="s">
        <v>74</v>
      </c>
      <c r="AW727" t="s">
        <v>74</v>
      </c>
      <c r="AX727" t="s">
        <v>74</v>
      </c>
      <c r="AY727" t="s">
        <v>74</v>
      </c>
      <c r="AZ727" t="s">
        <v>74</v>
      </c>
      <c r="BA727" t="s">
        <v>74</v>
      </c>
      <c r="BB727" t="s">
        <v>74</v>
      </c>
      <c r="BC727" t="s">
        <v>74</v>
      </c>
      <c r="BD727" t="s">
        <v>74</v>
      </c>
      <c r="BE727" t="s">
        <v>13830</v>
      </c>
      <c r="BF727" t="str">
        <f>HYPERLINK("http://dx.doi.org/10.1002/adfm.202305012","http://dx.doi.org/10.1002/adfm.202305012")</f>
        <v>http://dx.doi.org/10.1002/adfm.202305012</v>
      </c>
      <c r="BG727" t="s">
        <v>74</v>
      </c>
      <c r="BH727" t="s">
        <v>7524</v>
      </c>
      <c r="BI727">
        <v>17</v>
      </c>
      <c r="BJ727" t="s">
        <v>609</v>
      </c>
      <c r="BK727" t="s">
        <v>119</v>
      </c>
      <c r="BL727" t="s">
        <v>610</v>
      </c>
      <c r="BM727" t="s">
        <v>13831</v>
      </c>
      <c r="BN727" t="s">
        <v>74</v>
      </c>
      <c r="BO727" t="s">
        <v>301</v>
      </c>
      <c r="BP727" t="s">
        <v>74</v>
      </c>
      <c r="BQ727" t="s">
        <v>74</v>
      </c>
      <c r="BR727" t="s">
        <v>99</v>
      </c>
      <c r="BS727" t="s">
        <v>13832</v>
      </c>
      <c r="BT727" t="str">
        <f>HYPERLINK("https%3A%2F%2Fwww.webofscience.com%2Fwos%2Fwoscc%2Ffull-record%2FWOS:001043124800001","View Full Record in Web of Science")</f>
        <v>View Full Record in Web of Science</v>
      </c>
    </row>
    <row r="728" spans="1:72" x14ac:dyDescent="0.15">
      <c r="A728" t="s">
        <v>72</v>
      </c>
      <c r="B728" t="s">
        <v>13833</v>
      </c>
      <c r="C728" t="s">
        <v>74</v>
      </c>
      <c r="D728" t="s">
        <v>74</v>
      </c>
      <c r="E728" t="s">
        <v>74</v>
      </c>
      <c r="F728" t="s">
        <v>13834</v>
      </c>
      <c r="G728" t="s">
        <v>74</v>
      </c>
      <c r="H728" t="s">
        <v>74</v>
      </c>
      <c r="I728" t="s">
        <v>13835</v>
      </c>
      <c r="J728" t="s">
        <v>13836</v>
      </c>
      <c r="K728" t="s">
        <v>74</v>
      </c>
      <c r="L728" t="s">
        <v>74</v>
      </c>
      <c r="M728" t="s">
        <v>78</v>
      </c>
      <c r="N728" t="s">
        <v>338</v>
      </c>
      <c r="O728" t="s">
        <v>74</v>
      </c>
      <c r="P728" t="s">
        <v>74</v>
      </c>
      <c r="Q728" t="s">
        <v>74</v>
      </c>
      <c r="R728" t="s">
        <v>74</v>
      </c>
      <c r="S728" t="s">
        <v>74</v>
      </c>
      <c r="T728" t="s">
        <v>74</v>
      </c>
      <c r="U728" t="s">
        <v>13837</v>
      </c>
      <c r="V728" t="s">
        <v>13838</v>
      </c>
      <c r="W728" t="s">
        <v>13839</v>
      </c>
      <c r="X728" t="s">
        <v>13840</v>
      </c>
      <c r="Y728" t="s">
        <v>13841</v>
      </c>
      <c r="Z728" t="s">
        <v>13842</v>
      </c>
      <c r="AA728" t="s">
        <v>74</v>
      </c>
      <c r="AB728" t="s">
        <v>74</v>
      </c>
      <c r="AC728" t="s">
        <v>13843</v>
      </c>
      <c r="AD728" t="s">
        <v>13844</v>
      </c>
      <c r="AE728" t="s">
        <v>13845</v>
      </c>
      <c r="AF728" t="s">
        <v>74</v>
      </c>
      <c r="AG728">
        <v>40</v>
      </c>
      <c r="AH728">
        <v>0</v>
      </c>
      <c r="AI728">
        <v>0</v>
      </c>
      <c r="AJ728">
        <v>0</v>
      </c>
      <c r="AK728">
        <v>0</v>
      </c>
      <c r="AL728" t="s">
        <v>87</v>
      </c>
      <c r="AM728" t="s">
        <v>88</v>
      </c>
      <c r="AN728" t="s">
        <v>89</v>
      </c>
      <c r="AO728" t="s">
        <v>13846</v>
      </c>
      <c r="AP728" t="s">
        <v>13847</v>
      </c>
      <c r="AQ728" t="s">
        <v>74</v>
      </c>
      <c r="AR728" t="s">
        <v>13848</v>
      </c>
      <c r="AS728" t="s">
        <v>74</v>
      </c>
      <c r="AT728" t="s">
        <v>13584</v>
      </c>
      <c r="AU728">
        <v>2023</v>
      </c>
      <c r="AV728" t="s">
        <v>74</v>
      </c>
      <c r="AW728" t="s">
        <v>74</v>
      </c>
      <c r="AX728" t="s">
        <v>74</v>
      </c>
      <c r="AY728" t="s">
        <v>74</v>
      </c>
      <c r="AZ728" t="s">
        <v>74</v>
      </c>
      <c r="BA728" t="s">
        <v>74</v>
      </c>
      <c r="BB728" t="s">
        <v>74</v>
      </c>
      <c r="BC728" t="s">
        <v>74</v>
      </c>
      <c r="BD728" t="s">
        <v>74</v>
      </c>
      <c r="BE728" t="s">
        <v>13849</v>
      </c>
      <c r="BF728" t="str">
        <f>HYPERLINK("http://dx.doi.org/10.1111/ldrp.12321","http://dx.doi.org/10.1111/ldrp.12321")</f>
        <v>http://dx.doi.org/10.1111/ldrp.12321</v>
      </c>
      <c r="BG728" t="s">
        <v>74</v>
      </c>
      <c r="BH728" t="s">
        <v>7524</v>
      </c>
      <c r="BI728">
        <v>10</v>
      </c>
      <c r="BJ728" t="s">
        <v>13850</v>
      </c>
      <c r="BK728" t="s">
        <v>546</v>
      </c>
      <c r="BL728" t="s">
        <v>13851</v>
      </c>
      <c r="BM728" t="s">
        <v>13852</v>
      </c>
      <c r="BN728" t="s">
        <v>74</v>
      </c>
      <c r="BO728" t="s">
        <v>74</v>
      </c>
      <c r="BP728" t="s">
        <v>74</v>
      </c>
      <c r="BQ728" t="s">
        <v>74</v>
      </c>
      <c r="BR728" t="s">
        <v>99</v>
      </c>
      <c r="BS728" t="s">
        <v>13853</v>
      </c>
      <c r="BT728" t="str">
        <f>HYPERLINK("https%3A%2F%2Fwww.webofscience.com%2Fwos%2Fwoscc%2Ffull-record%2FWOS:001043428900001","View Full Record in Web of Science")</f>
        <v>View Full Record in Web of Science</v>
      </c>
    </row>
    <row r="729" spans="1:72" x14ac:dyDescent="0.15">
      <c r="A729" t="s">
        <v>72</v>
      </c>
      <c r="B729" t="s">
        <v>13854</v>
      </c>
      <c r="C729" t="s">
        <v>74</v>
      </c>
      <c r="D729" t="s">
        <v>74</v>
      </c>
      <c r="E729" t="s">
        <v>74</v>
      </c>
      <c r="F729" t="s">
        <v>13855</v>
      </c>
      <c r="G729" t="s">
        <v>74</v>
      </c>
      <c r="H729" t="s">
        <v>74</v>
      </c>
      <c r="I729" t="s">
        <v>13856</v>
      </c>
      <c r="J729" t="s">
        <v>2600</v>
      </c>
      <c r="K729" t="s">
        <v>74</v>
      </c>
      <c r="L729" t="s">
        <v>74</v>
      </c>
      <c r="M729" t="s">
        <v>78</v>
      </c>
      <c r="N729" t="s">
        <v>338</v>
      </c>
      <c r="O729" t="s">
        <v>74</v>
      </c>
      <c r="P729" t="s">
        <v>74</v>
      </c>
      <c r="Q729" t="s">
        <v>74</v>
      </c>
      <c r="R729" t="s">
        <v>74</v>
      </c>
      <c r="S729" t="s">
        <v>74</v>
      </c>
      <c r="T729" t="s">
        <v>13857</v>
      </c>
      <c r="U729" t="s">
        <v>13858</v>
      </c>
      <c r="V729" t="s">
        <v>13859</v>
      </c>
      <c r="W729" t="s">
        <v>13860</v>
      </c>
      <c r="X729" t="s">
        <v>13861</v>
      </c>
      <c r="Y729" t="s">
        <v>13862</v>
      </c>
      <c r="Z729" t="s">
        <v>13863</v>
      </c>
      <c r="AA729" t="s">
        <v>74</v>
      </c>
      <c r="AB729" t="s">
        <v>13864</v>
      </c>
      <c r="AC729" t="s">
        <v>13865</v>
      </c>
      <c r="AD729" t="s">
        <v>13866</v>
      </c>
      <c r="AE729" t="s">
        <v>13867</v>
      </c>
      <c r="AF729" t="s">
        <v>74</v>
      </c>
      <c r="AG729">
        <v>50</v>
      </c>
      <c r="AH729">
        <v>0</v>
      </c>
      <c r="AI729">
        <v>0</v>
      </c>
      <c r="AJ729">
        <v>1</v>
      </c>
      <c r="AK729">
        <v>1</v>
      </c>
      <c r="AL729" t="s">
        <v>87</v>
      </c>
      <c r="AM729" t="s">
        <v>88</v>
      </c>
      <c r="AN729" t="s">
        <v>89</v>
      </c>
      <c r="AO729" t="s">
        <v>2610</v>
      </c>
      <c r="AP729" t="s">
        <v>2611</v>
      </c>
      <c r="AQ729" t="s">
        <v>74</v>
      </c>
      <c r="AR729" t="s">
        <v>2612</v>
      </c>
      <c r="AS729" t="s">
        <v>2613</v>
      </c>
      <c r="AT729" t="s">
        <v>13584</v>
      </c>
      <c r="AU729">
        <v>2023</v>
      </c>
      <c r="AV729" t="s">
        <v>74</v>
      </c>
      <c r="AW729" t="s">
        <v>74</v>
      </c>
      <c r="AX729" t="s">
        <v>74</v>
      </c>
      <c r="AY729" t="s">
        <v>74</v>
      </c>
      <c r="AZ729" t="s">
        <v>74</v>
      </c>
      <c r="BA729" t="s">
        <v>74</v>
      </c>
      <c r="BB729" t="s">
        <v>74</v>
      </c>
      <c r="BC729" t="s">
        <v>74</v>
      </c>
      <c r="BD729" t="s">
        <v>74</v>
      </c>
      <c r="BE729" t="s">
        <v>13868</v>
      </c>
      <c r="BF729" t="str">
        <f>HYPERLINK("http://dx.doi.org/10.1111/famp.12922","http://dx.doi.org/10.1111/famp.12922")</f>
        <v>http://dx.doi.org/10.1111/famp.12922</v>
      </c>
      <c r="BG729" t="s">
        <v>74</v>
      </c>
      <c r="BH729" t="s">
        <v>7524</v>
      </c>
      <c r="BI729">
        <v>17</v>
      </c>
      <c r="BJ729" t="s">
        <v>2615</v>
      </c>
      <c r="BK729" t="s">
        <v>546</v>
      </c>
      <c r="BL729" t="s">
        <v>2616</v>
      </c>
      <c r="BM729" t="s">
        <v>13869</v>
      </c>
      <c r="BN729">
        <v>37550945</v>
      </c>
      <c r="BO729" t="s">
        <v>74</v>
      </c>
      <c r="BP729" t="s">
        <v>74</v>
      </c>
      <c r="BQ729" t="s">
        <v>74</v>
      </c>
      <c r="BR729" t="s">
        <v>99</v>
      </c>
      <c r="BS729" t="s">
        <v>13870</v>
      </c>
      <c r="BT729" t="str">
        <f>HYPERLINK("https%3A%2F%2Fwww.webofscience.com%2Fwos%2Fwoscc%2Ffull-record%2FWOS:001044147600001","View Full Record in Web of Science")</f>
        <v>View Full Record in Web of Science</v>
      </c>
    </row>
    <row r="730" spans="1:72" x14ac:dyDescent="0.15">
      <c r="A730" t="s">
        <v>72</v>
      </c>
      <c r="B730" t="s">
        <v>13871</v>
      </c>
      <c r="C730" t="s">
        <v>74</v>
      </c>
      <c r="D730" t="s">
        <v>74</v>
      </c>
      <c r="E730" t="s">
        <v>74</v>
      </c>
      <c r="F730" t="s">
        <v>13872</v>
      </c>
      <c r="G730" t="s">
        <v>74</v>
      </c>
      <c r="H730" t="s">
        <v>74</v>
      </c>
      <c r="I730" t="s">
        <v>13873</v>
      </c>
      <c r="J730" t="s">
        <v>7531</v>
      </c>
      <c r="K730" t="s">
        <v>74</v>
      </c>
      <c r="L730" t="s">
        <v>74</v>
      </c>
      <c r="M730" t="s">
        <v>78</v>
      </c>
      <c r="N730" t="s">
        <v>338</v>
      </c>
      <c r="O730" t="s">
        <v>74</v>
      </c>
      <c r="P730" t="s">
        <v>74</v>
      </c>
      <c r="Q730" t="s">
        <v>74</v>
      </c>
      <c r="R730" t="s">
        <v>74</v>
      </c>
      <c r="S730" t="s">
        <v>74</v>
      </c>
      <c r="T730" t="s">
        <v>74</v>
      </c>
      <c r="U730" t="s">
        <v>13874</v>
      </c>
      <c r="V730" t="s">
        <v>13875</v>
      </c>
      <c r="W730" t="s">
        <v>13876</v>
      </c>
      <c r="X730" t="s">
        <v>13877</v>
      </c>
      <c r="Y730" t="s">
        <v>13878</v>
      </c>
      <c r="Z730" t="s">
        <v>13879</v>
      </c>
      <c r="AA730" t="s">
        <v>13880</v>
      </c>
      <c r="AB730" t="s">
        <v>13881</v>
      </c>
      <c r="AC730" t="s">
        <v>74</v>
      </c>
      <c r="AD730" t="s">
        <v>74</v>
      </c>
      <c r="AE730" t="s">
        <v>74</v>
      </c>
      <c r="AF730" t="s">
        <v>74</v>
      </c>
      <c r="AG730">
        <v>19</v>
      </c>
      <c r="AH730">
        <v>0</v>
      </c>
      <c r="AI730">
        <v>0</v>
      </c>
      <c r="AJ730">
        <v>0</v>
      </c>
      <c r="AK730">
        <v>0</v>
      </c>
      <c r="AL730" t="s">
        <v>87</v>
      </c>
      <c r="AM730" t="s">
        <v>88</v>
      </c>
      <c r="AN730" t="s">
        <v>89</v>
      </c>
      <c r="AO730" t="s">
        <v>7539</v>
      </c>
      <c r="AP730" t="s">
        <v>7540</v>
      </c>
      <c r="AQ730" t="s">
        <v>74</v>
      </c>
      <c r="AR730" t="s">
        <v>7541</v>
      </c>
      <c r="AS730" t="s">
        <v>7542</v>
      </c>
      <c r="AT730" t="s">
        <v>13584</v>
      </c>
      <c r="AU730">
        <v>2023</v>
      </c>
      <c r="AV730" t="s">
        <v>74</v>
      </c>
      <c r="AW730" t="s">
        <v>74</v>
      </c>
      <c r="AX730" t="s">
        <v>74</v>
      </c>
      <c r="AY730" t="s">
        <v>74</v>
      </c>
      <c r="AZ730" t="s">
        <v>74</v>
      </c>
      <c r="BA730" t="s">
        <v>74</v>
      </c>
      <c r="BB730" t="s">
        <v>74</v>
      </c>
      <c r="BC730" t="s">
        <v>74</v>
      </c>
      <c r="BD730" t="s">
        <v>74</v>
      </c>
      <c r="BE730" t="s">
        <v>13882</v>
      </c>
      <c r="BF730" t="str">
        <f>HYPERLINK("http://dx.doi.org/10.1111/vsu.14010","http://dx.doi.org/10.1111/vsu.14010")</f>
        <v>http://dx.doi.org/10.1111/vsu.14010</v>
      </c>
      <c r="BG730" t="s">
        <v>74</v>
      </c>
      <c r="BH730" t="s">
        <v>7524</v>
      </c>
      <c r="BI730">
        <v>10</v>
      </c>
      <c r="BJ730" t="s">
        <v>354</v>
      </c>
      <c r="BK730" t="s">
        <v>119</v>
      </c>
      <c r="BL730" t="s">
        <v>354</v>
      </c>
      <c r="BM730" t="s">
        <v>13883</v>
      </c>
      <c r="BN730">
        <v>37550900</v>
      </c>
      <c r="BO730" t="s">
        <v>122</v>
      </c>
      <c r="BP730" t="s">
        <v>74</v>
      </c>
      <c r="BQ730" t="s">
        <v>74</v>
      </c>
      <c r="BR730" t="s">
        <v>99</v>
      </c>
      <c r="BS730" t="s">
        <v>13884</v>
      </c>
      <c r="BT730" t="str">
        <f>HYPERLINK("https%3A%2F%2Fwww.webofscience.com%2Fwos%2Fwoscc%2Ffull-record%2FWOS:001042430700001","View Full Record in Web of Science")</f>
        <v>View Full Record in Web of Science</v>
      </c>
    </row>
    <row r="731" spans="1:72" x14ac:dyDescent="0.15">
      <c r="A731" t="s">
        <v>72</v>
      </c>
      <c r="B731" t="s">
        <v>13885</v>
      </c>
      <c r="C731" t="s">
        <v>74</v>
      </c>
      <c r="D731" t="s">
        <v>74</v>
      </c>
      <c r="E731" t="s">
        <v>74</v>
      </c>
      <c r="F731" t="s">
        <v>13886</v>
      </c>
      <c r="G731" t="s">
        <v>74</v>
      </c>
      <c r="H731" t="s">
        <v>74</v>
      </c>
      <c r="I731" t="s">
        <v>13887</v>
      </c>
      <c r="J731" t="s">
        <v>1946</v>
      </c>
      <c r="K731" t="s">
        <v>74</v>
      </c>
      <c r="L731" t="s">
        <v>74</v>
      </c>
      <c r="M731" t="s">
        <v>78</v>
      </c>
      <c r="N731" t="s">
        <v>338</v>
      </c>
      <c r="O731" t="s">
        <v>74</v>
      </c>
      <c r="P731" t="s">
        <v>74</v>
      </c>
      <c r="Q731" t="s">
        <v>74</v>
      </c>
      <c r="R731" t="s">
        <v>74</v>
      </c>
      <c r="S731" t="s">
        <v>74</v>
      </c>
      <c r="T731" t="s">
        <v>13888</v>
      </c>
      <c r="U731" t="s">
        <v>13889</v>
      </c>
      <c r="V731" t="s">
        <v>13890</v>
      </c>
      <c r="W731" t="s">
        <v>13891</v>
      </c>
      <c r="X731" t="s">
        <v>13892</v>
      </c>
      <c r="Y731" t="s">
        <v>13893</v>
      </c>
      <c r="Z731" t="s">
        <v>13894</v>
      </c>
      <c r="AA731" t="s">
        <v>74</v>
      </c>
      <c r="AB731" t="s">
        <v>13895</v>
      </c>
      <c r="AC731" t="s">
        <v>74</v>
      </c>
      <c r="AD731" t="s">
        <v>74</v>
      </c>
      <c r="AE731" t="s">
        <v>74</v>
      </c>
      <c r="AF731" t="s">
        <v>74</v>
      </c>
      <c r="AG731">
        <v>28</v>
      </c>
      <c r="AH731">
        <v>0</v>
      </c>
      <c r="AI731">
        <v>0</v>
      </c>
      <c r="AJ731">
        <v>0</v>
      </c>
      <c r="AK731">
        <v>0</v>
      </c>
      <c r="AL731" t="s">
        <v>87</v>
      </c>
      <c r="AM731" t="s">
        <v>88</v>
      </c>
      <c r="AN731" t="s">
        <v>89</v>
      </c>
      <c r="AO731" t="s">
        <v>1955</v>
      </c>
      <c r="AP731" t="s">
        <v>1956</v>
      </c>
      <c r="AQ731" t="s">
        <v>74</v>
      </c>
      <c r="AR731" t="s">
        <v>1957</v>
      </c>
      <c r="AS731" t="s">
        <v>1958</v>
      </c>
      <c r="AT731" t="s">
        <v>13584</v>
      </c>
      <c r="AU731">
        <v>2023</v>
      </c>
      <c r="AV731" t="s">
        <v>74</v>
      </c>
      <c r="AW731" t="s">
        <v>74</v>
      </c>
      <c r="AX731" t="s">
        <v>74</v>
      </c>
      <c r="AY731" t="s">
        <v>74</v>
      </c>
      <c r="AZ731" t="s">
        <v>74</v>
      </c>
      <c r="BA731" t="s">
        <v>74</v>
      </c>
      <c r="BB731" t="s">
        <v>74</v>
      </c>
      <c r="BC731" t="s">
        <v>74</v>
      </c>
      <c r="BD731" t="s">
        <v>74</v>
      </c>
      <c r="BE731" t="s">
        <v>13896</v>
      </c>
      <c r="BF731" t="str">
        <f>HYPERLINK("http://dx.doi.org/10.1111/bcp.15851","http://dx.doi.org/10.1111/bcp.15851")</f>
        <v>http://dx.doi.org/10.1111/bcp.15851</v>
      </c>
      <c r="BG731" t="s">
        <v>74</v>
      </c>
      <c r="BH731" t="s">
        <v>7524</v>
      </c>
      <c r="BI731">
        <v>10</v>
      </c>
      <c r="BJ731" t="s">
        <v>299</v>
      </c>
      <c r="BK731" t="s">
        <v>119</v>
      </c>
      <c r="BL731" t="s">
        <v>299</v>
      </c>
      <c r="BM731" t="s">
        <v>13897</v>
      </c>
      <c r="BN731">
        <v>37452621</v>
      </c>
      <c r="BO731" t="s">
        <v>74</v>
      </c>
      <c r="BP731" t="s">
        <v>74</v>
      </c>
      <c r="BQ731" t="s">
        <v>74</v>
      </c>
      <c r="BR731" t="s">
        <v>99</v>
      </c>
      <c r="BS731" t="s">
        <v>13898</v>
      </c>
      <c r="BT731" t="str">
        <f>HYPERLINK("https%3A%2F%2Fwww.webofscience.com%2Fwos%2Fwoscc%2Ffull-record%2FWOS:001043128100001","View Full Record in Web of Science")</f>
        <v>View Full Record in Web of Science</v>
      </c>
    </row>
    <row r="732" spans="1:72" x14ac:dyDescent="0.15">
      <c r="A732" t="s">
        <v>72</v>
      </c>
      <c r="B732" t="s">
        <v>13899</v>
      </c>
      <c r="C732" t="s">
        <v>74</v>
      </c>
      <c r="D732" t="s">
        <v>74</v>
      </c>
      <c r="E732" t="s">
        <v>74</v>
      </c>
      <c r="F732" t="s">
        <v>13900</v>
      </c>
      <c r="G732" t="s">
        <v>74</v>
      </c>
      <c r="H732" t="s">
        <v>74</v>
      </c>
      <c r="I732" t="s">
        <v>13901</v>
      </c>
      <c r="J732" t="s">
        <v>3733</v>
      </c>
      <c r="K732" t="s">
        <v>74</v>
      </c>
      <c r="L732" t="s">
        <v>74</v>
      </c>
      <c r="M732" t="s">
        <v>78</v>
      </c>
      <c r="N732" t="s">
        <v>338</v>
      </c>
      <c r="O732" t="s">
        <v>74</v>
      </c>
      <c r="P732" t="s">
        <v>74</v>
      </c>
      <c r="Q732" t="s">
        <v>74</v>
      </c>
      <c r="R732" t="s">
        <v>74</v>
      </c>
      <c r="S732" t="s">
        <v>74</v>
      </c>
      <c r="T732" t="s">
        <v>13902</v>
      </c>
      <c r="U732" t="s">
        <v>13903</v>
      </c>
      <c r="V732" t="s">
        <v>13904</v>
      </c>
      <c r="W732" t="s">
        <v>13905</v>
      </c>
      <c r="X732" t="s">
        <v>13906</v>
      </c>
      <c r="Y732" t="s">
        <v>13907</v>
      </c>
      <c r="Z732" t="s">
        <v>13908</v>
      </c>
      <c r="AA732" t="s">
        <v>74</v>
      </c>
      <c r="AB732" t="s">
        <v>74</v>
      </c>
      <c r="AC732" t="s">
        <v>13909</v>
      </c>
      <c r="AD732" t="s">
        <v>13910</v>
      </c>
      <c r="AE732" t="s">
        <v>13911</v>
      </c>
      <c r="AF732" t="s">
        <v>74</v>
      </c>
      <c r="AG732">
        <v>39</v>
      </c>
      <c r="AH732">
        <v>0</v>
      </c>
      <c r="AI732">
        <v>0</v>
      </c>
      <c r="AJ732">
        <v>2</v>
      </c>
      <c r="AK732">
        <v>2</v>
      </c>
      <c r="AL732" t="s">
        <v>87</v>
      </c>
      <c r="AM732" t="s">
        <v>88</v>
      </c>
      <c r="AN732" t="s">
        <v>89</v>
      </c>
      <c r="AO732" t="s">
        <v>3743</v>
      </c>
      <c r="AP732" t="s">
        <v>3744</v>
      </c>
      <c r="AQ732" t="s">
        <v>74</v>
      </c>
      <c r="AR732" t="s">
        <v>3745</v>
      </c>
      <c r="AS732" t="s">
        <v>3746</v>
      </c>
      <c r="AT732" t="s">
        <v>13584</v>
      </c>
      <c r="AU732">
        <v>2023</v>
      </c>
      <c r="AV732" t="s">
        <v>74</v>
      </c>
      <c r="AW732" t="s">
        <v>74</v>
      </c>
      <c r="AX732" t="s">
        <v>74</v>
      </c>
      <c r="AY732" t="s">
        <v>74</v>
      </c>
      <c r="AZ732" t="s">
        <v>74</v>
      </c>
      <c r="BA732" t="s">
        <v>74</v>
      </c>
      <c r="BB732" t="s">
        <v>74</v>
      </c>
      <c r="BC732" t="s">
        <v>74</v>
      </c>
      <c r="BD732" t="s">
        <v>74</v>
      </c>
      <c r="BE732" t="s">
        <v>13912</v>
      </c>
      <c r="BF732" t="str">
        <f>HYPERLINK("http://dx.doi.org/10.1002/ldr.4855","http://dx.doi.org/10.1002/ldr.4855")</f>
        <v>http://dx.doi.org/10.1002/ldr.4855</v>
      </c>
      <c r="BG732" t="s">
        <v>74</v>
      </c>
      <c r="BH732" t="s">
        <v>7524</v>
      </c>
      <c r="BI732">
        <v>8</v>
      </c>
      <c r="BJ732" t="s">
        <v>3748</v>
      </c>
      <c r="BK732" t="s">
        <v>119</v>
      </c>
      <c r="BL732" t="s">
        <v>3749</v>
      </c>
      <c r="BM732" t="s">
        <v>13913</v>
      </c>
      <c r="BN732" t="s">
        <v>74</v>
      </c>
      <c r="BO732" t="s">
        <v>74</v>
      </c>
      <c r="BP732" t="s">
        <v>74</v>
      </c>
      <c r="BQ732" t="s">
        <v>74</v>
      </c>
      <c r="BR732" t="s">
        <v>99</v>
      </c>
      <c r="BS732" t="s">
        <v>13914</v>
      </c>
      <c r="BT732" t="str">
        <f>HYPERLINK("https%3A%2F%2Fwww.webofscience.com%2Fwos%2Fwoscc%2Ffull-record%2FWOS:001043555500001","View Full Record in Web of Science")</f>
        <v>View Full Record in Web of Science</v>
      </c>
    </row>
    <row r="733" spans="1:72" x14ac:dyDescent="0.15">
      <c r="A733" t="s">
        <v>72</v>
      </c>
      <c r="B733" t="s">
        <v>13915</v>
      </c>
      <c r="C733" t="s">
        <v>74</v>
      </c>
      <c r="D733" t="s">
        <v>74</v>
      </c>
      <c r="E733" t="s">
        <v>74</v>
      </c>
      <c r="F733" t="s">
        <v>13916</v>
      </c>
      <c r="G733" t="s">
        <v>74</v>
      </c>
      <c r="H733" t="s">
        <v>74</v>
      </c>
      <c r="I733" t="s">
        <v>13917</v>
      </c>
      <c r="J733" t="s">
        <v>11163</v>
      </c>
      <c r="K733" t="s">
        <v>74</v>
      </c>
      <c r="L733" t="s">
        <v>74</v>
      </c>
      <c r="M733" t="s">
        <v>78</v>
      </c>
      <c r="N733" t="s">
        <v>338</v>
      </c>
      <c r="O733" t="s">
        <v>74</v>
      </c>
      <c r="P733" t="s">
        <v>74</v>
      </c>
      <c r="Q733" t="s">
        <v>74</v>
      </c>
      <c r="R733" t="s">
        <v>74</v>
      </c>
      <c r="S733" t="s">
        <v>74</v>
      </c>
      <c r="T733" t="s">
        <v>13918</v>
      </c>
      <c r="U733" t="s">
        <v>13919</v>
      </c>
      <c r="V733" t="s">
        <v>13920</v>
      </c>
      <c r="W733" t="s">
        <v>13921</v>
      </c>
      <c r="X733" t="s">
        <v>13922</v>
      </c>
      <c r="Y733" t="s">
        <v>13923</v>
      </c>
      <c r="Z733" t="s">
        <v>13924</v>
      </c>
      <c r="AA733" t="s">
        <v>74</v>
      </c>
      <c r="AB733" t="s">
        <v>13925</v>
      </c>
      <c r="AC733" t="s">
        <v>13926</v>
      </c>
      <c r="AD733" t="s">
        <v>13927</v>
      </c>
      <c r="AE733" t="s">
        <v>13928</v>
      </c>
      <c r="AF733" t="s">
        <v>74</v>
      </c>
      <c r="AG733">
        <v>45</v>
      </c>
      <c r="AH733">
        <v>0</v>
      </c>
      <c r="AI733">
        <v>0</v>
      </c>
      <c r="AJ733">
        <v>1</v>
      </c>
      <c r="AK733">
        <v>1</v>
      </c>
      <c r="AL733" t="s">
        <v>87</v>
      </c>
      <c r="AM733" t="s">
        <v>88</v>
      </c>
      <c r="AN733" t="s">
        <v>89</v>
      </c>
      <c r="AO733" t="s">
        <v>11172</v>
      </c>
      <c r="AP733" t="s">
        <v>11173</v>
      </c>
      <c r="AQ733" t="s">
        <v>74</v>
      </c>
      <c r="AR733" t="s">
        <v>11174</v>
      </c>
      <c r="AS733" t="s">
        <v>11175</v>
      </c>
      <c r="AT733" t="s">
        <v>13584</v>
      </c>
      <c r="AU733">
        <v>2023</v>
      </c>
      <c r="AV733" t="s">
        <v>74</v>
      </c>
      <c r="AW733" t="s">
        <v>74</v>
      </c>
      <c r="AX733" t="s">
        <v>74</v>
      </c>
      <c r="AY733" t="s">
        <v>74</v>
      </c>
      <c r="AZ733" t="s">
        <v>74</v>
      </c>
      <c r="BA733" t="s">
        <v>74</v>
      </c>
      <c r="BB733" t="s">
        <v>74</v>
      </c>
      <c r="BC733" t="s">
        <v>74</v>
      </c>
      <c r="BD733" t="s">
        <v>74</v>
      </c>
      <c r="BE733" t="s">
        <v>13929</v>
      </c>
      <c r="BF733" t="str">
        <f>HYPERLINK("http://dx.doi.org/10.1111/ejh.14066","http://dx.doi.org/10.1111/ejh.14066")</f>
        <v>http://dx.doi.org/10.1111/ejh.14066</v>
      </c>
      <c r="BG733" t="s">
        <v>74</v>
      </c>
      <c r="BH733" t="s">
        <v>7524</v>
      </c>
      <c r="BI733">
        <v>7</v>
      </c>
      <c r="BJ733" t="s">
        <v>1625</v>
      </c>
      <c r="BK733" t="s">
        <v>119</v>
      </c>
      <c r="BL733" t="s">
        <v>1625</v>
      </c>
      <c r="BM733" t="s">
        <v>13930</v>
      </c>
      <c r="BN733">
        <v>37549921</v>
      </c>
      <c r="BO733" t="s">
        <v>122</v>
      </c>
      <c r="BP733" t="s">
        <v>74</v>
      </c>
      <c r="BQ733" t="s">
        <v>74</v>
      </c>
      <c r="BR733" t="s">
        <v>99</v>
      </c>
      <c r="BS733" t="s">
        <v>13931</v>
      </c>
      <c r="BT733" t="str">
        <f>HYPERLINK("https%3A%2F%2Fwww.webofscience.com%2Fwos%2Fwoscc%2Ffull-record%2FWOS:001043997600001","View Full Record in Web of Science")</f>
        <v>View Full Record in Web of Science</v>
      </c>
    </row>
    <row r="734" spans="1:72" x14ac:dyDescent="0.15">
      <c r="A734" t="s">
        <v>72</v>
      </c>
      <c r="B734" t="s">
        <v>13932</v>
      </c>
      <c r="C734" t="s">
        <v>74</v>
      </c>
      <c r="D734" t="s">
        <v>74</v>
      </c>
      <c r="E734" t="s">
        <v>74</v>
      </c>
      <c r="F734" t="s">
        <v>13933</v>
      </c>
      <c r="G734" t="s">
        <v>74</v>
      </c>
      <c r="H734" t="s">
        <v>74</v>
      </c>
      <c r="I734" t="s">
        <v>13934</v>
      </c>
      <c r="J734" t="s">
        <v>13935</v>
      </c>
      <c r="K734" t="s">
        <v>74</v>
      </c>
      <c r="L734" t="s">
        <v>74</v>
      </c>
      <c r="M734" t="s">
        <v>78</v>
      </c>
      <c r="N734" t="s">
        <v>2743</v>
      </c>
      <c r="O734" t="s">
        <v>74</v>
      </c>
      <c r="P734" t="s">
        <v>74</v>
      </c>
      <c r="Q734" t="s">
        <v>74</v>
      </c>
      <c r="R734" t="s">
        <v>74</v>
      </c>
      <c r="S734" t="s">
        <v>74</v>
      </c>
      <c r="T734" t="s">
        <v>13936</v>
      </c>
      <c r="U734" t="s">
        <v>74</v>
      </c>
      <c r="V734" t="s">
        <v>74</v>
      </c>
      <c r="W734" t="s">
        <v>13937</v>
      </c>
      <c r="X734" t="s">
        <v>13938</v>
      </c>
      <c r="Y734" t="s">
        <v>13939</v>
      </c>
      <c r="Z734" t="s">
        <v>13940</v>
      </c>
      <c r="AA734" t="s">
        <v>74</v>
      </c>
      <c r="AB734" t="s">
        <v>13941</v>
      </c>
      <c r="AC734" t="s">
        <v>13942</v>
      </c>
      <c r="AD734" t="s">
        <v>13943</v>
      </c>
      <c r="AE734" t="s">
        <v>13944</v>
      </c>
      <c r="AF734" t="s">
        <v>74</v>
      </c>
      <c r="AG734">
        <v>7</v>
      </c>
      <c r="AH734">
        <v>0</v>
      </c>
      <c r="AI734">
        <v>0</v>
      </c>
      <c r="AJ734">
        <v>1</v>
      </c>
      <c r="AK734">
        <v>1</v>
      </c>
      <c r="AL734" t="s">
        <v>87</v>
      </c>
      <c r="AM734" t="s">
        <v>88</v>
      </c>
      <c r="AN734" t="s">
        <v>89</v>
      </c>
      <c r="AO734" t="s">
        <v>13945</v>
      </c>
      <c r="AP734" t="s">
        <v>13946</v>
      </c>
      <c r="AQ734" t="s">
        <v>74</v>
      </c>
      <c r="AR734" t="s">
        <v>13947</v>
      </c>
      <c r="AS734" t="s">
        <v>13948</v>
      </c>
      <c r="AT734" t="s">
        <v>13584</v>
      </c>
      <c r="AU734">
        <v>2023</v>
      </c>
      <c r="AV734" t="s">
        <v>74</v>
      </c>
      <c r="AW734" t="s">
        <v>74</v>
      </c>
      <c r="AX734" t="s">
        <v>74</v>
      </c>
      <c r="AY734" t="s">
        <v>74</v>
      </c>
      <c r="AZ734" t="s">
        <v>74</v>
      </c>
      <c r="BA734" t="s">
        <v>74</v>
      </c>
      <c r="BB734" t="s">
        <v>74</v>
      </c>
      <c r="BC734" t="s">
        <v>74</v>
      </c>
      <c r="BD734" t="s">
        <v>74</v>
      </c>
      <c r="BE734" t="s">
        <v>13949</v>
      </c>
      <c r="BF734" t="str">
        <f>HYPERLINK("http://dx.doi.org/10.1111/cea.14379","http://dx.doi.org/10.1111/cea.14379")</f>
        <v>http://dx.doi.org/10.1111/cea.14379</v>
      </c>
      <c r="BG734" t="s">
        <v>74</v>
      </c>
      <c r="BH734" t="s">
        <v>7524</v>
      </c>
      <c r="BI734">
        <v>4</v>
      </c>
      <c r="BJ734" t="s">
        <v>5182</v>
      </c>
      <c r="BK734" t="s">
        <v>119</v>
      </c>
      <c r="BL734" t="s">
        <v>5182</v>
      </c>
      <c r="BM734" t="s">
        <v>13950</v>
      </c>
      <c r="BN734">
        <v>37549655</v>
      </c>
      <c r="BO734" t="s">
        <v>122</v>
      </c>
      <c r="BP734" t="s">
        <v>74</v>
      </c>
      <c r="BQ734" t="s">
        <v>74</v>
      </c>
      <c r="BR734" t="s">
        <v>99</v>
      </c>
      <c r="BS734" t="s">
        <v>13951</v>
      </c>
      <c r="BT734" t="str">
        <f>HYPERLINK("https%3A%2F%2Fwww.webofscience.com%2Fwos%2Fwoscc%2Ffull-record%2FWOS:001043975000001","View Full Record in Web of Science")</f>
        <v>View Full Record in Web of Science</v>
      </c>
    </row>
    <row r="735" spans="1:72" x14ac:dyDescent="0.15">
      <c r="A735" t="s">
        <v>72</v>
      </c>
      <c r="B735" t="s">
        <v>13952</v>
      </c>
      <c r="C735" t="s">
        <v>74</v>
      </c>
      <c r="D735" t="s">
        <v>74</v>
      </c>
      <c r="E735" t="s">
        <v>74</v>
      </c>
      <c r="F735" t="s">
        <v>13953</v>
      </c>
      <c r="G735" t="s">
        <v>74</v>
      </c>
      <c r="H735" t="s">
        <v>74</v>
      </c>
      <c r="I735" t="s">
        <v>13954</v>
      </c>
      <c r="J735" t="s">
        <v>2231</v>
      </c>
      <c r="K735" t="s">
        <v>74</v>
      </c>
      <c r="L735" t="s">
        <v>74</v>
      </c>
      <c r="M735" t="s">
        <v>78</v>
      </c>
      <c r="N735" t="s">
        <v>338</v>
      </c>
      <c r="O735" t="s">
        <v>74</v>
      </c>
      <c r="P735" t="s">
        <v>74</v>
      </c>
      <c r="Q735" t="s">
        <v>74</v>
      </c>
      <c r="R735" t="s">
        <v>74</v>
      </c>
      <c r="S735" t="s">
        <v>74</v>
      </c>
      <c r="T735" t="s">
        <v>13955</v>
      </c>
      <c r="U735" t="s">
        <v>13956</v>
      </c>
      <c r="V735" t="s">
        <v>13957</v>
      </c>
      <c r="W735" t="s">
        <v>13958</v>
      </c>
      <c r="X735" t="s">
        <v>13959</v>
      </c>
      <c r="Y735" t="s">
        <v>13960</v>
      </c>
      <c r="Z735" t="s">
        <v>13961</v>
      </c>
      <c r="AA735" t="s">
        <v>13962</v>
      </c>
      <c r="AB735" t="s">
        <v>13963</v>
      </c>
      <c r="AC735" t="s">
        <v>13964</v>
      </c>
      <c r="AD735" t="s">
        <v>13965</v>
      </c>
      <c r="AE735" t="s">
        <v>13966</v>
      </c>
      <c r="AF735" t="s">
        <v>74</v>
      </c>
      <c r="AG735">
        <v>21</v>
      </c>
      <c r="AH735">
        <v>0</v>
      </c>
      <c r="AI735">
        <v>0</v>
      </c>
      <c r="AJ735">
        <v>0</v>
      </c>
      <c r="AK735">
        <v>0</v>
      </c>
      <c r="AL735" t="s">
        <v>87</v>
      </c>
      <c r="AM735" t="s">
        <v>88</v>
      </c>
      <c r="AN735" t="s">
        <v>89</v>
      </c>
      <c r="AO735" t="s">
        <v>2240</v>
      </c>
      <c r="AP735" t="s">
        <v>2241</v>
      </c>
      <c r="AQ735" t="s">
        <v>74</v>
      </c>
      <c r="AR735" t="s">
        <v>2242</v>
      </c>
      <c r="AS735" t="s">
        <v>2243</v>
      </c>
      <c r="AT735" t="s">
        <v>13584</v>
      </c>
      <c r="AU735">
        <v>2023</v>
      </c>
      <c r="AV735" t="s">
        <v>74</v>
      </c>
      <c r="AW735" t="s">
        <v>74</v>
      </c>
      <c r="AX735" t="s">
        <v>74</v>
      </c>
      <c r="AY735" t="s">
        <v>74</v>
      </c>
      <c r="AZ735" t="s">
        <v>74</v>
      </c>
      <c r="BA735" t="s">
        <v>74</v>
      </c>
      <c r="BB735" t="s">
        <v>74</v>
      </c>
      <c r="BC735" t="s">
        <v>74</v>
      </c>
      <c r="BD735" t="s">
        <v>74</v>
      </c>
      <c r="BE735" t="s">
        <v>13967</v>
      </c>
      <c r="BF735" t="str">
        <f>HYPERLINK("http://dx.doi.org/10.1002/jcu.23533","http://dx.doi.org/10.1002/jcu.23533")</f>
        <v>http://dx.doi.org/10.1002/jcu.23533</v>
      </c>
      <c r="BG735" t="s">
        <v>74</v>
      </c>
      <c r="BH735" t="s">
        <v>7524</v>
      </c>
      <c r="BI735">
        <v>6</v>
      </c>
      <c r="BJ735" t="s">
        <v>2245</v>
      </c>
      <c r="BK735" t="s">
        <v>119</v>
      </c>
      <c r="BL735" t="s">
        <v>2245</v>
      </c>
      <c r="BM735" t="s">
        <v>13968</v>
      </c>
      <c r="BN735">
        <v>37548058</v>
      </c>
      <c r="BO735" t="s">
        <v>74</v>
      </c>
      <c r="BP735" t="s">
        <v>74</v>
      </c>
      <c r="BQ735" t="s">
        <v>74</v>
      </c>
      <c r="BR735" t="s">
        <v>99</v>
      </c>
      <c r="BS735" t="s">
        <v>13969</v>
      </c>
      <c r="BT735" t="str">
        <f>HYPERLINK("https%3A%2F%2Fwww.webofscience.com%2Fwos%2Fwoscc%2Ffull-record%2FWOS:001043617900001","View Full Record in Web of Science")</f>
        <v>View Full Record in Web of Science</v>
      </c>
    </row>
    <row r="736" spans="1:72" x14ac:dyDescent="0.15">
      <c r="A736" t="s">
        <v>72</v>
      </c>
      <c r="B736" t="s">
        <v>13970</v>
      </c>
      <c r="C736" t="s">
        <v>74</v>
      </c>
      <c r="D736" t="s">
        <v>74</v>
      </c>
      <c r="E736" t="s">
        <v>74</v>
      </c>
      <c r="F736" t="s">
        <v>13971</v>
      </c>
      <c r="G736" t="s">
        <v>74</v>
      </c>
      <c r="H736" t="s">
        <v>74</v>
      </c>
      <c r="I736" t="s">
        <v>13972</v>
      </c>
      <c r="J736" t="s">
        <v>13973</v>
      </c>
      <c r="K736" t="s">
        <v>74</v>
      </c>
      <c r="L736" t="s">
        <v>74</v>
      </c>
      <c r="M736" t="s">
        <v>78</v>
      </c>
      <c r="N736" t="s">
        <v>338</v>
      </c>
      <c r="O736" t="s">
        <v>74</v>
      </c>
      <c r="P736" t="s">
        <v>74</v>
      </c>
      <c r="Q736" t="s">
        <v>74</v>
      </c>
      <c r="R736" t="s">
        <v>74</v>
      </c>
      <c r="S736" t="s">
        <v>74</v>
      </c>
      <c r="T736" t="s">
        <v>13974</v>
      </c>
      <c r="U736" t="s">
        <v>13975</v>
      </c>
      <c r="V736" t="s">
        <v>13976</v>
      </c>
      <c r="W736" t="s">
        <v>13977</v>
      </c>
      <c r="X736" t="s">
        <v>13978</v>
      </c>
      <c r="Y736" t="s">
        <v>13979</v>
      </c>
      <c r="Z736" t="s">
        <v>13980</v>
      </c>
      <c r="AA736" t="s">
        <v>74</v>
      </c>
      <c r="AB736" t="s">
        <v>74</v>
      </c>
      <c r="AC736" t="s">
        <v>13981</v>
      </c>
      <c r="AD736" t="s">
        <v>13982</v>
      </c>
      <c r="AE736" t="s">
        <v>13983</v>
      </c>
      <c r="AF736" t="s">
        <v>74</v>
      </c>
      <c r="AG736">
        <v>88</v>
      </c>
      <c r="AH736">
        <v>0</v>
      </c>
      <c r="AI736">
        <v>0</v>
      </c>
      <c r="AJ736">
        <v>5</v>
      </c>
      <c r="AK736">
        <v>5</v>
      </c>
      <c r="AL736" t="s">
        <v>87</v>
      </c>
      <c r="AM736" t="s">
        <v>88</v>
      </c>
      <c r="AN736" t="s">
        <v>89</v>
      </c>
      <c r="AO736" t="s">
        <v>74</v>
      </c>
      <c r="AP736" t="s">
        <v>13984</v>
      </c>
      <c r="AQ736" t="s">
        <v>74</v>
      </c>
      <c r="AR736" t="s">
        <v>13985</v>
      </c>
      <c r="AS736" t="s">
        <v>13986</v>
      </c>
      <c r="AT736" t="s">
        <v>13584</v>
      </c>
      <c r="AU736">
        <v>2023</v>
      </c>
      <c r="AV736" t="s">
        <v>74</v>
      </c>
      <c r="AW736" t="s">
        <v>74</v>
      </c>
      <c r="AX736" t="s">
        <v>74</v>
      </c>
      <c r="AY736" t="s">
        <v>74</v>
      </c>
      <c r="AZ736" t="s">
        <v>74</v>
      </c>
      <c r="BA736" t="s">
        <v>74</v>
      </c>
      <c r="BB736" t="s">
        <v>74</v>
      </c>
      <c r="BC736" t="s">
        <v>74</v>
      </c>
      <c r="BD736" t="s">
        <v>74</v>
      </c>
      <c r="BE736" t="s">
        <v>13987</v>
      </c>
      <c r="BF736" t="str">
        <f>HYPERLINK("http://dx.doi.org/10.1002/adtp.202300145","http://dx.doi.org/10.1002/adtp.202300145")</f>
        <v>http://dx.doi.org/10.1002/adtp.202300145</v>
      </c>
      <c r="BG736" t="s">
        <v>74</v>
      </c>
      <c r="BH736" t="s">
        <v>7524</v>
      </c>
      <c r="BI736">
        <v>13</v>
      </c>
      <c r="BJ736" t="s">
        <v>299</v>
      </c>
      <c r="BK736" t="s">
        <v>119</v>
      </c>
      <c r="BL736" t="s">
        <v>299</v>
      </c>
      <c r="BM736" t="s">
        <v>13988</v>
      </c>
      <c r="BN736" t="s">
        <v>74</v>
      </c>
      <c r="BO736" t="s">
        <v>74</v>
      </c>
      <c r="BP736" t="s">
        <v>74</v>
      </c>
      <c r="BQ736" t="s">
        <v>74</v>
      </c>
      <c r="BR736" t="s">
        <v>99</v>
      </c>
      <c r="BS736" t="s">
        <v>13989</v>
      </c>
      <c r="BT736" t="str">
        <f>HYPERLINK("https%3A%2F%2Fwww.webofscience.com%2Fwos%2Fwoscc%2Ffull-record%2FWOS:001042445100001","View Full Record in Web of Science")</f>
        <v>View Full Record in Web of Science</v>
      </c>
    </row>
    <row r="737" spans="1:72" x14ac:dyDescent="0.15">
      <c r="A737" t="s">
        <v>72</v>
      </c>
      <c r="B737" t="s">
        <v>13990</v>
      </c>
      <c r="C737" t="s">
        <v>74</v>
      </c>
      <c r="D737" t="s">
        <v>74</v>
      </c>
      <c r="E737" t="s">
        <v>74</v>
      </c>
      <c r="F737" t="s">
        <v>13991</v>
      </c>
      <c r="G737" t="s">
        <v>74</v>
      </c>
      <c r="H737" t="s">
        <v>74</v>
      </c>
      <c r="I737" t="s">
        <v>13992</v>
      </c>
      <c r="J737" t="s">
        <v>13993</v>
      </c>
      <c r="K737" t="s">
        <v>74</v>
      </c>
      <c r="L737" t="s">
        <v>74</v>
      </c>
      <c r="M737" t="s">
        <v>78</v>
      </c>
      <c r="N737" t="s">
        <v>338</v>
      </c>
      <c r="O737" t="s">
        <v>74</v>
      </c>
      <c r="P737" t="s">
        <v>74</v>
      </c>
      <c r="Q737" t="s">
        <v>74</v>
      </c>
      <c r="R737" t="s">
        <v>74</v>
      </c>
      <c r="S737" t="s">
        <v>74</v>
      </c>
      <c r="T737" t="s">
        <v>13994</v>
      </c>
      <c r="U737" t="s">
        <v>13995</v>
      </c>
      <c r="V737" t="s">
        <v>13996</v>
      </c>
      <c r="W737" t="s">
        <v>13997</v>
      </c>
      <c r="X737" t="s">
        <v>13998</v>
      </c>
      <c r="Y737" t="s">
        <v>13999</v>
      </c>
      <c r="Z737" t="s">
        <v>14000</v>
      </c>
      <c r="AA737" t="s">
        <v>74</v>
      </c>
      <c r="AB737" t="s">
        <v>74</v>
      </c>
      <c r="AC737" t="s">
        <v>74</v>
      </c>
      <c r="AD737" t="s">
        <v>74</v>
      </c>
      <c r="AE737" t="s">
        <v>74</v>
      </c>
      <c r="AF737" t="s">
        <v>74</v>
      </c>
      <c r="AG737">
        <v>58</v>
      </c>
      <c r="AH737">
        <v>0</v>
      </c>
      <c r="AI737">
        <v>0</v>
      </c>
      <c r="AJ737">
        <v>0</v>
      </c>
      <c r="AK737">
        <v>0</v>
      </c>
      <c r="AL737" t="s">
        <v>87</v>
      </c>
      <c r="AM737" t="s">
        <v>88</v>
      </c>
      <c r="AN737" t="s">
        <v>89</v>
      </c>
      <c r="AO737" t="s">
        <v>14001</v>
      </c>
      <c r="AP737" t="s">
        <v>14002</v>
      </c>
      <c r="AQ737" t="s">
        <v>74</v>
      </c>
      <c r="AR737" t="s">
        <v>14003</v>
      </c>
      <c r="AS737" t="s">
        <v>14004</v>
      </c>
      <c r="AT737" t="s">
        <v>13584</v>
      </c>
      <c r="AU737">
        <v>2023</v>
      </c>
      <c r="AV737" t="s">
        <v>74</v>
      </c>
      <c r="AW737" t="s">
        <v>74</v>
      </c>
      <c r="AX737" t="s">
        <v>74</v>
      </c>
      <c r="AY737" t="s">
        <v>74</v>
      </c>
      <c r="AZ737" t="s">
        <v>74</v>
      </c>
      <c r="BA737" t="s">
        <v>74</v>
      </c>
      <c r="BB737" t="s">
        <v>74</v>
      </c>
      <c r="BC737" t="s">
        <v>74</v>
      </c>
      <c r="BD737" t="s">
        <v>74</v>
      </c>
      <c r="BE737" t="s">
        <v>14005</v>
      </c>
      <c r="BF737" t="str">
        <f>HYPERLINK("http://dx.doi.org/10.1111/jssr.12869","http://dx.doi.org/10.1111/jssr.12869")</f>
        <v>http://dx.doi.org/10.1111/jssr.12869</v>
      </c>
      <c r="BG737" t="s">
        <v>74</v>
      </c>
      <c r="BH737" t="s">
        <v>7524</v>
      </c>
      <c r="BI737">
        <v>21</v>
      </c>
      <c r="BJ737" t="s">
        <v>14006</v>
      </c>
      <c r="BK737" t="s">
        <v>4619</v>
      </c>
      <c r="BL737" t="s">
        <v>14006</v>
      </c>
      <c r="BM737" t="s">
        <v>14007</v>
      </c>
      <c r="BN737" t="s">
        <v>74</v>
      </c>
      <c r="BO737" t="s">
        <v>301</v>
      </c>
      <c r="BP737" t="s">
        <v>74</v>
      </c>
      <c r="BQ737" t="s">
        <v>74</v>
      </c>
      <c r="BR737" t="s">
        <v>99</v>
      </c>
      <c r="BS737" t="s">
        <v>14008</v>
      </c>
      <c r="BT737" t="str">
        <f>HYPERLINK("https%3A%2F%2Fwww.webofscience.com%2Fwos%2Fwoscc%2Ffull-record%2FWOS:001043118400001","View Full Record in Web of Science")</f>
        <v>View Full Record in Web of Science</v>
      </c>
    </row>
    <row r="738" spans="1:72" x14ac:dyDescent="0.15">
      <c r="A738" t="s">
        <v>72</v>
      </c>
      <c r="B738" t="s">
        <v>14009</v>
      </c>
      <c r="C738" t="s">
        <v>74</v>
      </c>
      <c r="D738" t="s">
        <v>74</v>
      </c>
      <c r="E738" t="s">
        <v>74</v>
      </c>
      <c r="F738" t="s">
        <v>14010</v>
      </c>
      <c r="G738" t="s">
        <v>74</v>
      </c>
      <c r="H738" t="s">
        <v>74</v>
      </c>
      <c r="I738" t="s">
        <v>14011</v>
      </c>
      <c r="J738" t="s">
        <v>5329</v>
      </c>
      <c r="K738" t="s">
        <v>74</v>
      </c>
      <c r="L738" t="s">
        <v>74</v>
      </c>
      <c r="M738" t="s">
        <v>78</v>
      </c>
      <c r="N738" t="s">
        <v>338</v>
      </c>
      <c r="O738" t="s">
        <v>74</v>
      </c>
      <c r="P738" t="s">
        <v>74</v>
      </c>
      <c r="Q738" t="s">
        <v>74</v>
      </c>
      <c r="R738" t="s">
        <v>74</v>
      </c>
      <c r="S738" t="s">
        <v>74</v>
      </c>
      <c r="T738" t="s">
        <v>14012</v>
      </c>
      <c r="U738" t="s">
        <v>14013</v>
      </c>
      <c r="V738" t="s">
        <v>14014</v>
      </c>
      <c r="W738" t="s">
        <v>14015</v>
      </c>
      <c r="X738" t="s">
        <v>14016</v>
      </c>
      <c r="Y738" t="s">
        <v>14017</v>
      </c>
      <c r="Z738" t="s">
        <v>14018</v>
      </c>
      <c r="AA738" t="s">
        <v>74</v>
      </c>
      <c r="AB738" t="s">
        <v>74</v>
      </c>
      <c r="AC738" t="s">
        <v>74</v>
      </c>
      <c r="AD738" t="s">
        <v>74</v>
      </c>
      <c r="AE738" t="s">
        <v>74</v>
      </c>
      <c r="AF738" t="s">
        <v>74</v>
      </c>
      <c r="AG738">
        <v>76</v>
      </c>
      <c r="AH738">
        <v>0</v>
      </c>
      <c r="AI738">
        <v>0</v>
      </c>
      <c r="AJ738">
        <v>2</v>
      </c>
      <c r="AK738">
        <v>2</v>
      </c>
      <c r="AL738" t="s">
        <v>87</v>
      </c>
      <c r="AM738" t="s">
        <v>88</v>
      </c>
      <c r="AN738" t="s">
        <v>89</v>
      </c>
      <c r="AO738" t="s">
        <v>5340</v>
      </c>
      <c r="AP738" t="s">
        <v>74</v>
      </c>
      <c r="AQ738" t="s">
        <v>74</v>
      </c>
      <c r="AR738" t="s">
        <v>5341</v>
      </c>
      <c r="AS738" t="s">
        <v>5342</v>
      </c>
      <c r="AT738" t="s">
        <v>13584</v>
      </c>
      <c r="AU738">
        <v>2023</v>
      </c>
      <c r="AV738" t="s">
        <v>74</v>
      </c>
      <c r="AW738" t="s">
        <v>74</v>
      </c>
      <c r="AX738" t="s">
        <v>74</v>
      </c>
      <c r="AY738" t="s">
        <v>74</v>
      </c>
      <c r="AZ738" t="s">
        <v>74</v>
      </c>
      <c r="BA738" t="s">
        <v>74</v>
      </c>
      <c r="BB738" t="s">
        <v>74</v>
      </c>
      <c r="BC738" t="s">
        <v>74</v>
      </c>
      <c r="BD738" t="s">
        <v>74</v>
      </c>
      <c r="BE738" t="s">
        <v>14019</v>
      </c>
      <c r="BF738" t="str">
        <f>HYPERLINK("http://dx.doi.org/10.1002/bdr2.2234","http://dx.doi.org/10.1002/bdr2.2234")</f>
        <v>http://dx.doi.org/10.1002/bdr2.2234</v>
      </c>
      <c r="BG738" t="s">
        <v>74</v>
      </c>
      <c r="BH738" t="s">
        <v>7524</v>
      </c>
      <c r="BI738">
        <v>22</v>
      </c>
      <c r="BJ738" t="s">
        <v>5344</v>
      </c>
      <c r="BK738" t="s">
        <v>119</v>
      </c>
      <c r="BL738" t="s">
        <v>5344</v>
      </c>
      <c r="BM738" t="s">
        <v>14020</v>
      </c>
      <c r="BN738">
        <v>37548121</v>
      </c>
      <c r="BO738" t="s">
        <v>74</v>
      </c>
      <c r="BP738" t="s">
        <v>74</v>
      </c>
      <c r="BQ738" t="s">
        <v>74</v>
      </c>
      <c r="BR738" t="s">
        <v>99</v>
      </c>
      <c r="BS738" t="s">
        <v>14021</v>
      </c>
      <c r="BT738" t="str">
        <f>HYPERLINK("https%3A%2F%2Fwww.webofscience.com%2Fwos%2Fwoscc%2Ffull-record%2FWOS:001043654600001","View Full Record in Web of Science")</f>
        <v>View Full Record in Web of Science</v>
      </c>
    </row>
    <row r="739" spans="1:72" x14ac:dyDescent="0.15">
      <c r="A739" t="s">
        <v>72</v>
      </c>
      <c r="B739" t="s">
        <v>14022</v>
      </c>
      <c r="C739" t="s">
        <v>74</v>
      </c>
      <c r="D739" t="s">
        <v>74</v>
      </c>
      <c r="E739" t="s">
        <v>74</v>
      </c>
      <c r="F739" t="s">
        <v>14023</v>
      </c>
      <c r="G739" t="s">
        <v>74</v>
      </c>
      <c r="H739" t="s">
        <v>74</v>
      </c>
      <c r="I739" t="s">
        <v>14024</v>
      </c>
      <c r="J739" t="s">
        <v>9656</v>
      </c>
      <c r="K739" t="s">
        <v>74</v>
      </c>
      <c r="L739" t="s">
        <v>74</v>
      </c>
      <c r="M739" t="s">
        <v>78</v>
      </c>
      <c r="N739" t="s">
        <v>79</v>
      </c>
      <c r="O739" t="s">
        <v>74</v>
      </c>
      <c r="P739" t="s">
        <v>74</v>
      </c>
      <c r="Q739" t="s">
        <v>74</v>
      </c>
      <c r="R739" t="s">
        <v>74</v>
      </c>
      <c r="S739" t="s">
        <v>74</v>
      </c>
      <c r="T739" t="s">
        <v>14025</v>
      </c>
      <c r="U739" t="s">
        <v>14026</v>
      </c>
      <c r="V739" t="s">
        <v>14027</v>
      </c>
      <c r="W739" t="s">
        <v>14028</v>
      </c>
      <c r="X739" t="s">
        <v>14029</v>
      </c>
      <c r="Y739" t="s">
        <v>14030</v>
      </c>
      <c r="Z739" t="s">
        <v>14031</v>
      </c>
      <c r="AA739" t="s">
        <v>74</v>
      </c>
      <c r="AB739" t="s">
        <v>14032</v>
      </c>
      <c r="AC739" t="s">
        <v>14033</v>
      </c>
      <c r="AD739" t="s">
        <v>2079</v>
      </c>
      <c r="AE739" t="s">
        <v>14034</v>
      </c>
      <c r="AF739" t="s">
        <v>74</v>
      </c>
      <c r="AG739">
        <v>62</v>
      </c>
      <c r="AH739">
        <v>0</v>
      </c>
      <c r="AI739">
        <v>0</v>
      </c>
      <c r="AJ739">
        <v>0</v>
      </c>
      <c r="AK739">
        <v>0</v>
      </c>
      <c r="AL739" t="s">
        <v>87</v>
      </c>
      <c r="AM739" t="s">
        <v>88</v>
      </c>
      <c r="AN739" t="s">
        <v>89</v>
      </c>
      <c r="AO739" t="s">
        <v>9663</v>
      </c>
      <c r="AP739" t="s">
        <v>74</v>
      </c>
      <c r="AQ739" t="s">
        <v>74</v>
      </c>
      <c r="AR739" t="s">
        <v>9656</v>
      </c>
      <c r="AS739" t="s">
        <v>9664</v>
      </c>
      <c r="AT739" t="s">
        <v>6725</v>
      </c>
      <c r="AU739">
        <v>2023</v>
      </c>
      <c r="AV739">
        <v>13</v>
      </c>
      <c r="AW739">
        <v>9</v>
      </c>
      <c r="AX739" t="s">
        <v>74</v>
      </c>
      <c r="AY739" t="s">
        <v>74</v>
      </c>
      <c r="AZ739" t="s">
        <v>9665</v>
      </c>
      <c r="BA739" t="s">
        <v>74</v>
      </c>
      <c r="BB739">
        <v>1737</v>
      </c>
      <c r="BC739">
        <v>1755</v>
      </c>
      <c r="BD739" t="s">
        <v>74</v>
      </c>
      <c r="BE739" t="s">
        <v>14035</v>
      </c>
      <c r="BF739" t="str">
        <f>HYPERLINK("http://dx.doi.org/10.1002/2211-5463.13681","http://dx.doi.org/10.1002/2211-5463.13681")</f>
        <v>http://dx.doi.org/10.1002/2211-5463.13681</v>
      </c>
      <c r="BG739" t="s">
        <v>74</v>
      </c>
      <c r="BH739" t="s">
        <v>7524</v>
      </c>
      <c r="BI739">
        <v>19</v>
      </c>
      <c r="BJ739" t="s">
        <v>212</v>
      </c>
      <c r="BK739" t="s">
        <v>119</v>
      </c>
      <c r="BL739" t="s">
        <v>212</v>
      </c>
      <c r="BM739" t="s">
        <v>9667</v>
      </c>
      <c r="BN739">
        <v>37517032</v>
      </c>
      <c r="BO739" t="s">
        <v>98</v>
      </c>
      <c r="BP739" t="s">
        <v>74</v>
      </c>
      <c r="BQ739" t="s">
        <v>74</v>
      </c>
      <c r="BR739" t="s">
        <v>99</v>
      </c>
      <c r="BS739" t="s">
        <v>14036</v>
      </c>
      <c r="BT739" t="str">
        <f>HYPERLINK("https%3A%2F%2Fwww.webofscience.com%2Fwos%2Fwoscc%2Ffull-record%2FWOS:001043116200001","View Full Record in Web of Science")</f>
        <v>View Full Record in Web of Science</v>
      </c>
    </row>
    <row r="740" spans="1:72" x14ac:dyDescent="0.15">
      <c r="A740" t="s">
        <v>72</v>
      </c>
      <c r="B740" t="s">
        <v>14037</v>
      </c>
      <c r="C740" t="s">
        <v>74</v>
      </c>
      <c r="D740" t="s">
        <v>74</v>
      </c>
      <c r="E740" t="s">
        <v>74</v>
      </c>
      <c r="F740" t="s">
        <v>14038</v>
      </c>
      <c r="G740" t="s">
        <v>74</v>
      </c>
      <c r="H740" t="s">
        <v>74</v>
      </c>
      <c r="I740" t="s">
        <v>14039</v>
      </c>
      <c r="J740" t="s">
        <v>14040</v>
      </c>
      <c r="K740" t="s">
        <v>74</v>
      </c>
      <c r="L740" t="s">
        <v>74</v>
      </c>
      <c r="M740" t="s">
        <v>78</v>
      </c>
      <c r="N740" t="s">
        <v>338</v>
      </c>
      <c r="O740" t="s">
        <v>74</v>
      </c>
      <c r="P740" t="s">
        <v>74</v>
      </c>
      <c r="Q740" t="s">
        <v>74</v>
      </c>
      <c r="R740" t="s">
        <v>74</v>
      </c>
      <c r="S740" t="s">
        <v>74</v>
      </c>
      <c r="T740" t="s">
        <v>14041</v>
      </c>
      <c r="U740" t="s">
        <v>14042</v>
      </c>
      <c r="V740" t="s">
        <v>14043</v>
      </c>
      <c r="W740" t="s">
        <v>14044</v>
      </c>
      <c r="X740" t="s">
        <v>14045</v>
      </c>
      <c r="Y740" t="s">
        <v>14046</v>
      </c>
      <c r="Z740" t="s">
        <v>14047</v>
      </c>
      <c r="AA740" t="s">
        <v>74</v>
      </c>
      <c r="AB740" t="s">
        <v>14048</v>
      </c>
      <c r="AC740" t="s">
        <v>74</v>
      </c>
      <c r="AD740" t="s">
        <v>74</v>
      </c>
      <c r="AE740" t="s">
        <v>74</v>
      </c>
      <c r="AF740" t="s">
        <v>74</v>
      </c>
      <c r="AG740">
        <v>51</v>
      </c>
      <c r="AH740">
        <v>0</v>
      </c>
      <c r="AI740">
        <v>0</v>
      </c>
      <c r="AJ740">
        <v>1</v>
      </c>
      <c r="AK740">
        <v>1</v>
      </c>
      <c r="AL740" t="s">
        <v>1866</v>
      </c>
      <c r="AM740" t="s">
        <v>1867</v>
      </c>
      <c r="AN740" t="s">
        <v>1868</v>
      </c>
      <c r="AO740" t="s">
        <v>14049</v>
      </c>
      <c r="AP740" t="s">
        <v>14050</v>
      </c>
      <c r="AQ740" t="s">
        <v>74</v>
      </c>
      <c r="AR740" t="s">
        <v>14051</v>
      </c>
      <c r="AS740" t="s">
        <v>14052</v>
      </c>
      <c r="AT740" t="s">
        <v>13584</v>
      </c>
      <c r="AU740">
        <v>2023</v>
      </c>
      <c r="AV740" t="s">
        <v>74</v>
      </c>
      <c r="AW740" t="s">
        <v>74</v>
      </c>
      <c r="AX740" t="s">
        <v>74</v>
      </c>
      <c r="AY740" t="s">
        <v>74</v>
      </c>
      <c r="AZ740" t="s">
        <v>74</v>
      </c>
      <c r="BA740" t="s">
        <v>74</v>
      </c>
      <c r="BB740" t="s">
        <v>74</v>
      </c>
      <c r="BC740" t="s">
        <v>74</v>
      </c>
      <c r="BD740" t="s">
        <v>74</v>
      </c>
      <c r="BE740" t="s">
        <v>14053</v>
      </c>
      <c r="BF740" t="str">
        <f>HYPERLINK("http://dx.doi.org/10.1002/jcaf.22653","http://dx.doi.org/10.1002/jcaf.22653")</f>
        <v>http://dx.doi.org/10.1002/jcaf.22653</v>
      </c>
      <c r="BG740" t="s">
        <v>74</v>
      </c>
      <c r="BH740" t="s">
        <v>7524</v>
      </c>
      <c r="BI740">
        <v>18</v>
      </c>
      <c r="BJ740" t="s">
        <v>545</v>
      </c>
      <c r="BK740" t="s">
        <v>96</v>
      </c>
      <c r="BL740" t="s">
        <v>547</v>
      </c>
      <c r="BM740" t="s">
        <v>14054</v>
      </c>
      <c r="BN740" t="s">
        <v>74</v>
      </c>
      <c r="BO740" t="s">
        <v>74</v>
      </c>
      <c r="BP740" t="s">
        <v>74</v>
      </c>
      <c r="BQ740" t="s">
        <v>74</v>
      </c>
      <c r="BR740" t="s">
        <v>99</v>
      </c>
      <c r="BS740" t="s">
        <v>14055</v>
      </c>
      <c r="BT740" t="str">
        <f>HYPERLINK("https%3A%2F%2Fwww.webofscience.com%2Fwos%2Fwoscc%2Ffull-record%2FWOS:001043399000001","View Full Record in Web of Science")</f>
        <v>View Full Record in Web of Science</v>
      </c>
    </row>
    <row r="741" spans="1:72" x14ac:dyDescent="0.15">
      <c r="A741" t="s">
        <v>72</v>
      </c>
      <c r="B741" t="s">
        <v>14056</v>
      </c>
      <c r="C741" t="s">
        <v>74</v>
      </c>
      <c r="D741" t="s">
        <v>74</v>
      </c>
      <c r="E741" t="s">
        <v>74</v>
      </c>
      <c r="F741" t="s">
        <v>14057</v>
      </c>
      <c r="G741" t="s">
        <v>74</v>
      </c>
      <c r="H741" t="s">
        <v>74</v>
      </c>
      <c r="I741" t="s">
        <v>14058</v>
      </c>
      <c r="J741" t="s">
        <v>3042</v>
      </c>
      <c r="K741" t="s">
        <v>74</v>
      </c>
      <c r="L741" t="s">
        <v>74</v>
      </c>
      <c r="M741" t="s">
        <v>78</v>
      </c>
      <c r="N741" t="s">
        <v>338</v>
      </c>
      <c r="O741" t="s">
        <v>74</v>
      </c>
      <c r="P741" t="s">
        <v>74</v>
      </c>
      <c r="Q741" t="s">
        <v>74</v>
      </c>
      <c r="R741" t="s">
        <v>74</v>
      </c>
      <c r="S741" t="s">
        <v>74</v>
      </c>
      <c r="T741" t="s">
        <v>14059</v>
      </c>
      <c r="U741" t="s">
        <v>14060</v>
      </c>
      <c r="V741" t="s">
        <v>14061</v>
      </c>
      <c r="W741" t="s">
        <v>14062</v>
      </c>
      <c r="X741" t="s">
        <v>14063</v>
      </c>
      <c r="Y741" t="s">
        <v>14064</v>
      </c>
      <c r="Z741" t="s">
        <v>14065</v>
      </c>
      <c r="AA741" t="s">
        <v>74</v>
      </c>
      <c r="AB741" t="s">
        <v>74</v>
      </c>
      <c r="AC741" t="s">
        <v>14066</v>
      </c>
      <c r="AD741" t="s">
        <v>14067</v>
      </c>
      <c r="AE741" t="s">
        <v>14068</v>
      </c>
      <c r="AF741" t="s">
        <v>74</v>
      </c>
      <c r="AG741">
        <v>115</v>
      </c>
      <c r="AH741">
        <v>0</v>
      </c>
      <c r="AI741">
        <v>0</v>
      </c>
      <c r="AJ741">
        <v>9</v>
      </c>
      <c r="AK741">
        <v>9</v>
      </c>
      <c r="AL741" t="s">
        <v>87</v>
      </c>
      <c r="AM741" t="s">
        <v>88</v>
      </c>
      <c r="AN741" t="s">
        <v>89</v>
      </c>
      <c r="AO741" t="s">
        <v>3054</v>
      </c>
      <c r="AP741" t="s">
        <v>3055</v>
      </c>
      <c r="AQ741" t="s">
        <v>74</v>
      </c>
      <c r="AR741" t="s">
        <v>3056</v>
      </c>
      <c r="AS741" t="s">
        <v>3057</v>
      </c>
      <c r="AT741" t="s">
        <v>13584</v>
      </c>
      <c r="AU741">
        <v>2023</v>
      </c>
      <c r="AV741" t="s">
        <v>74</v>
      </c>
      <c r="AW741" t="s">
        <v>74</v>
      </c>
      <c r="AX741" t="s">
        <v>74</v>
      </c>
      <c r="AY741" t="s">
        <v>74</v>
      </c>
      <c r="AZ741" t="s">
        <v>74</v>
      </c>
      <c r="BA741" t="s">
        <v>74</v>
      </c>
      <c r="BB741" t="s">
        <v>74</v>
      </c>
      <c r="BC741" t="s">
        <v>74</v>
      </c>
      <c r="BD741" t="s">
        <v>74</v>
      </c>
      <c r="BE741" t="s">
        <v>14069</v>
      </c>
      <c r="BF741" t="str">
        <f>HYPERLINK("http://dx.doi.org/10.1111/risa.14202","http://dx.doi.org/10.1111/risa.14202")</f>
        <v>http://dx.doi.org/10.1111/risa.14202</v>
      </c>
      <c r="BG741" t="s">
        <v>74</v>
      </c>
      <c r="BH741" t="s">
        <v>7524</v>
      </c>
      <c r="BI741">
        <v>14</v>
      </c>
      <c r="BJ741" t="s">
        <v>3059</v>
      </c>
      <c r="BK741" t="s">
        <v>409</v>
      </c>
      <c r="BL741" t="s">
        <v>3060</v>
      </c>
      <c r="BM741" t="s">
        <v>14070</v>
      </c>
      <c r="BN741">
        <v>37550261</v>
      </c>
      <c r="BO741" t="s">
        <v>74</v>
      </c>
      <c r="BP741" t="s">
        <v>74</v>
      </c>
      <c r="BQ741" t="s">
        <v>74</v>
      </c>
      <c r="BR741" t="s">
        <v>99</v>
      </c>
      <c r="BS741" t="s">
        <v>14071</v>
      </c>
      <c r="BT741" t="str">
        <f>HYPERLINK("https%3A%2F%2Fwww.webofscience.com%2Fwos%2Fwoscc%2Ffull-record%2FWOS:001043548900001","View Full Record in Web of Science")</f>
        <v>View Full Record in Web of Science</v>
      </c>
    </row>
    <row r="742" spans="1:72" x14ac:dyDescent="0.15">
      <c r="A742" t="s">
        <v>72</v>
      </c>
      <c r="B742" t="s">
        <v>14072</v>
      </c>
      <c r="C742" t="s">
        <v>74</v>
      </c>
      <c r="D742" t="s">
        <v>74</v>
      </c>
      <c r="E742" t="s">
        <v>74</v>
      </c>
      <c r="F742" t="s">
        <v>14073</v>
      </c>
      <c r="G742" t="s">
        <v>74</v>
      </c>
      <c r="H742" t="s">
        <v>74</v>
      </c>
      <c r="I742" t="s">
        <v>14074</v>
      </c>
      <c r="J742" t="s">
        <v>1001</v>
      </c>
      <c r="K742" t="s">
        <v>74</v>
      </c>
      <c r="L742" t="s">
        <v>74</v>
      </c>
      <c r="M742" t="s">
        <v>78</v>
      </c>
      <c r="N742" t="s">
        <v>338</v>
      </c>
      <c r="O742" t="s">
        <v>74</v>
      </c>
      <c r="P742" t="s">
        <v>74</v>
      </c>
      <c r="Q742" t="s">
        <v>74</v>
      </c>
      <c r="R742" t="s">
        <v>74</v>
      </c>
      <c r="S742" t="s">
        <v>74</v>
      </c>
      <c r="T742" t="s">
        <v>14075</v>
      </c>
      <c r="U742" t="s">
        <v>14076</v>
      </c>
      <c r="V742" t="s">
        <v>14077</v>
      </c>
      <c r="W742" t="s">
        <v>14078</v>
      </c>
      <c r="X742" t="s">
        <v>14079</v>
      </c>
      <c r="Y742" t="s">
        <v>14080</v>
      </c>
      <c r="Z742" t="s">
        <v>14081</v>
      </c>
      <c r="AA742" t="s">
        <v>74</v>
      </c>
      <c r="AB742" t="s">
        <v>14082</v>
      </c>
      <c r="AC742" t="s">
        <v>14083</v>
      </c>
      <c r="AD742" t="s">
        <v>14084</v>
      </c>
      <c r="AE742" t="s">
        <v>14085</v>
      </c>
      <c r="AF742" t="s">
        <v>74</v>
      </c>
      <c r="AG742">
        <v>69</v>
      </c>
      <c r="AH742">
        <v>0</v>
      </c>
      <c r="AI742">
        <v>0</v>
      </c>
      <c r="AJ742">
        <v>21</v>
      </c>
      <c r="AK742">
        <v>21</v>
      </c>
      <c r="AL742" t="s">
        <v>426</v>
      </c>
      <c r="AM742" t="s">
        <v>427</v>
      </c>
      <c r="AN742" t="s">
        <v>428</v>
      </c>
      <c r="AO742" t="s">
        <v>1014</v>
      </c>
      <c r="AP742" t="s">
        <v>1015</v>
      </c>
      <c r="AQ742" t="s">
        <v>74</v>
      </c>
      <c r="AR742" t="s">
        <v>1016</v>
      </c>
      <c r="AS742" t="s">
        <v>1017</v>
      </c>
      <c r="AT742" t="s">
        <v>13584</v>
      </c>
      <c r="AU742">
        <v>2023</v>
      </c>
      <c r="AV742" t="s">
        <v>74</v>
      </c>
      <c r="AW742" t="s">
        <v>74</v>
      </c>
      <c r="AX742" t="s">
        <v>74</v>
      </c>
      <c r="AY742" t="s">
        <v>74</v>
      </c>
      <c r="AZ742" t="s">
        <v>74</v>
      </c>
      <c r="BA742" t="s">
        <v>74</v>
      </c>
      <c r="BB742" t="s">
        <v>74</v>
      </c>
      <c r="BC742" t="s">
        <v>74</v>
      </c>
      <c r="BD742" t="s">
        <v>74</v>
      </c>
      <c r="BE742" t="s">
        <v>14086</v>
      </c>
      <c r="BF742" t="str">
        <f>HYPERLINK("http://dx.doi.org/10.1002/anie.202308086","http://dx.doi.org/10.1002/anie.202308086")</f>
        <v>http://dx.doi.org/10.1002/anie.202308086</v>
      </c>
      <c r="BG742" t="s">
        <v>74</v>
      </c>
      <c r="BH742" t="s">
        <v>7524</v>
      </c>
      <c r="BI742">
        <v>11</v>
      </c>
      <c r="BJ742" t="s">
        <v>523</v>
      </c>
      <c r="BK742" t="s">
        <v>119</v>
      </c>
      <c r="BL742" t="s">
        <v>524</v>
      </c>
      <c r="BM742" t="s">
        <v>14087</v>
      </c>
      <c r="BN742">
        <v>37548922</v>
      </c>
      <c r="BO742" t="s">
        <v>74</v>
      </c>
      <c r="BP742" t="s">
        <v>74</v>
      </c>
      <c r="BQ742" t="s">
        <v>74</v>
      </c>
      <c r="BR742" t="s">
        <v>99</v>
      </c>
      <c r="BS742" t="s">
        <v>14088</v>
      </c>
      <c r="BT742" t="str">
        <f>HYPERLINK("https%3A%2F%2Fwww.webofscience.com%2Fwos%2Fwoscc%2Ffull-record%2FWOS:001043329100001","View Full Record in Web of Science")</f>
        <v>View Full Record in Web of Science</v>
      </c>
    </row>
    <row r="743" spans="1:72" x14ac:dyDescent="0.15">
      <c r="A743" t="s">
        <v>72</v>
      </c>
      <c r="B743" t="s">
        <v>14089</v>
      </c>
      <c r="C743" t="s">
        <v>74</v>
      </c>
      <c r="D743" t="s">
        <v>74</v>
      </c>
      <c r="E743" t="s">
        <v>74</v>
      </c>
      <c r="F743" t="s">
        <v>14090</v>
      </c>
      <c r="G743" t="s">
        <v>74</v>
      </c>
      <c r="H743" t="s">
        <v>74</v>
      </c>
      <c r="I743" t="s">
        <v>14091</v>
      </c>
      <c r="J743" t="s">
        <v>14092</v>
      </c>
      <c r="K743" t="s">
        <v>74</v>
      </c>
      <c r="L743" t="s">
        <v>74</v>
      </c>
      <c r="M743" t="s">
        <v>78</v>
      </c>
      <c r="N743" t="s">
        <v>338</v>
      </c>
      <c r="O743" t="s">
        <v>74</v>
      </c>
      <c r="P743" t="s">
        <v>74</v>
      </c>
      <c r="Q743" t="s">
        <v>74</v>
      </c>
      <c r="R743" t="s">
        <v>74</v>
      </c>
      <c r="S743" t="s">
        <v>74</v>
      </c>
      <c r="T743" t="s">
        <v>74</v>
      </c>
      <c r="U743" t="s">
        <v>14093</v>
      </c>
      <c r="V743" t="s">
        <v>14094</v>
      </c>
      <c r="W743" t="s">
        <v>14095</v>
      </c>
      <c r="X743" t="s">
        <v>14096</v>
      </c>
      <c r="Y743" t="s">
        <v>14097</v>
      </c>
      <c r="Z743" t="s">
        <v>14098</v>
      </c>
      <c r="AA743" t="s">
        <v>14099</v>
      </c>
      <c r="AB743" t="s">
        <v>14100</v>
      </c>
      <c r="AC743" t="s">
        <v>74</v>
      </c>
      <c r="AD743" t="s">
        <v>74</v>
      </c>
      <c r="AE743" t="s">
        <v>74</v>
      </c>
      <c r="AF743" t="s">
        <v>74</v>
      </c>
      <c r="AG743">
        <v>27</v>
      </c>
      <c r="AH743">
        <v>0</v>
      </c>
      <c r="AI743">
        <v>0</v>
      </c>
      <c r="AJ743">
        <v>2</v>
      </c>
      <c r="AK743">
        <v>2</v>
      </c>
      <c r="AL743" t="s">
        <v>87</v>
      </c>
      <c r="AM743" t="s">
        <v>88</v>
      </c>
      <c r="AN743" t="s">
        <v>89</v>
      </c>
      <c r="AO743" t="s">
        <v>14101</v>
      </c>
      <c r="AP743" t="s">
        <v>14102</v>
      </c>
      <c r="AQ743" t="s">
        <v>74</v>
      </c>
      <c r="AR743" t="s">
        <v>14103</v>
      </c>
      <c r="AS743" t="s">
        <v>14104</v>
      </c>
      <c r="AT743" t="s">
        <v>14105</v>
      </c>
      <c r="AU743">
        <v>2023</v>
      </c>
      <c r="AV743" t="s">
        <v>74</v>
      </c>
      <c r="AW743" t="s">
        <v>74</v>
      </c>
      <c r="AX743" t="s">
        <v>74</v>
      </c>
      <c r="AY743" t="s">
        <v>74</v>
      </c>
      <c r="AZ743" t="s">
        <v>74</v>
      </c>
      <c r="BA743" t="s">
        <v>74</v>
      </c>
      <c r="BB743" t="s">
        <v>74</v>
      </c>
      <c r="BC743" t="s">
        <v>74</v>
      </c>
      <c r="BD743" t="s">
        <v>74</v>
      </c>
      <c r="BE743" t="s">
        <v>14106</v>
      </c>
      <c r="BF743" t="str">
        <f>HYPERLINK("http://dx.doi.org/10.1002/rem.21761","http://dx.doi.org/10.1002/rem.21761")</f>
        <v>http://dx.doi.org/10.1002/rem.21761</v>
      </c>
      <c r="BG743" t="s">
        <v>74</v>
      </c>
      <c r="BH743" t="s">
        <v>7524</v>
      </c>
      <c r="BI743">
        <v>14</v>
      </c>
      <c r="BJ743" t="s">
        <v>14107</v>
      </c>
      <c r="BK743" t="s">
        <v>96</v>
      </c>
      <c r="BL743" t="s">
        <v>1250</v>
      </c>
      <c r="BM743" t="s">
        <v>14108</v>
      </c>
      <c r="BN743" t="s">
        <v>74</v>
      </c>
      <c r="BO743" t="s">
        <v>74</v>
      </c>
      <c r="BP743" t="s">
        <v>74</v>
      </c>
      <c r="BQ743" t="s">
        <v>74</v>
      </c>
      <c r="BR743" t="s">
        <v>99</v>
      </c>
      <c r="BS743" t="s">
        <v>14109</v>
      </c>
      <c r="BT743" t="str">
        <f>HYPERLINK("https%3A%2F%2Fwww.webofscience.com%2Fwos%2Fwoscc%2Ffull-record%2FWOS:001043025000001","View Full Record in Web of Science")</f>
        <v>View Full Record in Web of Science</v>
      </c>
    </row>
    <row r="744" spans="1:72" x14ac:dyDescent="0.15">
      <c r="A744" t="s">
        <v>72</v>
      </c>
      <c r="B744" t="s">
        <v>14110</v>
      </c>
      <c r="C744" t="s">
        <v>74</v>
      </c>
      <c r="D744" t="s">
        <v>74</v>
      </c>
      <c r="E744" t="s">
        <v>74</v>
      </c>
      <c r="F744" t="s">
        <v>14111</v>
      </c>
      <c r="G744" t="s">
        <v>74</v>
      </c>
      <c r="H744" t="s">
        <v>74</v>
      </c>
      <c r="I744" t="s">
        <v>14112</v>
      </c>
      <c r="J744" t="s">
        <v>1773</v>
      </c>
      <c r="K744" t="s">
        <v>74</v>
      </c>
      <c r="L744" t="s">
        <v>74</v>
      </c>
      <c r="M744" t="s">
        <v>78</v>
      </c>
      <c r="N744" t="s">
        <v>338</v>
      </c>
      <c r="O744" t="s">
        <v>74</v>
      </c>
      <c r="P744" t="s">
        <v>74</v>
      </c>
      <c r="Q744" t="s">
        <v>74</v>
      </c>
      <c r="R744" t="s">
        <v>74</v>
      </c>
      <c r="S744" t="s">
        <v>74</v>
      </c>
      <c r="T744" t="s">
        <v>14113</v>
      </c>
      <c r="U744" t="s">
        <v>14114</v>
      </c>
      <c r="V744" t="s">
        <v>14115</v>
      </c>
      <c r="W744" t="s">
        <v>14116</v>
      </c>
      <c r="X744" t="s">
        <v>14117</v>
      </c>
      <c r="Y744" t="s">
        <v>14118</v>
      </c>
      <c r="Z744" t="s">
        <v>14119</v>
      </c>
      <c r="AA744" t="s">
        <v>14120</v>
      </c>
      <c r="AB744" t="s">
        <v>14121</v>
      </c>
      <c r="AC744" t="s">
        <v>14122</v>
      </c>
      <c r="AD744" t="s">
        <v>14123</v>
      </c>
      <c r="AE744" t="s">
        <v>14124</v>
      </c>
      <c r="AF744" t="s">
        <v>74</v>
      </c>
      <c r="AG744">
        <v>56</v>
      </c>
      <c r="AH744">
        <v>1</v>
      </c>
      <c r="AI744">
        <v>1</v>
      </c>
      <c r="AJ744">
        <v>9</v>
      </c>
      <c r="AK744">
        <v>9</v>
      </c>
      <c r="AL744" t="s">
        <v>426</v>
      </c>
      <c r="AM744" t="s">
        <v>427</v>
      </c>
      <c r="AN744" t="s">
        <v>428</v>
      </c>
      <c r="AO744" t="s">
        <v>1785</v>
      </c>
      <c r="AP744" t="s">
        <v>1786</v>
      </c>
      <c r="AQ744" t="s">
        <v>74</v>
      </c>
      <c r="AR744" t="s">
        <v>1787</v>
      </c>
      <c r="AS744" t="s">
        <v>1788</v>
      </c>
      <c r="AT744" t="s">
        <v>14105</v>
      </c>
      <c r="AU744">
        <v>2023</v>
      </c>
      <c r="AV744" t="s">
        <v>74</v>
      </c>
      <c r="AW744" t="s">
        <v>74</v>
      </c>
      <c r="AX744" t="s">
        <v>74</v>
      </c>
      <c r="AY744" t="s">
        <v>74</v>
      </c>
      <c r="AZ744" t="s">
        <v>74</v>
      </c>
      <c r="BA744" t="s">
        <v>74</v>
      </c>
      <c r="BB744" t="s">
        <v>74</v>
      </c>
      <c r="BC744" t="s">
        <v>74</v>
      </c>
      <c r="BD744" t="s">
        <v>74</v>
      </c>
      <c r="BE744" t="s">
        <v>14125</v>
      </c>
      <c r="BF744" t="str">
        <f>HYPERLINK("http://dx.doi.org/10.1002/adma.202302543","http://dx.doi.org/10.1002/adma.202302543")</f>
        <v>http://dx.doi.org/10.1002/adma.202302543</v>
      </c>
      <c r="BG744" t="s">
        <v>74</v>
      </c>
      <c r="BH744" t="s">
        <v>7524</v>
      </c>
      <c r="BI744">
        <v>8</v>
      </c>
      <c r="BJ744" t="s">
        <v>609</v>
      </c>
      <c r="BK744" t="s">
        <v>119</v>
      </c>
      <c r="BL744" t="s">
        <v>610</v>
      </c>
      <c r="BM744" t="s">
        <v>14126</v>
      </c>
      <c r="BN744">
        <v>37452718</v>
      </c>
      <c r="BO744" t="s">
        <v>122</v>
      </c>
      <c r="BP744" t="s">
        <v>74</v>
      </c>
      <c r="BQ744" t="s">
        <v>74</v>
      </c>
      <c r="BR744" t="s">
        <v>99</v>
      </c>
      <c r="BS744" t="s">
        <v>14127</v>
      </c>
      <c r="BT744" t="str">
        <f>HYPERLINK("https%3A%2F%2Fwww.webofscience.com%2Fwos%2Fwoscc%2Ffull-record%2FWOS:001042899300001","View Full Record in Web of Science")</f>
        <v>View Full Record in Web of Science</v>
      </c>
    </row>
    <row r="745" spans="1:72" x14ac:dyDescent="0.15">
      <c r="A745" t="s">
        <v>72</v>
      </c>
      <c r="B745" t="s">
        <v>14128</v>
      </c>
      <c r="C745" t="s">
        <v>74</v>
      </c>
      <c r="D745" t="s">
        <v>74</v>
      </c>
      <c r="E745" t="s">
        <v>74</v>
      </c>
      <c r="F745" t="s">
        <v>14129</v>
      </c>
      <c r="G745" t="s">
        <v>74</v>
      </c>
      <c r="H745" t="s">
        <v>74</v>
      </c>
      <c r="I745" t="s">
        <v>14130</v>
      </c>
      <c r="J745" t="s">
        <v>1334</v>
      </c>
      <c r="K745" t="s">
        <v>74</v>
      </c>
      <c r="L745" t="s">
        <v>74</v>
      </c>
      <c r="M745" t="s">
        <v>78</v>
      </c>
      <c r="N745" t="s">
        <v>307</v>
      </c>
      <c r="O745" t="s">
        <v>74</v>
      </c>
      <c r="P745" t="s">
        <v>74</v>
      </c>
      <c r="Q745" t="s">
        <v>74</v>
      </c>
      <c r="R745" t="s">
        <v>74</v>
      </c>
      <c r="S745" t="s">
        <v>74</v>
      </c>
      <c r="T745" t="s">
        <v>74</v>
      </c>
      <c r="U745" t="s">
        <v>14131</v>
      </c>
      <c r="V745" t="s">
        <v>74</v>
      </c>
      <c r="W745" t="s">
        <v>14132</v>
      </c>
      <c r="X745" t="s">
        <v>14133</v>
      </c>
      <c r="Y745" t="s">
        <v>14134</v>
      </c>
      <c r="Z745" t="s">
        <v>14135</v>
      </c>
      <c r="AA745" t="s">
        <v>74</v>
      </c>
      <c r="AB745" t="s">
        <v>14136</v>
      </c>
      <c r="AC745" t="s">
        <v>74</v>
      </c>
      <c r="AD745" t="s">
        <v>74</v>
      </c>
      <c r="AE745" t="s">
        <v>74</v>
      </c>
      <c r="AF745" t="s">
        <v>74</v>
      </c>
      <c r="AG745">
        <v>4</v>
      </c>
      <c r="AH745">
        <v>0</v>
      </c>
      <c r="AI745">
        <v>0</v>
      </c>
      <c r="AJ745">
        <v>0</v>
      </c>
      <c r="AK745">
        <v>0</v>
      </c>
      <c r="AL745" t="s">
        <v>87</v>
      </c>
      <c r="AM745" t="s">
        <v>88</v>
      </c>
      <c r="AN745" t="s">
        <v>89</v>
      </c>
      <c r="AO745" t="s">
        <v>1345</v>
      </c>
      <c r="AP745" t="s">
        <v>1346</v>
      </c>
      <c r="AQ745" t="s">
        <v>74</v>
      </c>
      <c r="AR745" t="s">
        <v>1347</v>
      </c>
      <c r="AS745" t="s">
        <v>1348</v>
      </c>
      <c r="AT745" t="s">
        <v>6725</v>
      </c>
      <c r="AU745">
        <v>2023</v>
      </c>
      <c r="AV745">
        <v>35</v>
      </c>
      <c r="AW745">
        <v>6</v>
      </c>
      <c r="AX745" t="s">
        <v>74</v>
      </c>
      <c r="AY745" t="s">
        <v>74</v>
      </c>
      <c r="AZ745" t="s">
        <v>74</v>
      </c>
      <c r="BA745" t="s">
        <v>74</v>
      </c>
      <c r="BB745" t="s">
        <v>14137</v>
      </c>
      <c r="BC745" t="s">
        <v>14138</v>
      </c>
      <c r="BD745" t="s">
        <v>74</v>
      </c>
      <c r="BE745" t="s">
        <v>14139</v>
      </c>
      <c r="BF745" t="str">
        <f>HYPERLINK("http://dx.doi.org/10.1111/den.14634","http://dx.doi.org/10.1111/den.14634")</f>
        <v>http://dx.doi.org/10.1111/den.14634</v>
      </c>
      <c r="BG745" t="s">
        <v>74</v>
      </c>
      <c r="BH745" t="s">
        <v>7524</v>
      </c>
      <c r="BI745">
        <v>2</v>
      </c>
      <c r="BJ745" t="s">
        <v>1350</v>
      </c>
      <c r="BK745" t="s">
        <v>119</v>
      </c>
      <c r="BL745" t="s">
        <v>1350</v>
      </c>
      <c r="BM745" t="s">
        <v>14140</v>
      </c>
      <c r="BN745">
        <v>37543847</v>
      </c>
      <c r="BO745" t="s">
        <v>301</v>
      </c>
      <c r="BP745" t="s">
        <v>74</v>
      </c>
      <c r="BQ745" t="s">
        <v>74</v>
      </c>
      <c r="BR745" t="s">
        <v>99</v>
      </c>
      <c r="BS745" t="s">
        <v>14141</v>
      </c>
      <c r="BT745" t="str">
        <f>HYPERLINK("https%3A%2F%2Fwww.webofscience.com%2Fwos%2Fwoscc%2Ffull-record%2FWOS:001042798500001","View Full Record in Web of Science")</f>
        <v>View Full Record in Web of Science</v>
      </c>
    </row>
    <row r="746" spans="1:72" x14ac:dyDescent="0.15">
      <c r="A746" t="s">
        <v>72</v>
      </c>
      <c r="B746" t="s">
        <v>14142</v>
      </c>
      <c r="C746" t="s">
        <v>74</v>
      </c>
      <c r="D746" t="s">
        <v>74</v>
      </c>
      <c r="E746" t="s">
        <v>74</v>
      </c>
      <c r="F746" t="s">
        <v>14143</v>
      </c>
      <c r="G746" t="s">
        <v>74</v>
      </c>
      <c r="H746" t="s">
        <v>74</v>
      </c>
      <c r="I746" t="s">
        <v>14144</v>
      </c>
      <c r="J746" t="s">
        <v>3936</v>
      </c>
      <c r="K746" t="s">
        <v>74</v>
      </c>
      <c r="L746" t="s">
        <v>74</v>
      </c>
      <c r="M746" t="s">
        <v>78</v>
      </c>
      <c r="N746" t="s">
        <v>338</v>
      </c>
      <c r="O746" t="s">
        <v>74</v>
      </c>
      <c r="P746" t="s">
        <v>74</v>
      </c>
      <c r="Q746" t="s">
        <v>74</v>
      </c>
      <c r="R746" t="s">
        <v>74</v>
      </c>
      <c r="S746" t="s">
        <v>74</v>
      </c>
      <c r="T746" t="s">
        <v>14145</v>
      </c>
      <c r="U746" t="s">
        <v>14146</v>
      </c>
      <c r="V746" t="s">
        <v>14147</v>
      </c>
      <c r="W746" t="s">
        <v>14148</v>
      </c>
      <c r="X746" t="s">
        <v>14149</v>
      </c>
      <c r="Y746" t="s">
        <v>14150</v>
      </c>
      <c r="Z746" t="s">
        <v>14151</v>
      </c>
      <c r="AA746" t="s">
        <v>74</v>
      </c>
      <c r="AB746" t="s">
        <v>74</v>
      </c>
      <c r="AC746" t="s">
        <v>14152</v>
      </c>
      <c r="AD746" t="s">
        <v>14153</v>
      </c>
      <c r="AE746" t="s">
        <v>14154</v>
      </c>
      <c r="AF746" t="s">
        <v>74</v>
      </c>
      <c r="AG746">
        <v>41</v>
      </c>
      <c r="AH746">
        <v>0</v>
      </c>
      <c r="AI746">
        <v>0</v>
      </c>
      <c r="AJ746">
        <v>8</v>
      </c>
      <c r="AK746">
        <v>8</v>
      </c>
      <c r="AL746" t="s">
        <v>87</v>
      </c>
      <c r="AM746" t="s">
        <v>88</v>
      </c>
      <c r="AN746" t="s">
        <v>89</v>
      </c>
      <c r="AO746" t="s">
        <v>3947</v>
      </c>
      <c r="AP746" t="s">
        <v>3948</v>
      </c>
      <c r="AQ746" t="s">
        <v>74</v>
      </c>
      <c r="AR746" t="s">
        <v>3949</v>
      </c>
      <c r="AS746" t="s">
        <v>3950</v>
      </c>
      <c r="AT746" t="s">
        <v>14105</v>
      </c>
      <c r="AU746">
        <v>2023</v>
      </c>
      <c r="AV746" t="s">
        <v>74</v>
      </c>
      <c r="AW746" t="s">
        <v>74</v>
      </c>
      <c r="AX746" t="s">
        <v>74</v>
      </c>
      <c r="AY746" t="s">
        <v>74</v>
      </c>
      <c r="AZ746" t="s">
        <v>74</v>
      </c>
      <c r="BA746" t="s">
        <v>74</v>
      </c>
      <c r="BB746" t="s">
        <v>74</v>
      </c>
      <c r="BC746" t="s">
        <v>74</v>
      </c>
      <c r="BD746" t="s">
        <v>74</v>
      </c>
      <c r="BE746" t="s">
        <v>14155</v>
      </c>
      <c r="BF746" t="str">
        <f>HYPERLINK("http://dx.doi.org/10.1002/pc.27595","http://dx.doi.org/10.1002/pc.27595")</f>
        <v>http://dx.doi.org/10.1002/pc.27595</v>
      </c>
      <c r="BG746" t="s">
        <v>74</v>
      </c>
      <c r="BH746" t="s">
        <v>7524</v>
      </c>
      <c r="BI746">
        <v>15</v>
      </c>
      <c r="BJ746" t="s">
        <v>3952</v>
      </c>
      <c r="BK746" t="s">
        <v>119</v>
      </c>
      <c r="BL746" t="s">
        <v>3953</v>
      </c>
      <c r="BM746" t="s">
        <v>14156</v>
      </c>
      <c r="BN746" t="s">
        <v>74</v>
      </c>
      <c r="BO746" t="s">
        <v>74</v>
      </c>
      <c r="BP746" t="s">
        <v>74</v>
      </c>
      <c r="BQ746" t="s">
        <v>74</v>
      </c>
      <c r="BR746" t="s">
        <v>99</v>
      </c>
      <c r="BS746" t="s">
        <v>14157</v>
      </c>
      <c r="BT746" t="str">
        <f>HYPERLINK("https%3A%2F%2Fwww.webofscience.com%2Fwos%2Fwoscc%2Ffull-record%2FWOS:001043375600001","View Full Record in Web of Science")</f>
        <v>View Full Record in Web of Science</v>
      </c>
    </row>
    <row r="747" spans="1:72" x14ac:dyDescent="0.15">
      <c r="A747" t="s">
        <v>72</v>
      </c>
      <c r="B747" t="s">
        <v>14158</v>
      </c>
      <c r="C747" t="s">
        <v>74</v>
      </c>
      <c r="D747" t="s">
        <v>74</v>
      </c>
      <c r="E747" t="s">
        <v>74</v>
      </c>
      <c r="F747" t="s">
        <v>14159</v>
      </c>
      <c r="G747" t="s">
        <v>74</v>
      </c>
      <c r="H747" t="s">
        <v>74</v>
      </c>
      <c r="I747" t="s">
        <v>14160</v>
      </c>
      <c r="J747" t="s">
        <v>11413</v>
      </c>
      <c r="K747" t="s">
        <v>74</v>
      </c>
      <c r="L747" t="s">
        <v>74</v>
      </c>
      <c r="M747" t="s">
        <v>78</v>
      </c>
      <c r="N747" t="s">
        <v>338</v>
      </c>
      <c r="O747" t="s">
        <v>74</v>
      </c>
      <c r="P747" t="s">
        <v>74</v>
      </c>
      <c r="Q747" t="s">
        <v>74</v>
      </c>
      <c r="R747" t="s">
        <v>74</v>
      </c>
      <c r="S747" t="s">
        <v>74</v>
      </c>
      <c r="T747" t="s">
        <v>14161</v>
      </c>
      <c r="U747" t="s">
        <v>14162</v>
      </c>
      <c r="V747" t="s">
        <v>14163</v>
      </c>
      <c r="W747" t="s">
        <v>14164</v>
      </c>
      <c r="X747" t="s">
        <v>14165</v>
      </c>
      <c r="Y747" t="s">
        <v>14166</v>
      </c>
      <c r="Z747" t="s">
        <v>14167</v>
      </c>
      <c r="AA747" t="s">
        <v>74</v>
      </c>
      <c r="AB747" t="s">
        <v>14168</v>
      </c>
      <c r="AC747" t="s">
        <v>14169</v>
      </c>
      <c r="AD747" t="s">
        <v>14170</v>
      </c>
      <c r="AE747" t="s">
        <v>14171</v>
      </c>
      <c r="AF747" t="s">
        <v>74</v>
      </c>
      <c r="AG747">
        <v>52</v>
      </c>
      <c r="AH747">
        <v>0</v>
      </c>
      <c r="AI747">
        <v>0</v>
      </c>
      <c r="AJ747">
        <v>1</v>
      </c>
      <c r="AK747">
        <v>1</v>
      </c>
      <c r="AL747" t="s">
        <v>87</v>
      </c>
      <c r="AM747" t="s">
        <v>88</v>
      </c>
      <c r="AN747" t="s">
        <v>89</v>
      </c>
      <c r="AO747" t="s">
        <v>11422</v>
      </c>
      <c r="AP747" t="s">
        <v>11423</v>
      </c>
      <c r="AQ747" t="s">
        <v>74</v>
      </c>
      <c r="AR747" t="s">
        <v>11424</v>
      </c>
      <c r="AS747" t="s">
        <v>11425</v>
      </c>
      <c r="AT747" t="s">
        <v>14105</v>
      </c>
      <c r="AU747">
        <v>2023</v>
      </c>
      <c r="AV747" t="s">
        <v>74</v>
      </c>
      <c r="AW747" t="s">
        <v>74</v>
      </c>
      <c r="AX747" t="s">
        <v>74</v>
      </c>
      <c r="AY747" t="s">
        <v>74</v>
      </c>
      <c r="AZ747" t="s">
        <v>74</v>
      </c>
      <c r="BA747" t="s">
        <v>74</v>
      </c>
      <c r="BB747" t="s">
        <v>74</v>
      </c>
      <c r="BC747" t="s">
        <v>74</v>
      </c>
      <c r="BD747" t="s">
        <v>74</v>
      </c>
      <c r="BE747" t="s">
        <v>14172</v>
      </c>
      <c r="BF747" t="str">
        <f>HYPERLINK("http://dx.doi.org/10.1002/smr.2602","http://dx.doi.org/10.1002/smr.2602")</f>
        <v>http://dx.doi.org/10.1002/smr.2602</v>
      </c>
      <c r="BG747" t="s">
        <v>74</v>
      </c>
      <c r="BH747" t="s">
        <v>7524</v>
      </c>
      <c r="BI747">
        <v>20</v>
      </c>
      <c r="BJ747" t="s">
        <v>11427</v>
      </c>
      <c r="BK747" t="s">
        <v>119</v>
      </c>
      <c r="BL747" t="s">
        <v>1875</v>
      </c>
      <c r="BM747" t="s">
        <v>14173</v>
      </c>
      <c r="BN747" t="s">
        <v>74</v>
      </c>
      <c r="BO747" t="s">
        <v>122</v>
      </c>
      <c r="BP747" t="s">
        <v>74</v>
      </c>
      <c r="BQ747" t="s">
        <v>74</v>
      </c>
      <c r="BR747" t="s">
        <v>99</v>
      </c>
      <c r="BS747" t="s">
        <v>14174</v>
      </c>
      <c r="BT747" t="str">
        <f>HYPERLINK("https%3A%2F%2Fwww.webofscience.com%2Fwos%2Fwoscc%2Ffull-record%2FWOS:001043024000001","View Full Record in Web of Science")</f>
        <v>View Full Record in Web of Science</v>
      </c>
    </row>
    <row r="748" spans="1:72" x14ac:dyDescent="0.15">
      <c r="A748" t="s">
        <v>72</v>
      </c>
      <c r="B748" t="s">
        <v>14175</v>
      </c>
      <c r="C748" t="s">
        <v>74</v>
      </c>
      <c r="D748" t="s">
        <v>74</v>
      </c>
      <c r="E748" t="s">
        <v>74</v>
      </c>
      <c r="F748" t="s">
        <v>14176</v>
      </c>
      <c r="G748" t="s">
        <v>74</v>
      </c>
      <c r="H748" t="s">
        <v>74</v>
      </c>
      <c r="I748" t="s">
        <v>14177</v>
      </c>
      <c r="J748" t="s">
        <v>11991</v>
      </c>
      <c r="K748" t="s">
        <v>74</v>
      </c>
      <c r="L748" t="s">
        <v>74</v>
      </c>
      <c r="M748" t="s">
        <v>78</v>
      </c>
      <c r="N748" t="s">
        <v>338</v>
      </c>
      <c r="O748" t="s">
        <v>74</v>
      </c>
      <c r="P748" t="s">
        <v>74</v>
      </c>
      <c r="Q748" t="s">
        <v>74</v>
      </c>
      <c r="R748" t="s">
        <v>74</v>
      </c>
      <c r="S748" t="s">
        <v>74</v>
      </c>
      <c r="T748" t="s">
        <v>14178</v>
      </c>
      <c r="U748" t="s">
        <v>14179</v>
      </c>
      <c r="V748" t="s">
        <v>14180</v>
      </c>
      <c r="W748" t="s">
        <v>14181</v>
      </c>
      <c r="X748" t="s">
        <v>14182</v>
      </c>
      <c r="Y748" t="s">
        <v>14183</v>
      </c>
      <c r="Z748" t="s">
        <v>14184</v>
      </c>
      <c r="AA748" t="s">
        <v>14185</v>
      </c>
      <c r="AB748" t="s">
        <v>14186</v>
      </c>
      <c r="AC748" t="s">
        <v>74</v>
      </c>
      <c r="AD748" t="s">
        <v>74</v>
      </c>
      <c r="AE748" t="s">
        <v>74</v>
      </c>
      <c r="AF748" t="s">
        <v>74</v>
      </c>
      <c r="AG748">
        <v>53</v>
      </c>
      <c r="AH748">
        <v>0</v>
      </c>
      <c r="AI748">
        <v>0</v>
      </c>
      <c r="AJ748">
        <v>0</v>
      </c>
      <c r="AK748">
        <v>0</v>
      </c>
      <c r="AL748" t="s">
        <v>87</v>
      </c>
      <c r="AM748" t="s">
        <v>88</v>
      </c>
      <c r="AN748" t="s">
        <v>89</v>
      </c>
      <c r="AO748" t="s">
        <v>11995</v>
      </c>
      <c r="AP748" t="s">
        <v>11996</v>
      </c>
      <c r="AQ748" t="s">
        <v>74</v>
      </c>
      <c r="AR748" t="s">
        <v>11991</v>
      </c>
      <c r="AS748" t="s">
        <v>11997</v>
      </c>
      <c r="AT748" t="s">
        <v>14105</v>
      </c>
      <c r="AU748">
        <v>2023</v>
      </c>
      <c r="AV748" t="s">
        <v>74</v>
      </c>
      <c r="AW748" t="s">
        <v>74</v>
      </c>
      <c r="AX748" t="s">
        <v>74</v>
      </c>
      <c r="AY748" t="s">
        <v>74</v>
      </c>
      <c r="AZ748" t="s">
        <v>74</v>
      </c>
      <c r="BA748" t="s">
        <v>74</v>
      </c>
      <c r="BB748" t="s">
        <v>74</v>
      </c>
      <c r="BC748" t="s">
        <v>74</v>
      </c>
      <c r="BD748" t="s">
        <v>74</v>
      </c>
      <c r="BE748" t="s">
        <v>14187</v>
      </c>
      <c r="BF748" t="str">
        <f>HYPERLINK("http://dx.doi.org/10.1002/lary.30930","http://dx.doi.org/10.1002/lary.30930")</f>
        <v>http://dx.doi.org/10.1002/lary.30930</v>
      </c>
      <c r="BG748" t="s">
        <v>74</v>
      </c>
      <c r="BH748" t="s">
        <v>7524</v>
      </c>
      <c r="BI748">
        <v>7</v>
      </c>
      <c r="BJ748" t="s">
        <v>11999</v>
      </c>
      <c r="BK748" t="s">
        <v>119</v>
      </c>
      <c r="BL748" t="s">
        <v>12000</v>
      </c>
      <c r="BM748" t="s">
        <v>14188</v>
      </c>
      <c r="BN748">
        <v>37543969</v>
      </c>
      <c r="BO748" t="s">
        <v>74</v>
      </c>
      <c r="BP748" t="s">
        <v>74</v>
      </c>
      <c r="BQ748" t="s">
        <v>74</v>
      </c>
      <c r="BR748" t="s">
        <v>99</v>
      </c>
      <c r="BS748" t="s">
        <v>14189</v>
      </c>
      <c r="BT748" t="str">
        <f>HYPERLINK("https%3A%2F%2Fwww.webofscience.com%2Fwos%2Fwoscc%2Ffull-record%2FWOS:001043378000001","View Full Record in Web of Science")</f>
        <v>View Full Record in Web of Science</v>
      </c>
    </row>
    <row r="749" spans="1:72" x14ac:dyDescent="0.15">
      <c r="A749" t="s">
        <v>72</v>
      </c>
      <c r="B749" t="s">
        <v>14190</v>
      </c>
      <c r="C749" t="s">
        <v>74</v>
      </c>
      <c r="D749" t="s">
        <v>74</v>
      </c>
      <c r="E749" t="s">
        <v>74</v>
      </c>
      <c r="F749" t="s">
        <v>14191</v>
      </c>
      <c r="G749" t="s">
        <v>74</v>
      </c>
      <c r="H749" t="s">
        <v>74</v>
      </c>
      <c r="I749" t="s">
        <v>14192</v>
      </c>
      <c r="J749" t="s">
        <v>5817</v>
      </c>
      <c r="K749" t="s">
        <v>74</v>
      </c>
      <c r="L749" t="s">
        <v>74</v>
      </c>
      <c r="M749" t="s">
        <v>78</v>
      </c>
      <c r="N749" t="s">
        <v>307</v>
      </c>
      <c r="O749" t="s">
        <v>74</v>
      </c>
      <c r="P749" t="s">
        <v>74</v>
      </c>
      <c r="Q749" t="s">
        <v>74</v>
      </c>
      <c r="R749" t="s">
        <v>74</v>
      </c>
      <c r="S749" t="s">
        <v>74</v>
      </c>
      <c r="T749" t="s">
        <v>74</v>
      </c>
      <c r="U749" t="s">
        <v>74</v>
      </c>
      <c r="V749" t="s">
        <v>74</v>
      </c>
      <c r="W749" t="s">
        <v>14193</v>
      </c>
      <c r="X749" t="s">
        <v>10899</v>
      </c>
      <c r="Y749" t="s">
        <v>14194</v>
      </c>
      <c r="Z749" t="s">
        <v>74</v>
      </c>
      <c r="AA749" t="s">
        <v>74</v>
      </c>
      <c r="AB749" t="s">
        <v>14195</v>
      </c>
      <c r="AC749" t="s">
        <v>14196</v>
      </c>
      <c r="AD749" t="s">
        <v>14196</v>
      </c>
      <c r="AE749" t="s">
        <v>14197</v>
      </c>
      <c r="AF749" t="s">
        <v>74</v>
      </c>
      <c r="AG749">
        <v>8</v>
      </c>
      <c r="AH749">
        <v>0</v>
      </c>
      <c r="AI749">
        <v>0</v>
      </c>
      <c r="AJ749">
        <v>0</v>
      </c>
      <c r="AK749">
        <v>0</v>
      </c>
      <c r="AL749" t="s">
        <v>87</v>
      </c>
      <c r="AM749" t="s">
        <v>88</v>
      </c>
      <c r="AN749" t="s">
        <v>89</v>
      </c>
      <c r="AO749" t="s">
        <v>5826</v>
      </c>
      <c r="AP749" t="s">
        <v>5827</v>
      </c>
      <c r="AQ749" t="s">
        <v>74</v>
      </c>
      <c r="AR749" t="s">
        <v>5828</v>
      </c>
      <c r="AS749" t="s">
        <v>5829</v>
      </c>
      <c r="AT749" t="s">
        <v>6725</v>
      </c>
      <c r="AU749">
        <v>2023</v>
      </c>
      <c r="AV749">
        <v>93</v>
      </c>
      <c r="AW749">
        <v>9</v>
      </c>
      <c r="AX749" t="s">
        <v>74</v>
      </c>
      <c r="AY749" t="s">
        <v>74</v>
      </c>
      <c r="AZ749" t="s">
        <v>74</v>
      </c>
      <c r="BA749" t="s">
        <v>74</v>
      </c>
      <c r="BB749">
        <v>2063</v>
      </c>
      <c r="BC749">
        <v>2064</v>
      </c>
      <c r="BD749" t="s">
        <v>74</v>
      </c>
      <c r="BE749" t="s">
        <v>14198</v>
      </c>
      <c r="BF749" t="str">
        <f>HYPERLINK("http://dx.doi.org/10.1111/ans.18651","http://dx.doi.org/10.1111/ans.18651")</f>
        <v>http://dx.doi.org/10.1111/ans.18651</v>
      </c>
      <c r="BG749" t="s">
        <v>74</v>
      </c>
      <c r="BH749" t="s">
        <v>7524</v>
      </c>
      <c r="BI749">
        <v>2</v>
      </c>
      <c r="BJ749" t="s">
        <v>2374</v>
      </c>
      <c r="BK749" t="s">
        <v>119</v>
      </c>
      <c r="BL749" t="s">
        <v>2374</v>
      </c>
      <c r="BM749" t="s">
        <v>14199</v>
      </c>
      <c r="BN749">
        <v>37545044</v>
      </c>
      <c r="BO749" t="s">
        <v>301</v>
      </c>
      <c r="BP749" t="s">
        <v>74</v>
      </c>
      <c r="BQ749" t="s">
        <v>74</v>
      </c>
      <c r="BR749" t="s">
        <v>99</v>
      </c>
      <c r="BS749" t="s">
        <v>14200</v>
      </c>
      <c r="BT749" t="str">
        <f>HYPERLINK("https%3A%2F%2Fwww.webofscience.com%2Fwos%2Fwoscc%2Ffull-record%2FWOS:001043528000001","View Full Record in Web of Science")</f>
        <v>View Full Record in Web of Science</v>
      </c>
    </row>
    <row r="750" spans="1:72" x14ac:dyDescent="0.15">
      <c r="A750" t="s">
        <v>72</v>
      </c>
      <c r="B750" t="s">
        <v>14201</v>
      </c>
      <c r="C750" t="s">
        <v>74</v>
      </c>
      <c r="D750" t="s">
        <v>74</v>
      </c>
      <c r="E750" t="s">
        <v>74</v>
      </c>
      <c r="F750" t="s">
        <v>14202</v>
      </c>
      <c r="G750" t="s">
        <v>74</v>
      </c>
      <c r="H750" t="s">
        <v>74</v>
      </c>
      <c r="I750" t="s">
        <v>14203</v>
      </c>
      <c r="J750" t="s">
        <v>14204</v>
      </c>
      <c r="K750" t="s">
        <v>74</v>
      </c>
      <c r="L750" t="s">
        <v>74</v>
      </c>
      <c r="M750" t="s">
        <v>78</v>
      </c>
      <c r="N750" t="s">
        <v>338</v>
      </c>
      <c r="O750" t="s">
        <v>74</v>
      </c>
      <c r="P750" t="s">
        <v>74</v>
      </c>
      <c r="Q750" t="s">
        <v>74</v>
      </c>
      <c r="R750" t="s">
        <v>74</v>
      </c>
      <c r="S750" t="s">
        <v>74</v>
      </c>
      <c r="T750" t="s">
        <v>14205</v>
      </c>
      <c r="U750" t="s">
        <v>14206</v>
      </c>
      <c r="V750" t="s">
        <v>14207</v>
      </c>
      <c r="W750" t="s">
        <v>14208</v>
      </c>
      <c r="X750" t="s">
        <v>14209</v>
      </c>
      <c r="Y750" t="s">
        <v>14210</v>
      </c>
      <c r="Z750" t="s">
        <v>14211</v>
      </c>
      <c r="AA750" t="s">
        <v>74</v>
      </c>
      <c r="AB750" t="s">
        <v>14212</v>
      </c>
      <c r="AC750" t="s">
        <v>74</v>
      </c>
      <c r="AD750" t="s">
        <v>74</v>
      </c>
      <c r="AE750" t="s">
        <v>74</v>
      </c>
      <c r="AF750" t="s">
        <v>74</v>
      </c>
      <c r="AG750">
        <v>81</v>
      </c>
      <c r="AH750">
        <v>0</v>
      </c>
      <c r="AI750">
        <v>0</v>
      </c>
      <c r="AJ750">
        <v>1</v>
      </c>
      <c r="AK750">
        <v>1</v>
      </c>
      <c r="AL750" t="s">
        <v>87</v>
      </c>
      <c r="AM750" t="s">
        <v>88</v>
      </c>
      <c r="AN750" t="s">
        <v>89</v>
      </c>
      <c r="AO750" t="s">
        <v>14213</v>
      </c>
      <c r="AP750" t="s">
        <v>14214</v>
      </c>
      <c r="AQ750" t="s">
        <v>74</v>
      </c>
      <c r="AR750" t="s">
        <v>14215</v>
      </c>
      <c r="AS750" t="s">
        <v>14216</v>
      </c>
      <c r="AT750" t="s">
        <v>14217</v>
      </c>
      <c r="AU750">
        <v>2023</v>
      </c>
      <c r="AV750" t="s">
        <v>74</v>
      </c>
      <c r="AW750" t="s">
        <v>74</v>
      </c>
      <c r="AX750" t="s">
        <v>74</v>
      </c>
      <c r="AY750" t="s">
        <v>74</v>
      </c>
      <c r="AZ750" t="s">
        <v>74</v>
      </c>
      <c r="BA750" t="s">
        <v>74</v>
      </c>
      <c r="BB750" t="s">
        <v>74</v>
      </c>
      <c r="BC750" t="s">
        <v>74</v>
      </c>
      <c r="BD750" t="s">
        <v>74</v>
      </c>
      <c r="BE750" t="s">
        <v>14218</v>
      </c>
      <c r="BF750" t="str">
        <f>HYPERLINK("http://dx.doi.org/10.1002/jclp.23574","http://dx.doi.org/10.1002/jclp.23574")</f>
        <v>http://dx.doi.org/10.1002/jclp.23574</v>
      </c>
      <c r="BG750" t="s">
        <v>74</v>
      </c>
      <c r="BH750" t="s">
        <v>7524</v>
      </c>
      <c r="BI750">
        <v>18</v>
      </c>
      <c r="BJ750" t="s">
        <v>6035</v>
      </c>
      <c r="BK750" t="s">
        <v>546</v>
      </c>
      <c r="BL750" t="s">
        <v>1210</v>
      </c>
      <c r="BM750" t="s">
        <v>14219</v>
      </c>
      <c r="BN750">
        <v>37543726</v>
      </c>
      <c r="BO750" t="s">
        <v>122</v>
      </c>
      <c r="BP750" t="s">
        <v>74</v>
      </c>
      <c r="BQ750" t="s">
        <v>74</v>
      </c>
      <c r="BR750" t="s">
        <v>99</v>
      </c>
      <c r="BS750" t="s">
        <v>14220</v>
      </c>
      <c r="BT750" t="str">
        <f>HYPERLINK("https%3A%2F%2Fwww.webofscience.com%2Fwos%2Fwoscc%2Ffull-record%2FWOS:001041319200001","View Full Record in Web of Science")</f>
        <v>View Full Record in Web of Science</v>
      </c>
    </row>
    <row r="751" spans="1:72" x14ac:dyDescent="0.15">
      <c r="A751" t="s">
        <v>72</v>
      </c>
      <c r="B751" t="s">
        <v>14221</v>
      </c>
      <c r="C751" t="s">
        <v>74</v>
      </c>
      <c r="D751" t="s">
        <v>74</v>
      </c>
      <c r="E751" t="s">
        <v>74</v>
      </c>
      <c r="F751" t="s">
        <v>14222</v>
      </c>
      <c r="G751" t="s">
        <v>74</v>
      </c>
      <c r="H751" t="s">
        <v>74</v>
      </c>
      <c r="I751" t="s">
        <v>14223</v>
      </c>
      <c r="J751" t="s">
        <v>14224</v>
      </c>
      <c r="K751" t="s">
        <v>74</v>
      </c>
      <c r="L751" t="s">
        <v>74</v>
      </c>
      <c r="M751" t="s">
        <v>78</v>
      </c>
      <c r="N751" t="s">
        <v>338</v>
      </c>
      <c r="O751" t="s">
        <v>74</v>
      </c>
      <c r="P751" t="s">
        <v>74</v>
      </c>
      <c r="Q751" t="s">
        <v>74</v>
      </c>
      <c r="R751" t="s">
        <v>74</v>
      </c>
      <c r="S751" t="s">
        <v>74</v>
      </c>
      <c r="T751" t="s">
        <v>14225</v>
      </c>
      <c r="U751" t="s">
        <v>14226</v>
      </c>
      <c r="V751" t="s">
        <v>14227</v>
      </c>
      <c r="W751" t="s">
        <v>14228</v>
      </c>
      <c r="X751" t="s">
        <v>14229</v>
      </c>
      <c r="Y751" t="s">
        <v>14230</v>
      </c>
      <c r="Z751" t="s">
        <v>14231</v>
      </c>
      <c r="AA751" t="s">
        <v>74</v>
      </c>
      <c r="AB751" t="s">
        <v>14232</v>
      </c>
      <c r="AC751" t="s">
        <v>14233</v>
      </c>
      <c r="AD751" t="s">
        <v>14234</v>
      </c>
      <c r="AE751" t="s">
        <v>14235</v>
      </c>
      <c r="AF751" t="s">
        <v>74</v>
      </c>
      <c r="AG751">
        <v>48</v>
      </c>
      <c r="AH751">
        <v>0</v>
      </c>
      <c r="AI751">
        <v>0</v>
      </c>
      <c r="AJ751">
        <v>0</v>
      </c>
      <c r="AK751">
        <v>0</v>
      </c>
      <c r="AL751" t="s">
        <v>87</v>
      </c>
      <c r="AM751" t="s">
        <v>88</v>
      </c>
      <c r="AN751" t="s">
        <v>89</v>
      </c>
      <c r="AO751" t="s">
        <v>14236</v>
      </c>
      <c r="AP751" t="s">
        <v>14237</v>
      </c>
      <c r="AQ751" t="s">
        <v>74</v>
      </c>
      <c r="AR751" t="s">
        <v>14238</v>
      </c>
      <c r="AS751" t="s">
        <v>14239</v>
      </c>
      <c r="AT751" t="s">
        <v>14240</v>
      </c>
      <c r="AU751">
        <v>2023</v>
      </c>
      <c r="AV751" t="s">
        <v>74</v>
      </c>
      <c r="AW751" t="s">
        <v>74</v>
      </c>
      <c r="AX751" t="s">
        <v>74</v>
      </c>
      <c r="AY751" t="s">
        <v>74</v>
      </c>
      <c r="AZ751" t="s">
        <v>74</v>
      </c>
      <c r="BA751" t="s">
        <v>74</v>
      </c>
      <c r="BB751" t="s">
        <v>74</v>
      </c>
      <c r="BC751" t="s">
        <v>74</v>
      </c>
      <c r="BD751" t="s">
        <v>74</v>
      </c>
      <c r="BE751" t="s">
        <v>14241</v>
      </c>
      <c r="BF751" t="str">
        <f>HYPERLINK("http://dx.doi.org/10.1002/aocs.12728","http://dx.doi.org/10.1002/aocs.12728")</f>
        <v>http://dx.doi.org/10.1002/aocs.12728</v>
      </c>
      <c r="BG751" t="s">
        <v>74</v>
      </c>
      <c r="BH751" t="s">
        <v>7524</v>
      </c>
      <c r="BI751">
        <v>13</v>
      </c>
      <c r="BJ751" t="s">
        <v>9156</v>
      </c>
      <c r="BK751" t="s">
        <v>119</v>
      </c>
      <c r="BL751" t="s">
        <v>9157</v>
      </c>
      <c r="BM751" t="s">
        <v>14242</v>
      </c>
      <c r="BN751" t="s">
        <v>74</v>
      </c>
      <c r="BO751" t="s">
        <v>74</v>
      </c>
      <c r="BP751" t="s">
        <v>74</v>
      </c>
      <c r="BQ751" t="s">
        <v>74</v>
      </c>
      <c r="BR751" t="s">
        <v>99</v>
      </c>
      <c r="BS751" t="s">
        <v>14243</v>
      </c>
      <c r="BT751" t="str">
        <f>HYPERLINK("https%3A%2F%2Fwww.webofscience.com%2Fwos%2Fwoscc%2Ffull-record%2FWOS:001042132200001","View Full Record in Web of Science")</f>
        <v>View Full Record in Web of Science</v>
      </c>
    </row>
    <row r="752" spans="1:72" x14ac:dyDescent="0.15">
      <c r="A752" t="s">
        <v>72</v>
      </c>
      <c r="B752" t="s">
        <v>14244</v>
      </c>
      <c r="C752" t="s">
        <v>74</v>
      </c>
      <c r="D752" t="s">
        <v>74</v>
      </c>
      <c r="E752" t="s">
        <v>74</v>
      </c>
      <c r="F752" t="s">
        <v>14245</v>
      </c>
      <c r="G752" t="s">
        <v>74</v>
      </c>
      <c r="H752" t="s">
        <v>74</v>
      </c>
      <c r="I752" t="s">
        <v>14246</v>
      </c>
      <c r="J752" t="s">
        <v>9751</v>
      </c>
      <c r="K752" t="s">
        <v>74</v>
      </c>
      <c r="L752" t="s">
        <v>74</v>
      </c>
      <c r="M752" t="s">
        <v>78</v>
      </c>
      <c r="N752" t="s">
        <v>338</v>
      </c>
      <c r="O752" t="s">
        <v>74</v>
      </c>
      <c r="P752" t="s">
        <v>74</v>
      </c>
      <c r="Q752" t="s">
        <v>74</v>
      </c>
      <c r="R752" t="s">
        <v>74</v>
      </c>
      <c r="S752" t="s">
        <v>74</v>
      </c>
      <c r="T752" t="s">
        <v>14247</v>
      </c>
      <c r="U752" t="s">
        <v>14248</v>
      </c>
      <c r="V752" t="s">
        <v>14249</v>
      </c>
      <c r="W752" t="s">
        <v>14250</v>
      </c>
      <c r="X752" t="s">
        <v>14251</v>
      </c>
      <c r="Y752" t="s">
        <v>14252</v>
      </c>
      <c r="Z752" t="s">
        <v>14253</v>
      </c>
      <c r="AA752" t="s">
        <v>74</v>
      </c>
      <c r="AB752" t="s">
        <v>14254</v>
      </c>
      <c r="AC752" t="s">
        <v>14255</v>
      </c>
      <c r="AD752" t="s">
        <v>14255</v>
      </c>
      <c r="AE752" t="s">
        <v>14255</v>
      </c>
      <c r="AF752" t="s">
        <v>74</v>
      </c>
      <c r="AG752">
        <v>32</v>
      </c>
      <c r="AH752">
        <v>0</v>
      </c>
      <c r="AI752">
        <v>0</v>
      </c>
      <c r="AJ752">
        <v>0</v>
      </c>
      <c r="AK752">
        <v>0</v>
      </c>
      <c r="AL752" t="s">
        <v>87</v>
      </c>
      <c r="AM752" t="s">
        <v>88</v>
      </c>
      <c r="AN752" t="s">
        <v>89</v>
      </c>
      <c r="AO752" t="s">
        <v>9761</v>
      </c>
      <c r="AP752" t="s">
        <v>9762</v>
      </c>
      <c r="AQ752" t="s">
        <v>74</v>
      </c>
      <c r="AR752" t="s">
        <v>9763</v>
      </c>
      <c r="AS752" t="s">
        <v>9764</v>
      </c>
      <c r="AT752" t="s">
        <v>14240</v>
      </c>
      <c r="AU752">
        <v>2023</v>
      </c>
      <c r="AV752" t="s">
        <v>74</v>
      </c>
      <c r="AW752" t="s">
        <v>74</v>
      </c>
      <c r="AX752" t="s">
        <v>74</v>
      </c>
      <c r="AY752" t="s">
        <v>74</v>
      </c>
      <c r="AZ752" t="s">
        <v>74</v>
      </c>
      <c r="BA752" t="s">
        <v>74</v>
      </c>
      <c r="BB752" t="s">
        <v>74</v>
      </c>
      <c r="BC752" t="s">
        <v>74</v>
      </c>
      <c r="BD752" t="s">
        <v>74</v>
      </c>
      <c r="BE752" t="s">
        <v>14256</v>
      </c>
      <c r="BF752" t="str">
        <f>HYPERLINK("http://dx.doi.org/10.1111/aogs.14628","http://dx.doi.org/10.1111/aogs.14628")</f>
        <v>http://dx.doi.org/10.1111/aogs.14628</v>
      </c>
      <c r="BG752" t="s">
        <v>74</v>
      </c>
      <c r="BH752" t="s">
        <v>7524</v>
      </c>
      <c r="BI752">
        <v>11</v>
      </c>
      <c r="BJ752" t="s">
        <v>1229</v>
      </c>
      <c r="BK752" t="s">
        <v>119</v>
      </c>
      <c r="BL752" t="s">
        <v>1229</v>
      </c>
      <c r="BM752" t="s">
        <v>14257</v>
      </c>
      <c r="BN752">
        <v>37540081</v>
      </c>
      <c r="BO752" t="s">
        <v>122</v>
      </c>
      <c r="BP752" t="s">
        <v>74</v>
      </c>
      <c r="BQ752" t="s">
        <v>74</v>
      </c>
      <c r="BR752" t="s">
        <v>99</v>
      </c>
      <c r="BS752" t="s">
        <v>14258</v>
      </c>
      <c r="BT752" t="str">
        <f>HYPERLINK("https%3A%2F%2Fwww.webofscience.com%2Fwos%2Fwoscc%2Ffull-record%2FWOS:001042174600001","View Full Record in Web of Science")</f>
        <v>View Full Record in Web of Science</v>
      </c>
    </row>
    <row r="753" spans="1:72" x14ac:dyDescent="0.15">
      <c r="A753" t="s">
        <v>72</v>
      </c>
      <c r="B753" t="s">
        <v>14259</v>
      </c>
      <c r="C753" t="s">
        <v>74</v>
      </c>
      <c r="D753" t="s">
        <v>74</v>
      </c>
      <c r="E753" t="s">
        <v>74</v>
      </c>
      <c r="F753" t="s">
        <v>14260</v>
      </c>
      <c r="G753" t="s">
        <v>74</v>
      </c>
      <c r="H753" t="s">
        <v>74</v>
      </c>
      <c r="I753" t="s">
        <v>14261</v>
      </c>
      <c r="J753" t="s">
        <v>2028</v>
      </c>
      <c r="K753" t="s">
        <v>74</v>
      </c>
      <c r="L753" t="s">
        <v>74</v>
      </c>
      <c r="M753" t="s">
        <v>78</v>
      </c>
      <c r="N753" t="s">
        <v>79</v>
      </c>
      <c r="O753" t="s">
        <v>74</v>
      </c>
      <c r="P753" t="s">
        <v>74</v>
      </c>
      <c r="Q753" t="s">
        <v>74</v>
      </c>
      <c r="R753" t="s">
        <v>74</v>
      </c>
      <c r="S753" t="s">
        <v>74</v>
      </c>
      <c r="T753" t="s">
        <v>14262</v>
      </c>
      <c r="U753" t="s">
        <v>14263</v>
      </c>
      <c r="V753" t="s">
        <v>14264</v>
      </c>
      <c r="W753" t="s">
        <v>14265</v>
      </c>
      <c r="X753" t="s">
        <v>14266</v>
      </c>
      <c r="Y753" t="s">
        <v>14267</v>
      </c>
      <c r="Z753" t="s">
        <v>14268</v>
      </c>
      <c r="AA753" t="s">
        <v>14269</v>
      </c>
      <c r="AB753" t="s">
        <v>14270</v>
      </c>
      <c r="AC753" t="s">
        <v>74</v>
      </c>
      <c r="AD753" t="s">
        <v>74</v>
      </c>
      <c r="AE753" t="s">
        <v>74</v>
      </c>
      <c r="AF753" t="s">
        <v>74</v>
      </c>
      <c r="AG753">
        <v>45</v>
      </c>
      <c r="AH753">
        <v>0</v>
      </c>
      <c r="AI753">
        <v>0</v>
      </c>
      <c r="AJ753">
        <v>3</v>
      </c>
      <c r="AK753">
        <v>3</v>
      </c>
      <c r="AL753" t="s">
        <v>426</v>
      </c>
      <c r="AM753" t="s">
        <v>427</v>
      </c>
      <c r="AN753" t="s">
        <v>428</v>
      </c>
      <c r="AO753" t="s">
        <v>2037</v>
      </c>
      <c r="AP753" t="s">
        <v>74</v>
      </c>
      <c r="AQ753" t="s">
        <v>74</v>
      </c>
      <c r="AR753" t="s">
        <v>2028</v>
      </c>
      <c r="AS753" t="s">
        <v>2038</v>
      </c>
      <c r="AT753" t="s">
        <v>14271</v>
      </c>
      <c r="AU753">
        <v>2023</v>
      </c>
      <c r="AV753">
        <v>8</v>
      </c>
      <c r="AW753">
        <v>29</v>
      </c>
      <c r="AX753" t="s">
        <v>74</v>
      </c>
      <c r="AY753" t="s">
        <v>74</v>
      </c>
      <c r="AZ753" t="s">
        <v>74</v>
      </c>
      <c r="BA753" t="s">
        <v>74</v>
      </c>
      <c r="BB753" t="s">
        <v>74</v>
      </c>
      <c r="BC753" t="s">
        <v>74</v>
      </c>
      <c r="BD753" t="s">
        <v>14272</v>
      </c>
      <c r="BE753" t="s">
        <v>14273</v>
      </c>
      <c r="BF753" t="str">
        <f>HYPERLINK("http://dx.doi.org/10.1002/slct.202301474","http://dx.doi.org/10.1002/slct.202301474")</f>
        <v>http://dx.doi.org/10.1002/slct.202301474</v>
      </c>
      <c r="BG753" t="s">
        <v>74</v>
      </c>
      <c r="BH753" t="s">
        <v>74</v>
      </c>
      <c r="BI753">
        <v>11</v>
      </c>
      <c r="BJ753" t="s">
        <v>523</v>
      </c>
      <c r="BK753" t="s">
        <v>119</v>
      </c>
      <c r="BL753" t="s">
        <v>524</v>
      </c>
      <c r="BM753" t="s">
        <v>14274</v>
      </c>
      <c r="BN753" t="s">
        <v>74</v>
      </c>
      <c r="BO753" t="s">
        <v>74</v>
      </c>
      <c r="BP753" t="s">
        <v>74</v>
      </c>
      <c r="BQ753" t="s">
        <v>74</v>
      </c>
      <c r="BR753" t="s">
        <v>99</v>
      </c>
      <c r="BS753" t="s">
        <v>14275</v>
      </c>
      <c r="BT753" t="str">
        <f>HYPERLINK("https%3A%2F%2Fwww.webofscience.com%2Fwos%2Fwoscc%2Ffull-record%2FWOS:001040556600001","View Full Record in Web of Science")</f>
        <v>View Full Record in Web of Science</v>
      </c>
    </row>
    <row r="754" spans="1:72" x14ac:dyDescent="0.15">
      <c r="A754" t="s">
        <v>72</v>
      </c>
      <c r="B754" t="s">
        <v>14276</v>
      </c>
      <c r="C754" t="s">
        <v>74</v>
      </c>
      <c r="D754" t="s">
        <v>74</v>
      </c>
      <c r="E754" t="s">
        <v>74</v>
      </c>
      <c r="F754" t="s">
        <v>14277</v>
      </c>
      <c r="G754" t="s">
        <v>74</v>
      </c>
      <c r="H754" t="s">
        <v>74</v>
      </c>
      <c r="I754" t="s">
        <v>14278</v>
      </c>
      <c r="J754" t="s">
        <v>1275</v>
      </c>
      <c r="K754" t="s">
        <v>74</v>
      </c>
      <c r="L754" t="s">
        <v>74</v>
      </c>
      <c r="M754" t="s">
        <v>78</v>
      </c>
      <c r="N754" t="s">
        <v>338</v>
      </c>
      <c r="O754" t="s">
        <v>74</v>
      </c>
      <c r="P754" t="s">
        <v>74</v>
      </c>
      <c r="Q754" t="s">
        <v>74</v>
      </c>
      <c r="R754" t="s">
        <v>74</v>
      </c>
      <c r="S754" t="s">
        <v>74</v>
      </c>
      <c r="T754" t="s">
        <v>14279</v>
      </c>
      <c r="U754" t="s">
        <v>14280</v>
      </c>
      <c r="V754" t="s">
        <v>14281</v>
      </c>
      <c r="W754" t="s">
        <v>14282</v>
      </c>
      <c r="X754" t="s">
        <v>9926</v>
      </c>
      <c r="Y754" t="s">
        <v>14283</v>
      </c>
      <c r="Z754" t="s">
        <v>14284</v>
      </c>
      <c r="AA754" t="s">
        <v>74</v>
      </c>
      <c r="AB754" t="s">
        <v>74</v>
      </c>
      <c r="AC754" t="s">
        <v>14285</v>
      </c>
      <c r="AD754" t="s">
        <v>14286</v>
      </c>
      <c r="AE754" t="s">
        <v>14287</v>
      </c>
      <c r="AF754" t="s">
        <v>74</v>
      </c>
      <c r="AG754">
        <v>37</v>
      </c>
      <c r="AH754">
        <v>0</v>
      </c>
      <c r="AI754">
        <v>0</v>
      </c>
      <c r="AJ754">
        <v>0</v>
      </c>
      <c r="AK754">
        <v>0</v>
      </c>
      <c r="AL754" t="s">
        <v>87</v>
      </c>
      <c r="AM754" t="s">
        <v>88</v>
      </c>
      <c r="AN754" t="s">
        <v>89</v>
      </c>
      <c r="AO754" t="s">
        <v>1285</v>
      </c>
      <c r="AP754" t="s">
        <v>1286</v>
      </c>
      <c r="AQ754" t="s">
        <v>74</v>
      </c>
      <c r="AR754" t="s">
        <v>1287</v>
      </c>
      <c r="AS754" t="s">
        <v>1288</v>
      </c>
      <c r="AT754" t="s">
        <v>14240</v>
      </c>
      <c r="AU754">
        <v>2023</v>
      </c>
      <c r="AV754" t="s">
        <v>74</v>
      </c>
      <c r="AW754" t="s">
        <v>74</v>
      </c>
      <c r="AX754" t="s">
        <v>74</v>
      </c>
      <c r="AY754" t="s">
        <v>74</v>
      </c>
      <c r="AZ754" t="s">
        <v>74</v>
      </c>
      <c r="BA754" t="s">
        <v>74</v>
      </c>
      <c r="BB754" t="s">
        <v>74</v>
      </c>
      <c r="BC754" t="s">
        <v>74</v>
      </c>
      <c r="BD754" t="s">
        <v>74</v>
      </c>
      <c r="BE754" t="s">
        <v>14288</v>
      </c>
      <c r="BF754" t="str">
        <f>HYPERLINK("http://dx.doi.org/10.1002/mp.16644","http://dx.doi.org/10.1002/mp.16644")</f>
        <v>http://dx.doi.org/10.1002/mp.16644</v>
      </c>
      <c r="BG754" t="s">
        <v>74</v>
      </c>
      <c r="BH754" t="s">
        <v>7524</v>
      </c>
      <c r="BI754">
        <v>11</v>
      </c>
      <c r="BJ754" t="s">
        <v>1290</v>
      </c>
      <c r="BK754" t="s">
        <v>119</v>
      </c>
      <c r="BL754" t="s">
        <v>1290</v>
      </c>
      <c r="BM754" t="s">
        <v>14289</v>
      </c>
      <c r="BN754">
        <v>37538040</v>
      </c>
      <c r="BO754" t="s">
        <v>74</v>
      </c>
      <c r="BP754" t="s">
        <v>74</v>
      </c>
      <c r="BQ754" t="s">
        <v>74</v>
      </c>
      <c r="BR754" t="s">
        <v>99</v>
      </c>
      <c r="BS754" t="s">
        <v>14290</v>
      </c>
      <c r="BT754" t="str">
        <f>HYPERLINK("https%3A%2F%2Fwww.webofscience.com%2Fwos%2Fwoscc%2Ffull-record%2FWOS:001042094400001","View Full Record in Web of Science")</f>
        <v>View Full Record in Web of Science</v>
      </c>
    </row>
    <row r="755" spans="1:72" x14ac:dyDescent="0.15">
      <c r="A755" t="s">
        <v>72</v>
      </c>
      <c r="B755" t="s">
        <v>14291</v>
      </c>
      <c r="C755" t="s">
        <v>74</v>
      </c>
      <c r="D755" t="s">
        <v>74</v>
      </c>
      <c r="E755" t="s">
        <v>74</v>
      </c>
      <c r="F755" t="s">
        <v>14292</v>
      </c>
      <c r="G755" t="s">
        <v>74</v>
      </c>
      <c r="H755" t="s">
        <v>74</v>
      </c>
      <c r="I755" t="s">
        <v>14293</v>
      </c>
      <c r="J755" t="s">
        <v>4626</v>
      </c>
      <c r="K755" t="s">
        <v>74</v>
      </c>
      <c r="L755" t="s">
        <v>74</v>
      </c>
      <c r="M755" t="s">
        <v>78</v>
      </c>
      <c r="N755" t="s">
        <v>338</v>
      </c>
      <c r="O755" t="s">
        <v>74</v>
      </c>
      <c r="P755" t="s">
        <v>74</v>
      </c>
      <c r="Q755" t="s">
        <v>74</v>
      </c>
      <c r="R755" t="s">
        <v>74</v>
      </c>
      <c r="S755" t="s">
        <v>74</v>
      </c>
      <c r="T755" t="s">
        <v>14294</v>
      </c>
      <c r="U755" t="s">
        <v>14295</v>
      </c>
      <c r="V755" t="s">
        <v>14296</v>
      </c>
      <c r="W755" t="s">
        <v>14297</v>
      </c>
      <c r="X755" t="s">
        <v>14298</v>
      </c>
      <c r="Y755" t="s">
        <v>14299</v>
      </c>
      <c r="Z755" t="s">
        <v>14300</v>
      </c>
      <c r="AA755" t="s">
        <v>14301</v>
      </c>
      <c r="AB755" t="s">
        <v>14302</v>
      </c>
      <c r="AC755" t="s">
        <v>14303</v>
      </c>
      <c r="AD755" t="s">
        <v>14304</v>
      </c>
      <c r="AE755" t="s">
        <v>14305</v>
      </c>
      <c r="AF755" t="s">
        <v>74</v>
      </c>
      <c r="AG755">
        <v>44</v>
      </c>
      <c r="AH755">
        <v>0</v>
      </c>
      <c r="AI755">
        <v>0</v>
      </c>
      <c r="AJ755">
        <v>12</v>
      </c>
      <c r="AK755">
        <v>12</v>
      </c>
      <c r="AL755" t="s">
        <v>87</v>
      </c>
      <c r="AM755" t="s">
        <v>88</v>
      </c>
      <c r="AN755" t="s">
        <v>89</v>
      </c>
      <c r="AO755" t="s">
        <v>4639</v>
      </c>
      <c r="AP755" t="s">
        <v>4640</v>
      </c>
      <c r="AQ755" t="s">
        <v>74</v>
      </c>
      <c r="AR755" t="s">
        <v>4641</v>
      </c>
      <c r="AS755" t="s">
        <v>4642</v>
      </c>
      <c r="AT755" t="s">
        <v>14240</v>
      </c>
      <c r="AU755">
        <v>2023</v>
      </c>
      <c r="AV755" t="s">
        <v>74</v>
      </c>
      <c r="AW755" t="s">
        <v>74</v>
      </c>
      <c r="AX755" t="s">
        <v>74</v>
      </c>
      <c r="AY755" t="s">
        <v>74</v>
      </c>
      <c r="AZ755" t="s">
        <v>74</v>
      </c>
      <c r="BA755" t="s">
        <v>74</v>
      </c>
      <c r="BB755" t="s">
        <v>74</v>
      </c>
      <c r="BC755" t="s">
        <v>74</v>
      </c>
      <c r="BD755" t="s">
        <v>74</v>
      </c>
      <c r="BE755" t="s">
        <v>14306</v>
      </c>
      <c r="BF755" t="str">
        <f>HYPERLINK("http://dx.doi.org/10.1002/adhm.202300845","http://dx.doi.org/10.1002/adhm.202300845")</f>
        <v>http://dx.doi.org/10.1002/adhm.202300845</v>
      </c>
      <c r="BG755" t="s">
        <v>74</v>
      </c>
      <c r="BH755" t="s">
        <v>7524</v>
      </c>
      <c r="BI755">
        <v>10</v>
      </c>
      <c r="BJ755" t="s">
        <v>4644</v>
      </c>
      <c r="BK755" t="s">
        <v>119</v>
      </c>
      <c r="BL755" t="s">
        <v>4645</v>
      </c>
      <c r="BM755" t="s">
        <v>14307</v>
      </c>
      <c r="BN755">
        <v>37449876</v>
      </c>
      <c r="BO755" t="s">
        <v>122</v>
      </c>
      <c r="BP755" t="s">
        <v>74</v>
      </c>
      <c r="BQ755" t="s">
        <v>74</v>
      </c>
      <c r="BR755" t="s">
        <v>99</v>
      </c>
      <c r="BS755" t="s">
        <v>14308</v>
      </c>
      <c r="BT755" t="str">
        <f>HYPERLINK("https%3A%2F%2Fwww.webofscience.com%2Fwos%2Fwoscc%2Ffull-record%2FWOS:001042358300001","View Full Record in Web of Science")</f>
        <v>View Full Record in Web of Science</v>
      </c>
    </row>
    <row r="756" spans="1:72" x14ac:dyDescent="0.15">
      <c r="A756" t="s">
        <v>72</v>
      </c>
      <c r="B756" t="s">
        <v>14309</v>
      </c>
      <c r="C756" t="s">
        <v>74</v>
      </c>
      <c r="D756" t="s">
        <v>74</v>
      </c>
      <c r="E756" t="s">
        <v>74</v>
      </c>
      <c r="F756" t="s">
        <v>14310</v>
      </c>
      <c r="G756" t="s">
        <v>74</v>
      </c>
      <c r="H756" t="s">
        <v>74</v>
      </c>
      <c r="I756" t="s">
        <v>14311</v>
      </c>
      <c r="J756" t="s">
        <v>1001</v>
      </c>
      <c r="K756" t="s">
        <v>74</v>
      </c>
      <c r="L756" t="s">
        <v>74</v>
      </c>
      <c r="M756" t="s">
        <v>78</v>
      </c>
      <c r="N756" t="s">
        <v>338</v>
      </c>
      <c r="O756" t="s">
        <v>74</v>
      </c>
      <c r="P756" t="s">
        <v>74</v>
      </c>
      <c r="Q756" t="s">
        <v>74</v>
      </c>
      <c r="R756" t="s">
        <v>74</v>
      </c>
      <c r="S756" t="s">
        <v>74</v>
      </c>
      <c r="T756" t="s">
        <v>14312</v>
      </c>
      <c r="U756" t="s">
        <v>14313</v>
      </c>
      <c r="V756" t="s">
        <v>14314</v>
      </c>
      <c r="W756" t="s">
        <v>14315</v>
      </c>
      <c r="X756" t="s">
        <v>14316</v>
      </c>
      <c r="Y756" t="s">
        <v>14317</v>
      </c>
      <c r="Z756" t="s">
        <v>14318</v>
      </c>
      <c r="AA756" t="s">
        <v>14319</v>
      </c>
      <c r="AB756" t="s">
        <v>74</v>
      </c>
      <c r="AC756" t="s">
        <v>14320</v>
      </c>
      <c r="AD756" t="s">
        <v>14321</v>
      </c>
      <c r="AE756" t="s">
        <v>14322</v>
      </c>
      <c r="AF756" t="s">
        <v>74</v>
      </c>
      <c r="AG756">
        <v>54</v>
      </c>
      <c r="AH756">
        <v>1</v>
      </c>
      <c r="AI756">
        <v>1</v>
      </c>
      <c r="AJ756">
        <v>59</v>
      </c>
      <c r="AK756">
        <v>59</v>
      </c>
      <c r="AL756" t="s">
        <v>426</v>
      </c>
      <c r="AM756" t="s">
        <v>427</v>
      </c>
      <c r="AN756" t="s">
        <v>428</v>
      </c>
      <c r="AO756" t="s">
        <v>1014</v>
      </c>
      <c r="AP756" t="s">
        <v>1015</v>
      </c>
      <c r="AQ756" t="s">
        <v>74</v>
      </c>
      <c r="AR756" t="s">
        <v>1016</v>
      </c>
      <c r="AS756" t="s">
        <v>1017</v>
      </c>
      <c r="AT756" t="s">
        <v>14240</v>
      </c>
      <c r="AU756">
        <v>2023</v>
      </c>
      <c r="AV756" t="s">
        <v>74</v>
      </c>
      <c r="AW756" t="s">
        <v>74</v>
      </c>
      <c r="AX756" t="s">
        <v>74</v>
      </c>
      <c r="AY756" t="s">
        <v>74</v>
      </c>
      <c r="AZ756" t="s">
        <v>74</v>
      </c>
      <c r="BA756" t="s">
        <v>74</v>
      </c>
      <c r="BB756" t="s">
        <v>74</v>
      </c>
      <c r="BC756" t="s">
        <v>74</v>
      </c>
      <c r="BD756" t="s">
        <v>74</v>
      </c>
      <c r="BE756" t="s">
        <v>14323</v>
      </c>
      <c r="BF756" t="str">
        <f>HYPERLINK("http://dx.doi.org/10.1002/anie.202307459","http://dx.doi.org/10.1002/anie.202307459")</f>
        <v>http://dx.doi.org/10.1002/anie.202307459</v>
      </c>
      <c r="BG756" t="s">
        <v>74</v>
      </c>
      <c r="BH756" t="s">
        <v>7524</v>
      </c>
      <c r="BI756">
        <v>10</v>
      </c>
      <c r="BJ756" t="s">
        <v>523</v>
      </c>
      <c r="BK756" t="s">
        <v>119</v>
      </c>
      <c r="BL756" t="s">
        <v>524</v>
      </c>
      <c r="BM756" t="s">
        <v>14324</v>
      </c>
      <c r="BN756">
        <v>37488979</v>
      </c>
      <c r="BO756" t="s">
        <v>74</v>
      </c>
      <c r="BP756" t="s">
        <v>74</v>
      </c>
      <c r="BQ756" t="s">
        <v>74</v>
      </c>
      <c r="BR756" t="s">
        <v>99</v>
      </c>
      <c r="BS756" t="s">
        <v>14325</v>
      </c>
      <c r="BT756" t="str">
        <f>HYPERLINK("https%3A%2F%2Fwww.webofscience.com%2Fwos%2Fwoscc%2Ffull-record%2FWOS:001042355300001","View Full Record in Web of Science")</f>
        <v>View Full Record in Web of Science</v>
      </c>
    </row>
    <row r="757" spans="1:72" x14ac:dyDescent="0.15">
      <c r="A757" t="s">
        <v>72</v>
      </c>
      <c r="B757" t="s">
        <v>14326</v>
      </c>
      <c r="C757" t="s">
        <v>74</v>
      </c>
      <c r="D757" t="s">
        <v>74</v>
      </c>
      <c r="E757" t="s">
        <v>74</v>
      </c>
      <c r="F757" t="s">
        <v>14327</v>
      </c>
      <c r="G757" t="s">
        <v>74</v>
      </c>
      <c r="H757" t="s">
        <v>74</v>
      </c>
      <c r="I757" t="s">
        <v>14328</v>
      </c>
      <c r="J757" t="s">
        <v>14329</v>
      </c>
      <c r="K757" t="s">
        <v>74</v>
      </c>
      <c r="L757" t="s">
        <v>74</v>
      </c>
      <c r="M757" t="s">
        <v>78</v>
      </c>
      <c r="N757" t="s">
        <v>338</v>
      </c>
      <c r="O757" t="s">
        <v>74</v>
      </c>
      <c r="P757" t="s">
        <v>74</v>
      </c>
      <c r="Q757" t="s">
        <v>74</v>
      </c>
      <c r="R757" t="s">
        <v>74</v>
      </c>
      <c r="S757" t="s">
        <v>74</v>
      </c>
      <c r="T757" t="s">
        <v>14330</v>
      </c>
      <c r="U757" t="s">
        <v>14331</v>
      </c>
      <c r="V757" t="s">
        <v>14332</v>
      </c>
      <c r="W757" t="s">
        <v>14333</v>
      </c>
      <c r="X757" t="s">
        <v>14334</v>
      </c>
      <c r="Y757" t="s">
        <v>14335</v>
      </c>
      <c r="Z757" t="s">
        <v>14336</v>
      </c>
      <c r="AA757" t="s">
        <v>74</v>
      </c>
      <c r="AB757" t="s">
        <v>14337</v>
      </c>
      <c r="AC757" t="s">
        <v>74</v>
      </c>
      <c r="AD757" t="s">
        <v>74</v>
      </c>
      <c r="AE757" t="s">
        <v>74</v>
      </c>
      <c r="AF757" t="s">
        <v>74</v>
      </c>
      <c r="AG757">
        <v>61</v>
      </c>
      <c r="AH757">
        <v>0</v>
      </c>
      <c r="AI757">
        <v>0</v>
      </c>
      <c r="AJ757">
        <v>0</v>
      </c>
      <c r="AK757">
        <v>0</v>
      </c>
      <c r="AL757" t="s">
        <v>87</v>
      </c>
      <c r="AM757" t="s">
        <v>88</v>
      </c>
      <c r="AN757" t="s">
        <v>89</v>
      </c>
      <c r="AO757" t="s">
        <v>14338</v>
      </c>
      <c r="AP757" t="s">
        <v>14339</v>
      </c>
      <c r="AQ757" t="s">
        <v>74</v>
      </c>
      <c r="AR757" t="s">
        <v>14340</v>
      </c>
      <c r="AS757" t="s">
        <v>14341</v>
      </c>
      <c r="AT757" t="s">
        <v>14240</v>
      </c>
      <c r="AU757">
        <v>2023</v>
      </c>
      <c r="AV757" t="s">
        <v>74</v>
      </c>
      <c r="AW757" t="s">
        <v>74</v>
      </c>
      <c r="AX757" t="s">
        <v>74</v>
      </c>
      <c r="AY757" t="s">
        <v>74</v>
      </c>
      <c r="AZ757" t="s">
        <v>74</v>
      </c>
      <c r="BA757" t="s">
        <v>74</v>
      </c>
      <c r="BB757" t="s">
        <v>74</v>
      </c>
      <c r="BC757" t="s">
        <v>74</v>
      </c>
      <c r="BD757" t="s">
        <v>74</v>
      </c>
      <c r="BE757" t="s">
        <v>14342</v>
      </c>
      <c r="BF757" t="str">
        <f>HYPERLINK("http://dx.doi.org/10.1111/mve.12684","http://dx.doi.org/10.1111/mve.12684")</f>
        <v>http://dx.doi.org/10.1111/mve.12684</v>
      </c>
      <c r="BG757" t="s">
        <v>74</v>
      </c>
      <c r="BH757" t="s">
        <v>7524</v>
      </c>
      <c r="BI757">
        <v>12</v>
      </c>
      <c r="BJ757" t="s">
        <v>14343</v>
      </c>
      <c r="BK757" t="s">
        <v>119</v>
      </c>
      <c r="BL757" t="s">
        <v>14343</v>
      </c>
      <c r="BM757" t="s">
        <v>14344</v>
      </c>
      <c r="BN757">
        <v>37540520</v>
      </c>
      <c r="BO757" t="s">
        <v>74</v>
      </c>
      <c r="BP757" t="s">
        <v>74</v>
      </c>
      <c r="BQ757" t="s">
        <v>74</v>
      </c>
      <c r="BR757" t="s">
        <v>99</v>
      </c>
      <c r="BS757" t="s">
        <v>14345</v>
      </c>
      <c r="BT757" t="str">
        <f>HYPERLINK("https%3A%2F%2Fwww.webofscience.com%2Fwos%2Fwoscc%2Ffull-record%2FWOS:001042863200001","View Full Record in Web of Science")</f>
        <v>View Full Record in Web of Science</v>
      </c>
    </row>
    <row r="758" spans="1:72" x14ac:dyDescent="0.15">
      <c r="A758" t="s">
        <v>72</v>
      </c>
      <c r="B758" t="s">
        <v>14346</v>
      </c>
      <c r="C758" t="s">
        <v>74</v>
      </c>
      <c r="D758" t="s">
        <v>74</v>
      </c>
      <c r="E758" t="s">
        <v>74</v>
      </c>
      <c r="F758" t="s">
        <v>14347</v>
      </c>
      <c r="G758" t="s">
        <v>74</v>
      </c>
      <c r="H758" t="s">
        <v>74</v>
      </c>
      <c r="I758" t="s">
        <v>14348</v>
      </c>
      <c r="J758" t="s">
        <v>4265</v>
      </c>
      <c r="K758" t="s">
        <v>74</v>
      </c>
      <c r="L758" t="s">
        <v>74</v>
      </c>
      <c r="M758" t="s">
        <v>78</v>
      </c>
      <c r="N758" t="s">
        <v>338</v>
      </c>
      <c r="O758" t="s">
        <v>74</v>
      </c>
      <c r="P758" t="s">
        <v>74</v>
      </c>
      <c r="Q758" t="s">
        <v>74</v>
      </c>
      <c r="R758" t="s">
        <v>74</v>
      </c>
      <c r="S758" t="s">
        <v>74</v>
      </c>
      <c r="T758" t="s">
        <v>14349</v>
      </c>
      <c r="U758" t="s">
        <v>14350</v>
      </c>
      <c r="V758" t="s">
        <v>14351</v>
      </c>
      <c r="W758" t="s">
        <v>14352</v>
      </c>
      <c r="X758" t="s">
        <v>14353</v>
      </c>
      <c r="Y758" t="s">
        <v>14354</v>
      </c>
      <c r="Z758" t="s">
        <v>14355</v>
      </c>
      <c r="AA758" t="s">
        <v>74</v>
      </c>
      <c r="AB758" t="s">
        <v>74</v>
      </c>
      <c r="AC758" t="s">
        <v>74</v>
      </c>
      <c r="AD758" t="s">
        <v>74</v>
      </c>
      <c r="AE758" t="s">
        <v>74</v>
      </c>
      <c r="AF758" t="s">
        <v>74</v>
      </c>
      <c r="AG758">
        <v>33</v>
      </c>
      <c r="AH758">
        <v>0</v>
      </c>
      <c r="AI758">
        <v>0</v>
      </c>
      <c r="AJ758">
        <v>0</v>
      </c>
      <c r="AK758">
        <v>0</v>
      </c>
      <c r="AL758" t="s">
        <v>87</v>
      </c>
      <c r="AM758" t="s">
        <v>88</v>
      </c>
      <c r="AN758" t="s">
        <v>89</v>
      </c>
      <c r="AO758" t="s">
        <v>4272</v>
      </c>
      <c r="AP758" t="s">
        <v>4273</v>
      </c>
      <c r="AQ758" t="s">
        <v>74</v>
      </c>
      <c r="AR758" t="s">
        <v>4274</v>
      </c>
      <c r="AS758" t="s">
        <v>4275</v>
      </c>
      <c r="AT758" t="s">
        <v>14240</v>
      </c>
      <c r="AU758">
        <v>2023</v>
      </c>
      <c r="AV758" t="s">
        <v>74</v>
      </c>
      <c r="AW758" t="s">
        <v>74</v>
      </c>
      <c r="AX758" t="s">
        <v>74</v>
      </c>
      <c r="AY758" t="s">
        <v>74</v>
      </c>
      <c r="AZ758" t="s">
        <v>74</v>
      </c>
      <c r="BA758" t="s">
        <v>74</v>
      </c>
      <c r="BB758" t="s">
        <v>74</v>
      </c>
      <c r="BC758" t="s">
        <v>74</v>
      </c>
      <c r="BD758" t="s">
        <v>74</v>
      </c>
      <c r="BE758" t="s">
        <v>14356</v>
      </c>
      <c r="BF758" t="str">
        <f>HYPERLINK("http://dx.doi.org/10.1002/jdd.13343","http://dx.doi.org/10.1002/jdd.13343")</f>
        <v>http://dx.doi.org/10.1002/jdd.13343</v>
      </c>
      <c r="BG758" t="s">
        <v>74</v>
      </c>
      <c r="BH758" t="s">
        <v>7524</v>
      </c>
      <c r="BI758">
        <v>9</v>
      </c>
      <c r="BJ758" t="s">
        <v>314</v>
      </c>
      <c r="BK758" t="s">
        <v>119</v>
      </c>
      <c r="BL758" t="s">
        <v>314</v>
      </c>
      <c r="BM758" t="s">
        <v>14357</v>
      </c>
      <c r="BN758">
        <v>37539451</v>
      </c>
      <c r="BO758" t="s">
        <v>301</v>
      </c>
      <c r="BP758" t="s">
        <v>74</v>
      </c>
      <c r="BQ758" t="s">
        <v>74</v>
      </c>
      <c r="BR758" t="s">
        <v>99</v>
      </c>
      <c r="BS758" t="s">
        <v>14358</v>
      </c>
      <c r="BT758" t="str">
        <f>HYPERLINK("https%3A%2F%2Fwww.webofscience.com%2Fwos%2Fwoscc%2Ffull-record%2FWOS:001042001500001","View Full Record in Web of Science")</f>
        <v>View Full Record in Web of Science</v>
      </c>
    </row>
    <row r="759" spans="1:72" x14ac:dyDescent="0.15">
      <c r="A759" t="s">
        <v>72</v>
      </c>
      <c r="B759" t="s">
        <v>14359</v>
      </c>
      <c r="C759" t="s">
        <v>74</v>
      </c>
      <c r="D759" t="s">
        <v>74</v>
      </c>
      <c r="E759" t="s">
        <v>74</v>
      </c>
      <c r="F759" t="s">
        <v>14360</v>
      </c>
      <c r="G759" t="s">
        <v>74</v>
      </c>
      <c r="H759" t="s">
        <v>74</v>
      </c>
      <c r="I759" t="s">
        <v>14361</v>
      </c>
      <c r="J759" t="s">
        <v>14362</v>
      </c>
      <c r="K759" t="s">
        <v>74</v>
      </c>
      <c r="L759" t="s">
        <v>74</v>
      </c>
      <c r="M759" t="s">
        <v>78</v>
      </c>
      <c r="N759" t="s">
        <v>338</v>
      </c>
      <c r="O759" t="s">
        <v>74</v>
      </c>
      <c r="P759" t="s">
        <v>74</v>
      </c>
      <c r="Q759" t="s">
        <v>74</v>
      </c>
      <c r="R759" t="s">
        <v>74</v>
      </c>
      <c r="S759" t="s">
        <v>74</v>
      </c>
      <c r="T759" t="s">
        <v>14363</v>
      </c>
      <c r="U759" t="s">
        <v>14364</v>
      </c>
      <c r="V759" t="s">
        <v>14365</v>
      </c>
      <c r="W759" t="s">
        <v>14366</v>
      </c>
      <c r="X759" t="s">
        <v>14367</v>
      </c>
      <c r="Y759" t="s">
        <v>14368</v>
      </c>
      <c r="Z759" t="s">
        <v>14369</v>
      </c>
      <c r="AA759" t="s">
        <v>74</v>
      </c>
      <c r="AB759" t="s">
        <v>14370</v>
      </c>
      <c r="AC759" t="s">
        <v>74</v>
      </c>
      <c r="AD759" t="s">
        <v>74</v>
      </c>
      <c r="AE759" t="s">
        <v>74</v>
      </c>
      <c r="AF759" t="s">
        <v>74</v>
      </c>
      <c r="AG759">
        <v>53</v>
      </c>
      <c r="AH759">
        <v>0</v>
      </c>
      <c r="AI759">
        <v>0</v>
      </c>
      <c r="AJ759">
        <v>3</v>
      </c>
      <c r="AK759">
        <v>3</v>
      </c>
      <c r="AL759" t="s">
        <v>426</v>
      </c>
      <c r="AM759" t="s">
        <v>427</v>
      </c>
      <c r="AN759" t="s">
        <v>428</v>
      </c>
      <c r="AO759" t="s">
        <v>14371</v>
      </c>
      <c r="AP759" t="s">
        <v>14372</v>
      </c>
      <c r="AQ759" t="s">
        <v>74</v>
      </c>
      <c r="AR759" t="s">
        <v>14373</v>
      </c>
      <c r="AS759" t="s">
        <v>14374</v>
      </c>
      <c r="AT759" t="s">
        <v>14240</v>
      </c>
      <c r="AU759">
        <v>2023</v>
      </c>
      <c r="AV759" t="s">
        <v>74</v>
      </c>
      <c r="AW759" t="s">
        <v>74</v>
      </c>
      <c r="AX759" t="s">
        <v>74</v>
      </c>
      <c r="AY759" t="s">
        <v>74</v>
      </c>
      <c r="AZ759" t="s">
        <v>74</v>
      </c>
      <c r="BA759" t="s">
        <v>74</v>
      </c>
      <c r="BB759" t="s">
        <v>74</v>
      </c>
      <c r="BC759" t="s">
        <v>74</v>
      </c>
      <c r="BD759" t="s">
        <v>74</v>
      </c>
      <c r="BE759" t="s">
        <v>14375</v>
      </c>
      <c r="BF759" t="str">
        <f>HYPERLINK("http://dx.doi.org/10.1002/ceat.202300038","http://dx.doi.org/10.1002/ceat.202300038")</f>
        <v>http://dx.doi.org/10.1002/ceat.202300038</v>
      </c>
      <c r="BG759" t="s">
        <v>74</v>
      </c>
      <c r="BH759" t="s">
        <v>7524</v>
      </c>
      <c r="BI759">
        <v>10</v>
      </c>
      <c r="BJ759" t="s">
        <v>8702</v>
      </c>
      <c r="BK759" t="s">
        <v>119</v>
      </c>
      <c r="BL759" t="s">
        <v>1250</v>
      </c>
      <c r="BM759" t="s">
        <v>14376</v>
      </c>
      <c r="BN759" t="s">
        <v>74</v>
      </c>
      <c r="BO759" t="s">
        <v>74</v>
      </c>
      <c r="BP759" t="s">
        <v>74</v>
      </c>
      <c r="BQ759" t="s">
        <v>74</v>
      </c>
      <c r="BR759" t="s">
        <v>99</v>
      </c>
      <c r="BS759" t="s">
        <v>14377</v>
      </c>
      <c r="BT759" t="str">
        <f>HYPERLINK("https%3A%2F%2Fwww.webofscience.com%2Fwos%2Fwoscc%2Ffull-record%2FWOS:001040536000001","View Full Record in Web of Science")</f>
        <v>View Full Record in Web of Science</v>
      </c>
    </row>
    <row r="760" spans="1:72" x14ac:dyDescent="0.15">
      <c r="A760" t="s">
        <v>72</v>
      </c>
      <c r="B760" t="s">
        <v>14378</v>
      </c>
      <c r="C760" t="s">
        <v>74</v>
      </c>
      <c r="D760" t="s">
        <v>74</v>
      </c>
      <c r="E760" t="s">
        <v>74</v>
      </c>
      <c r="F760" t="s">
        <v>14379</v>
      </c>
      <c r="G760" t="s">
        <v>74</v>
      </c>
      <c r="H760" t="s">
        <v>74</v>
      </c>
      <c r="I760" t="s">
        <v>14380</v>
      </c>
      <c r="J760" t="s">
        <v>2397</v>
      </c>
      <c r="K760" t="s">
        <v>74</v>
      </c>
      <c r="L760" t="s">
        <v>74</v>
      </c>
      <c r="M760" t="s">
        <v>78</v>
      </c>
      <c r="N760" t="s">
        <v>1297</v>
      </c>
      <c r="O760" t="s">
        <v>74</v>
      </c>
      <c r="P760" t="s">
        <v>74</v>
      </c>
      <c r="Q760" t="s">
        <v>74</v>
      </c>
      <c r="R760" t="s">
        <v>74</v>
      </c>
      <c r="S760" t="s">
        <v>74</v>
      </c>
      <c r="T760" t="s">
        <v>74</v>
      </c>
      <c r="U760" t="s">
        <v>14381</v>
      </c>
      <c r="V760" t="s">
        <v>74</v>
      </c>
      <c r="W760" t="s">
        <v>14382</v>
      </c>
      <c r="X760" t="s">
        <v>14383</v>
      </c>
      <c r="Y760" t="s">
        <v>14384</v>
      </c>
      <c r="Z760" t="s">
        <v>14385</v>
      </c>
      <c r="AA760" t="s">
        <v>14386</v>
      </c>
      <c r="AB760" t="s">
        <v>14387</v>
      </c>
      <c r="AC760" t="s">
        <v>74</v>
      </c>
      <c r="AD760" t="s">
        <v>74</v>
      </c>
      <c r="AE760" t="s">
        <v>74</v>
      </c>
      <c r="AF760" t="s">
        <v>74</v>
      </c>
      <c r="AG760">
        <v>10</v>
      </c>
      <c r="AH760">
        <v>0</v>
      </c>
      <c r="AI760">
        <v>0</v>
      </c>
      <c r="AJ760">
        <v>0</v>
      </c>
      <c r="AK760">
        <v>0</v>
      </c>
      <c r="AL760" t="s">
        <v>87</v>
      </c>
      <c r="AM760" t="s">
        <v>88</v>
      </c>
      <c r="AN760" t="s">
        <v>89</v>
      </c>
      <c r="AO760" t="s">
        <v>2408</v>
      </c>
      <c r="AP760" t="s">
        <v>2409</v>
      </c>
      <c r="AQ760" t="s">
        <v>74</v>
      </c>
      <c r="AR760" t="s">
        <v>2410</v>
      </c>
      <c r="AS760" t="s">
        <v>2411</v>
      </c>
      <c r="AT760" t="s">
        <v>14240</v>
      </c>
      <c r="AU760">
        <v>2023</v>
      </c>
      <c r="AV760" t="s">
        <v>74</v>
      </c>
      <c r="AW760" t="s">
        <v>74</v>
      </c>
      <c r="AX760" t="s">
        <v>74</v>
      </c>
      <c r="AY760" t="s">
        <v>74</v>
      </c>
      <c r="AZ760" t="s">
        <v>74</v>
      </c>
      <c r="BA760" t="s">
        <v>74</v>
      </c>
      <c r="BB760" t="s">
        <v>74</v>
      </c>
      <c r="BC760" t="s">
        <v>74</v>
      </c>
      <c r="BD760" t="s">
        <v>74</v>
      </c>
      <c r="BE760" t="s">
        <v>14388</v>
      </c>
      <c r="BF760" t="str">
        <f>HYPERLINK("http://dx.doi.org/10.1002/jmri.28930","http://dx.doi.org/10.1002/jmri.28930")</f>
        <v>http://dx.doi.org/10.1002/jmri.28930</v>
      </c>
      <c r="BG760" t="s">
        <v>74</v>
      </c>
      <c r="BH760" t="s">
        <v>7524</v>
      </c>
      <c r="BI760">
        <v>2</v>
      </c>
      <c r="BJ760" t="s">
        <v>1290</v>
      </c>
      <c r="BK760" t="s">
        <v>119</v>
      </c>
      <c r="BL760" t="s">
        <v>1290</v>
      </c>
      <c r="BM760" t="s">
        <v>14389</v>
      </c>
      <c r="BN760">
        <v>37539813</v>
      </c>
      <c r="BO760" t="s">
        <v>74</v>
      </c>
      <c r="BP760" t="s">
        <v>74</v>
      </c>
      <c r="BQ760" t="s">
        <v>74</v>
      </c>
      <c r="BR760" t="s">
        <v>99</v>
      </c>
      <c r="BS760" t="s">
        <v>14390</v>
      </c>
      <c r="BT760" t="str">
        <f>HYPERLINK("https%3A%2F%2Fwww.webofscience.com%2Fwos%2Fwoscc%2Ffull-record%2FWOS:001042831400001","View Full Record in Web of Science")</f>
        <v>View Full Record in Web of Science</v>
      </c>
    </row>
    <row r="761" spans="1:72" x14ac:dyDescent="0.15">
      <c r="A761" t="s">
        <v>72</v>
      </c>
      <c r="B761" t="s">
        <v>14391</v>
      </c>
      <c r="C761" t="s">
        <v>74</v>
      </c>
      <c r="D761" t="s">
        <v>74</v>
      </c>
      <c r="E761" t="s">
        <v>74</v>
      </c>
      <c r="F761" t="s">
        <v>14392</v>
      </c>
      <c r="G761" t="s">
        <v>74</v>
      </c>
      <c r="H761" t="s">
        <v>74</v>
      </c>
      <c r="I761" t="s">
        <v>14393</v>
      </c>
      <c r="J761" t="s">
        <v>14394</v>
      </c>
      <c r="K761" t="s">
        <v>74</v>
      </c>
      <c r="L761" t="s">
        <v>74</v>
      </c>
      <c r="M761" t="s">
        <v>78</v>
      </c>
      <c r="N761" t="s">
        <v>79</v>
      </c>
      <c r="O761" t="s">
        <v>74</v>
      </c>
      <c r="P761" t="s">
        <v>74</v>
      </c>
      <c r="Q761" t="s">
        <v>74</v>
      </c>
      <c r="R761" t="s">
        <v>74</v>
      </c>
      <c r="S761" t="s">
        <v>74</v>
      </c>
      <c r="T761" t="s">
        <v>14395</v>
      </c>
      <c r="U761" t="s">
        <v>14396</v>
      </c>
      <c r="V761" t="s">
        <v>14397</v>
      </c>
      <c r="W761" t="s">
        <v>14398</v>
      </c>
      <c r="X761" t="s">
        <v>14399</v>
      </c>
      <c r="Y761" t="s">
        <v>14400</v>
      </c>
      <c r="Z761" t="s">
        <v>14401</v>
      </c>
      <c r="AA761" t="s">
        <v>74</v>
      </c>
      <c r="AB761" t="s">
        <v>14402</v>
      </c>
      <c r="AC761" t="s">
        <v>14403</v>
      </c>
      <c r="AD761" t="s">
        <v>11079</v>
      </c>
      <c r="AE761" t="s">
        <v>14404</v>
      </c>
      <c r="AF761" t="s">
        <v>74</v>
      </c>
      <c r="AG761">
        <v>19</v>
      </c>
      <c r="AH761">
        <v>0</v>
      </c>
      <c r="AI761">
        <v>0</v>
      </c>
      <c r="AJ761">
        <v>1</v>
      </c>
      <c r="AK761">
        <v>1</v>
      </c>
      <c r="AL761" t="s">
        <v>87</v>
      </c>
      <c r="AM761" t="s">
        <v>88</v>
      </c>
      <c r="AN761" t="s">
        <v>89</v>
      </c>
      <c r="AO761" t="s">
        <v>14405</v>
      </c>
      <c r="AP761" t="s">
        <v>14406</v>
      </c>
      <c r="AQ761" t="s">
        <v>74</v>
      </c>
      <c r="AR761" t="s">
        <v>14407</v>
      </c>
      <c r="AS761" t="s">
        <v>14408</v>
      </c>
      <c r="AT761" t="s">
        <v>163</v>
      </c>
      <c r="AU761">
        <v>2023</v>
      </c>
      <c r="AV761">
        <v>44</v>
      </c>
      <c r="AW761">
        <v>16</v>
      </c>
      <c r="AX761" t="s">
        <v>74</v>
      </c>
      <c r="AY761" t="s">
        <v>74</v>
      </c>
      <c r="AZ761" t="s">
        <v>74</v>
      </c>
      <c r="BA761" t="s">
        <v>74</v>
      </c>
      <c r="BB761">
        <v>5212</v>
      </c>
      <c r="BC761">
        <v>5220</v>
      </c>
      <c r="BD761" t="s">
        <v>74</v>
      </c>
      <c r="BE761" t="s">
        <v>14409</v>
      </c>
      <c r="BF761" t="str">
        <f>HYPERLINK("http://dx.doi.org/10.1002/hbm.26445","http://dx.doi.org/10.1002/hbm.26445")</f>
        <v>http://dx.doi.org/10.1002/hbm.26445</v>
      </c>
      <c r="BG761" t="s">
        <v>74</v>
      </c>
      <c r="BH761" t="s">
        <v>7524</v>
      </c>
      <c r="BI761">
        <v>9</v>
      </c>
      <c r="BJ761" t="s">
        <v>14410</v>
      </c>
      <c r="BK761" t="s">
        <v>119</v>
      </c>
      <c r="BL761" t="s">
        <v>14411</v>
      </c>
      <c r="BM761" t="s">
        <v>14412</v>
      </c>
      <c r="BN761">
        <v>37539793</v>
      </c>
      <c r="BO761" t="s">
        <v>6923</v>
      </c>
      <c r="BP761" t="s">
        <v>74</v>
      </c>
      <c r="BQ761" t="s">
        <v>74</v>
      </c>
      <c r="BR761" t="s">
        <v>99</v>
      </c>
      <c r="BS761" t="s">
        <v>14413</v>
      </c>
      <c r="BT761" t="str">
        <f>HYPERLINK("https%3A%2F%2Fwww.webofscience.com%2Fwos%2Fwoscc%2Ffull-record%2FWOS:001042191100001","View Full Record in Web of Science")</f>
        <v>View Full Record in Web of Science</v>
      </c>
    </row>
    <row r="762" spans="1:72" x14ac:dyDescent="0.15">
      <c r="A762" t="s">
        <v>72</v>
      </c>
      <c r="B762" t="s">
        <v>14414</v>
      </c>
      <c r="C762" t="s">
        <v>74</v>
      </c>
      <c r="D762" t="s">
        <v>74</v>
      </c>
      <c r="E762" t="s">
        <v>74</v>
      </c>
      <c r="F762" t="s">
        <v>14415</v>
      </c>
      <c r="G762" t="s">
        <v>74</v>
      </c>
      <c r="H762" t="s">
        <v>74</v>
      </c>
      <c r="I762" t="s">
        <v>14416</v>
      </c>
      <c r="J762" t="s">
        <v>2397</v>
      </c>
      <c r="K762" t="s">
        <v>74</v>
      </c>
      <c r="L762" t="s">
        <v>74</v>
      </c>
      <c r="M762" t="s">
        <v>78</v>
      </c>
      <c r="N762" t="s">
        <v>1297</v>
      </c>
      <c r="O762" t="s">
        <v>74</v>
      </c>
      <c r="P762" t="s">
        <v>74</v>
      </c>
      <c r="Q762" t="s">
        <v>74</v>
      </c>
      <c r="R762" t="s">
        <v>74</v>
      </c>
      <c r="S762" t="s">
        <v>74</v>
      </c>
      <c r="T762" t="s">
        <v>74</v>
      </c>
      <c r="U762" t="s">
        <v>14417</v>
      </c>
      <c r="V762" t="s">
        <v>74</v>
      </c>
      <c r="W762" t="s">
        <v>14418</v>
      </c>
      <c r="X762" t="s">
        <v>74</v>
      </c>
      <c r="Y762" t="s">
        <v>14419</v>
      </c>
      <c r="Z762" t="s">
        <v>14420</v>
      </c>
      <c r="AA762" t="s">
        <v>14421</v>
      </c>
      <c r="AB762" t="s">
        <v>14422</v>
      </c>
      <c r="AC762" t="s">
        <v>74</v>
      </c>
      <c r="AD762" t="s">
        <v>74</v>
      </c>
      <c r="AE762" t="s">
        <v>74</v>
      </c>
      <c r="AF762" t="s">
        <v>74</v>
      </c>
      <c r="AG762">
        <v>10</v>
      </c>
      <c r="AH762">
        <v>0</v>
      </c>
      <c r="AI762">
        <v>0</v>
      </c>
      <c r="AJ762">
        <v>0</v>
      </c>
      <c r="AK762">
        <v>0</v>
      </c>
      <c r="AL762" t="s">
        <v>87</v>
      </c>
      <c r="AM762" t="s">
        <v>88</v>
      </c>
      <c r="AN762" t="s">
        <v>89</v>
      </c>
      <c r="AO762" t="s">
        <v>2408</v>
      </c>
      <c r="AP762" t="s">
        <v>2409</v>
      </c>
      <c r="AQ762" t="s">
        <v>74</v>
      </c>
      <c r="AR762" t="s">
        <v>2410</v>
      </c>
      <c r="AS762" t="s">
        <v>2411</v>
      </c>
      <c r="AT762" t="s">
        <v>14240</v>
      </c>
      <c r="AU762">
        <v>2023</v>
      </c>
      <c r="AV762" t="s">
        <v>74</v>
      </c>
      <c r="AW762" t="s">
        <v>74</v>
      </c>
      <c r="AX762" t="s">
        <v>74</v>
      </c>
      <c r="AY762" t="s">
        <v>74</v>
      </c>
      <c r="AZ762" t="s">
        <v>74</v>
      </c>
      <c r="BA762" t="s">
        <v>74</v>
      </c>
      <c r="BB762" t="s">
        <v>74</v>
      </c>
      <c r="BC762" t="s">
        <v>74</v>
      </c>
      <c r="BD762" t="s">
        <v>74</v>
      </c>
      <c r="BE762" t="s">
        <v>14423</v>
      </c>
      <c r="BF762" t="str">
        <f>HYPERLINK("http://dx.doi.org/10.1002/jmri.28936","http://dx.doi.org/10.1002/jmri.28936")</f>
        <v>http://dx.doi.org/10.1002/jmri.28936</v>
      </c>
      <c r="BG762" t="s">
        <v>74</v>
      </c>
      <c r="BH762" t="s">
        <v>7524</v>
      </c>
      <c r="BI762">
        <v>2</v>
      </c>
      <c r="BJ762" t="s">
        <v>1290</v>
      </c>
      <c r="BK762" t="s">
        <v>119</v>
      </c>
      <c r="BL762" t="s">
        <v>1290</v>
      </c>
      <c r="BM762" t="s">
        <v>14424</v>
      </c>
      <c r="BN762">
        <v>37539827</v>
      </c>
      <c r="BO762" t="s">
        <v>301</v>
      </c>
      <c r="BP762" t="s">
        <v>74</v>
      </c>
      <c r="BQ762" t="s">
        <v>74</v>
      </c>
      <c r="BR762" t="s">
        <v>99</v>
      </c>
      <c r="BS762" t="s">
        <v>14425</v>
      </c>
      <c r="BT762" t="str">
        <f>HYPERLINK("https%3A%2F%2Fwww.webofscience.com%2Fwos%2Fwoscc%2Ffull-record%2FWOS:001042839500001","View Full Record in Web of Science")</f>
        <v>View Full Record in Web of Science</v>
      </c>
    </row>
    <row r="763" spans="1:72" x14ac:dyDescent="0.15">
      <c r="A763" t="s">
        <v>72</v>
      </c>
      <c r="B763" t="s">
        <v>14426</v>
      </c>
      <c r="C763" t="s">
        <v>74</v>
      </c>
      <c r="D763" t="s">
        <v>74</v>
      </c>
      <c r="E763" t="s">
        <v>74</v>
      </c>
      <c r="F763" t="s">
        <v>14427</v>
      </c>
      <c r="G763" t="s">
        <v>74</v>
      </c>
      <c r="H763" t="s">
        <v>74</v>
      </c>
      <c r="I763" t="s">
        <v>14428</v>
      </c>
      <c r="J763" t="s">
        <v>8591</v>
      </c>
      <c r="K763" t="s">
        <v>74</v>
      </c>
      <c r="L763" t="s">
        <v>74</v>
      </c>
      <c r="M763" t="s">
        <v>78</v>
      </c>
      <c r="N763" t="s">
        <v>338</v>
      </c>
      <c r="O763" t="s">
        <v>74</v>
      </c>
      <c r="P763" t="s">
        <v>74</v>
      </c>
      <c r="Q763" t="s">
        <v>74</v>
      </c>
      <c r="R763" t="s">
        <v>74</v>
      </c>
      <c r="S763" t="s">
        <v>74</v>
      </c>
      <c r="T763" t="s">
        <v>14429</v>
      </c>
      <c r="U763" t="s">
        <v>74</v>
      </c>
      <c r="V763" t="s">
        <v>14430</v>
      </c>
      <c r="W763" t="s">
        <v>14431</v>
      </c>
      <c r="X763" t="s">
        <v>14432</v>
      </c>
      <c r="Y763" t="s">
        <v>14433</v>
      </c>
      <c r="Z763" t="s">
        <v>14434</v>
      </c>
      <c r="AA763" t="s">
        <v>74</v>
      </c>
      <c r="AB763" t="s">
        <v>14435</v>
      </c>
      <c r="AC763" t="s">
        <v>14436</v>
      </c>
      <c r="AD763" t="s">
        <v>3742</v>
      </c>
      <c r="AE763" t="s">
        <v>14437</v>
      </c>
      <c r="AF763" t="s">
        <v>74</v>
      </c>
      <c r="AG763">
        <v>58</v>
      </c>
      <c r="AH763">
        <v>0</v>
      </c>
      <c r="AI763">
        <v>0</v>
      </c>
      <c r="AJ763">
        <v>4</v>
      </c>
      <c r="AK763">
        <v>4</v>
      </c>
      <c r="AL763" t="s">
        <v>426</v>
      </c>
      <c r="AM763" t="s">
        <v>427</v>
      </c>
      <c r="AN763" t="s">
        <v>428</v>
      </c>
      <c r="AO763" t="s">
        <v>8604</v>
      </c>
      <c r="AP763" t="s">
        <v>8605</v>
      </c>
      <c r="AQ763" t="s">
        <v>74</v>
      </c>
      <c r="AR763" t="s">
        <v>8606</v>
      </c>
      <c r="AS763" t="s">
        <v>8607</v>
      </c>
      <c r="AT763" t="s">
        <v>14240</v>
      </c>
      <c r="AU763">
        <v>2023</v>
      </c>
      <c r="AV763" t="s">
        <v>74</v>
      </c>
      <c r="AW763" t="s">
        <v>74</v>
      </c>
      <c r="AX763" t="s">
        <v>74</v>
      </c>
      <c r="AY763" t="s">
        <v>74</v>
      </c>
      <c r="AZ763" t="s">
        <v>74</v>
      </c>
      <c r="BA763" t="s">
        <v>74</v>
      </c>
      <c r="BB763" t="s">
        <v>74</v>
      </c>
      <c r="BC763" t="s">
        <v>74</v>
      </c>
      <c r="BD763" t="s">
        <v>74</v>
      </c>
      <c r="BE763" t="s">
        <v>14438</v>
      </c>
      <c r="BF763" t="str">
        <f>HYPERLINK("http://dx.doi.org/10.1002/zaac.202300090","http://dx.doi.org/10.1002/zaac.202300090")</f>
        <v>http://dx.doi.org/10.1002/zaac.202300090</v>
      </c>
      <c r="BG763" t="s">
        <v>74</v>
      </c>
      <c r="BH763" t="s">
        <v>7524</v>
      </c>
      <c r="BI763">
        <v>7</v>
      </c>
      <c r="BJ763" t="s">
        <v>4460</v>
      </c>
      <c r="BK763" t="s">
        <v>119</v>
      </c>
      <c r="BL763" t="s">
        <v>524</v>
      </c>
      <c r="BM763" t="s">
        <v>14439</v>
      </c>
      <c r="BN763" t="s">
        <v>74</v>
      </c>
      <c r="BO763" t="s">
        <v>74</v>
      </c>
      <c r="BP763" t="s">
        <v>74</v>
      </c>
      <c r="BQ763" t="s">
        <v>74</v>
      </c>
      <c r="BR763" t="s">
        <v>99</v>
      </c>
      <c r="BS763" t="s">
        <v>14440</v>
      </c>
      <c r="BT763" t="str">
        <f>HYPERLINK("https%3A%2F%2Fwww.webofscience.com%2Fwos%2Fwoscc%2Ffull-record%2FWOS:001040533400001","View Full Record in Web of Science")</f>
        <v>View Full Record in Web of Science</v>
      </c>
    </row>
    <row r="764" spans="1:72" x14ac:dyDescent="0.15">
      <c r="A764" t="s">
        <v>72</v>
      </c>
      <c r="B764" t="s">
        <v>14441</v>
      </c>
      <c r="C764" t="s">
        <v>74</v>
      </c>
      <c r="D764" t="s">
        <v>74</v>
      </c>
      <c r="E764" t="s">
        <v>74</v>
      </c>
      <c r="F764" t="s">
        <v>14442</v>
      </c>
      <c r="G764" t="s">
        <v>74</v>
      </c>
      <c r="H764" t="s">
        <v>74</v>
      </c>
      <c r="I764" t="s">
        <v>14443</v>
      </c>
      <c r="J764" t="s">
        <v>1631</v>
      </c>
      <c r="K764" t="s">
        <v>74</v>
      </c>
      <c r="L764" t="s">
        <v>74</v>
      </c>
      <c r="M764" t="s">
        <v>78</v>
      </c>
      <c r="N764" t="s">
        <v>338</v>
      </c>
      <c r="O764" t="s">
        <v>74</v>
      </c>
      <c r="P764" t="s">
        <v>74</v>
      </c>
      <c r="Q764" t="s">
        <v>74</v>
      </c>
      <c r="R764" t="s">
        <v>74</v>
      </c>
      <c r="S764" t="s">
        <v>74</v>
      </c>
      <c r="T764" t="s">
        <v>14444</v>
      </c>
      <c r="U764" t="s">
        <v>14445</v>
      </c>
      <c r="V764" t="s">
        <v>14446</v>
      </c>
      <c r="W764" t="s">
        <v>14447</v>
      </c>
      <c r="X764" t="s">
        <v>14448</v>
      </c>
      <c r="Y764" t="s">
        <v>14449</v>
      </c>
      <c r="Z764" t="s">
        <v>14450</v>
      </c>
      <c r="AA764" t="s">
        <v>74</v>
      </c>
      <c r="AB764" t="s">
        <v>14451</v>
      </c>
      <c r="AC764" t="s">
        <v>14452</v>
      </c>
      <c r="AD764" t="s">
        <v>14452</v>
      </c>
      <c r="AE764" t="s">
        <v>14453</v>
      </c>
      <c r="AF764" t="s">
        <v>74</v>
      </c>
      <c r="AG764">
        <v>72</v>
      </c>
      <c r="AH764">
        <v>0</v>
      </c>
      <c r="AI764">
        <v>0</v>
      </c>
      <c r="AJ764">
        <v>2</v>
      </c>
      <c r="AK764">
        <v>2</v>
      </c>
      <c r="AL764" t="s">
        <v>426</v>
      </c>
      <c r="AM764" t="s">
        <v>427</v>
      </c>
      <c r="AN764" t="s">
        <v>428</v>
      </c>
      <c r="AO764" t="s">
        <v>1644</v>
      </c>
      <c r="AP764" t="s">
        <v>1645</v>
      </c>
      <c r="AQ764" t="s">
        <v>74</v>
      </c>
      <c r="AR764" t="s">
        <v>1631</v>
      </c>
      <c r="AS764" t="s">
        <v>1646</v>
      </c>
      <c r="AT764" t="s">
        <v>14240</v>
      </c>
      <c r="AU764">
        <v>2023</v>
      </c>
      <c r="AV764" t="s">
        <v>74</v>
      </c>
      <c r="AW764" t="s">
        <v>74</v>
      </c>
      <c r="AX764" t="s">
        <v>74</v>
      </c>
      <c r="AY764" t="s">
        <v>74</v>
      </c>
      <c r="AZ764" t="s">
        <v>74</v>
      </c>
      <c r="BA764" t="s">
        <v>74</v>
      </c>
      <c r="BB764" t="s">
        <v>74</v>
      </c>
      <c r="BC764" t="s">
        <v>74</v>
      </c>
      <c r="BD764" t="s">
        <v>74</v>
      </c>
      <c r="BE764" t="s">
        <v>14454</v>
      </c>
      <c r="BF764" t="str">
        <f>HYPERLINK("http://dx.doi.org/10.1002/cphc.202300366","http://dx.doi.org/10.1002/cphc.202300366")</f>
        <v>http://dx.doi.org/10.1002/cphc.202300366</v>
      </c>
      <c r="BG764" t="s">
        <v>74</v>
      </c>
      <c r="BH764" t="s">
        <v>7524</v>
      </c>
      <c r="BI764">
        <v>10</v>
      </c>
      <c r="BJ764" t="s">
        <v>1649</v>
      </c>
      <c r="BK764" t="s">
        <v>119</v>
      </c>
      <c r="BL764" t="s">
        <v>1650</v>
      </c>
      <c r="BM764" t="s">
        <v>14455</v>
      </c>
      <c r="BN764">
        <v>37366275</v>
      </c>
      <c r="BO764" t="s">
        <v>122</v>
      </c>
      <c r="BP764" t="s">
        <v>74</v>
      </c>
      <c r="BQ764" t="s">
        <v>74</v>
      </c>
      <c r="BR764" t="s">
        <v>99</v>
      </c>
      <c r="BS764" t="s">
        <v>14456</v>
      </c>
      <c r="BT764" t="str">
        <f>HYPERLINK("https%3A%2F%2Fwww.webofscience.com%2Fwos%2Fwoscc%2Ffull-record%2FWOS:001042345000001","View Full Record in Web of Science")</f>
        <v>View Full Record in Web of Science</v>
      </c>
    </row>
    <row r="765" spans="1:72" x14ac:dyDescent="0.15">
      <c r="A765" t="s">
        <v>72</v>
      </c>
      <c r="B765" t="s">
        <v>14457</v>
      </c>
      <c r="C765" t="s">
        <v>74</v>
      </c>
      <c r="D765" t="s">
        <v>74</v>
      </c>
      <c r="E765" t="s">
        <v>74</v>
      </c>
      <c r="F765" t="s">
        <v>14458</v>
      </c>
      <c r="G765" t="s">
        <v>74</v>
      </c>
      <c r="H765" t="s">
        <v>74</v>
      </c>
      <c r="I765" t="s">
        <v>14459</v>
      </c>
      <c r="J765" t="s">
        <v>1216</v>
      </c>
      <c r="K765" t="s">
        <v>74</v>
      </c>
      <c r="L765" t="s">
        <v>74</v>
      </c>
      <c r="M765" t="s">
        <v>78</v>
      </c>
      <c r="N765" t="s">
        <v>338</v>
      </c>
      <c r="O765" t="s">
        <v>74</v>
      </c>
      <c r="P765" t="s">
        <v>74</v>
      </c>
      <c r="Q765" t="s">
        <v>74</v>
      </c>
      <c r="R765" t="s">
        <v>74</v>
      </c>
      <c r="S765" t="s">
        <v>74</v>
      </c>
      <c r="T765" t="s">
        <v>14460</v>
      </c>
      <c r="U765" t="s">
        <v>14461</v>
      </c>
      <c r="V765" t="s">
        <v>14462</v>
      </c>
      <c r="W765" t="s">
        <v>14463</v>
      </c>
      <c r="X765" t="s">
        <v>14464</v>
      </c>
      <c r="Y765" t="s">
        <v>14465</v>
      </c>
      <c r="Z765" t="s">
        <v>14466</v>
      </c>
      <c r="AA765" t="s">
        <v>74</v>
      </c>
      <c r="AB765" t="s">
        <v>74</v>
      </c>
      <c r="AC765" t="s">
        <v>74</v>
      </c>
      <c r="AD765" t="s">
        <v>74</v>
      </c>
      <c r="AE765" t="s">
        <v>74</v>
      </c>
      <c r="AF765" t="s">
        <v>74</v>
      </c>
      <c r="AG765">
        <v>22</v>
      </c>
      <c r="AH765">
        <v>0</v>
      </c>
      <c r="AI765">
        <v>0</v>
      </c>
      <c r="AJ765">
        <v>0</v>
      </c>
      <c r="AK765">
        <v>0</v>
      </c>
      <c r="AL765" t="s">
        <v>87</v>
      </c>
      <c r="AM765" t="s">
        <v>88</v>
      </c>
      <c r="AN765" t="s">
        <v>89</v>
      </c>
      <c r="AO765" t="s">
        <v>1224</v>
      </c>
      <c r="AP765" t="s">
        <v>1225</v>
      </c>
      <c r="AQ765" t="s">
        <v>74</v>
      </c>
      <c r="AR765" t="s">
        <v>1226</v>
      </c>
      <c r="AS765" t="s">
        <v>1227</v>
      </c>
      <c r="AT765" t="s">
        <v>14240</v>
      </c>
      <c r="AU765">
        <v>2023</v>
      </c>
      <c r="AV765" t="s">
        <v>74</v>
      </c>
      <c r="AW765" t="s">
        <v>74</v>
      </c>
      <c r="AX765" t="s">
        <v>74</v>
      </c>
      <c r="AY765" t="s">
        <v>74</v>
      </c>
      <c r="AZ765" t="s">
        <v>74</v>
      </c>
      <c r="BA765" t="s">
        <v>74</v>
      </c>
      <c r="BB765" t="s">
        <v>74</v>
      </c>
      <c r="BC765" t="s">
        <v>74</v>
      </c>
      <c r="BD765" t="s">
        <v>74</v>
      </c>
      <c r="BE765" t="s">
        <v>14467</v>
      </c>
      <c r="BF765" t="str">
        <f>HYPERLINK("http://dx.doi.org/10.1002/ijgo.15020","http://dx.doi.org/10.1002/ijgo.15020")</f>
        <v>http://dx.doi.org/10.1002/ijgo.15020</v>
      </c>
      <c r="BG765" t="s">
        <v>74</v>
      </c>
      <c r="BH765" t="s">
        <v>7524</v>
      </c>
      <c r="BI765">
        <v>7</v>
      </c>
      <c r="BJ765" t="s">
        <v>1229</v>
      </c>
      <c r="BK765" t="s">
        <v>119</v>
      </c>
      <c r="BL765" t="s">
        <v>1229</v>
      </c>
      <c r="BM765" t="s">
        <v>14468</v>
      </c>
      <c r="BN765">
        <v>37537977</v>
      </c>
      <c r="BO765" t="s">
        <v>301</v>
      </c>
      <c r="BP765" t="s">
        <v>74</v>
      </c>
      <c r="BQ765" t="s">
        <v>74</v>
      </c>
      <c r="BR765" t="s">
        <v>99</v>
      </c>
      <c r="BS765" t="s">
        <v>14469</v>
      </c>
      <c r="BT765" t="str">
        <f>HYPERLINK("https%3A%2F%2Fwww.webofscience.com%2Fwos%2Fwoscc%2Ffull-record%2FWOS:001040090500001","View Full Record in Web of Science")</f>
        <v>View Full Record in Web of Science</v>
      </c>
    </row>
    <row r="766" spans="1:72" x14ac:dyDescent="0.15">
      <c r="A766" t="s">
        <v>72</v>
      </c>
      <c r="B766" t="s">
        <v>14470</v>
      </c>
      <c r="C766" t="s">
        <v>74</v>
      </c>
      <c r="D766" t="s">
        <v>74</v>
      </c>
      <c r="E766" t="s">
        <v>74</v>
      </c>
      <c r="F766" t="s">
        <v>14471</v>
      </c>
      <c r="G766" t="s">
        <v>74</v>
      </c>
      <c r="H766" t="s">
        <v>74</v>
      </c>
      <c r="I766" t="s">
        <v>14472</v>
      </c>
      <c r="J766" t="s">
        <v>1001</v>
      </c>
      <c r="K766" t="s">
        <v>74</v>
      </c>
      <c r="L766" t="s">
        <v>74</v>
      </c>
      <c r="M766" t="s">
        <v>78</v>
      </c>
      <c r="N766" t="s">
        <v>338</v>
      </c>
      <c r="O766" t="s">
        <v>74</v>
      </c>
      <c r="P766" t="s">
        <v>74</v>
      </c>
      <c r="Q766" t="s">
        <v>74</v>
      </c>
      <c r="R766" t="s">
        <v>74</v>
      </c>
      <c r="S766" t="s">
        <v>74</v>
      </c>
      <c r="T766" t="s">
        <v>14473</v>
      </c>
      <c r="U766" t="s">
        <v>14474</v>
      </c>
      <c r="V766" t="s">
        <v>14475</v>
      </c>
      <c r="W766" t="s">
        <v>14476</v>
      </c>
      <c r="X766" t="s">
        <v>9182</v>
      </c>
      <c r="Y766" t="s">
        <v>14477</v>
      </c>
      <c r="Z766" t="s">
        <v>14478</v>
      </c>
      <c r="AA766" t="s">
        <v>14479</v>
      </c>
      <c r="AB766" t="s">
        <v>14480</v>
      </c>
      <c r="AC766" t="s">
        <v>14481</v>
      </c>
      <c r="AD766" t="s">
        <v>14482</v>
      </c>
      <c r="AE766" t="s">
        <v>14483</v>
      </c>
      <c r="AF766" t="s">
        <v>74</v>
      </c>
      <c r="AG766">
        <v>55</v>
      </c>
      <c r="AH766">
        <v>0</v>
      </c>
      <c r="AI766">
        <v>0</v>
      </c>
      <c r="AJ766">
        <v>27</v>
      </c>
      <c r="AK766">
        <v>27</v>
      </c>
      <c r="AL766" t="s">
        <v>426</v>
      </c>
      <c r="AM766" t="s">
        <v>427</v>
      </c>
      <c r="AN766" t="s">
        <v>428</v>
      </c>
      <c r="AO766" t="s">
        <v>1014</v>
      </c>
      <c r="AP766" t="s">
        <v>1015</v>
      </c>
      <c r="AQ766" t="s">
        <v>74</v>
      </c>
      <c r="AR766" t="s">
        <v>1016</v>
      </c>
      <c r="AS766" t="s">
        <v>1017</v>
      </c>
      <c r="AT766" t="s">
        <v>14240</v>
      </c>
      <c r="AU766">
        <v>2023</v>
      </c>
      <c r="AV766" t="s">
        <v>74</v>
      </c>
      <c r="AW766" t="s">
        <v>74</v>
      </c>
      <c r="AX766" t="s">
        <v>74</v>
      </c>
      <c r="AY766" t="s">
        <v>74</v>
      </c>
      <c r="AZ766" t="s">
        <v>74</v>
      </c>
      <c r="BA766" t="s">
        <v>74</v>
      </c>
      <c r="BB766" t="s">
        <v>74</v>
      </c>
      <c r="BC766" t="s">
        <v>74</v>
      </c>
      <c r="BD766" t="s">
        <v>14484</v>
      </c>
      <c r="BE766" t="s">
        <v>14485</v>
      </c>
      <c r="BF766" t="str">
        <f>HYPERLINK("http://dx.doi.org/10.1002/anie.202306731","http://dx.doi.org/10.1002/anie.202306731")</f>
        <v>http://dx.doi.org/10.1002/anie.202306731</v>
      </c>
      <c r="BG766" t="s">
        <v>74</v>
      </c>
      <c r="BH766" t="s">
        <v>7524</v>
      </c>
      <c r="BI766">
        <v>8</v>
      </c>
      <c r="BJ766" t="s">
        <v>523</v>
      </c>
      <c r="BK766" t="s">
        <v>119</v>
      </c>
      <c r="BL766" t="s">
        <v>524</v>
      </c>
      <c r="BM766" t="s">
        <v>14486</v>
      </c>
      <c r="BN766">
        <v>37490022</v>
      </c>
      <c r="BO766" t="s">
        <v>74</v>
      </c>
      <c r="BP766" t="s">
        <v>74</v>
      </c>
      <c r="BQ766" t="s">
        <v>74</v>
      </c>
      <c r="BR766" t="s">
        <v>99</v>
      </c>
      <c r="BS766" t="s">
        <v>14487</v>
      </c>
      <c r="BT766" t="str">
        <f>HYPERLINK("https%3A%2F%2Fwww.webofscience.com%2Fwos%2Fwoscc%2Ffull-record%2FWOS:001040544600001","View Full Record in Web of Science")</f>
        <v>View Full Record in Web of Science</v>
      </c>
    </row>
    <row r="767" spans="1:72" x14ac:dyDescent="0.15">
      <c r="A767" t="s">
        <v>72</v>
      </c>
      <c r="B767" t="s">
        <v>14488</v>
      </c>
      <c r="C767" t="s">
        <v>74</v>
      </c>
      <c r="D767" t="s">
        <v>74</v>
      </c>
      <c r="E767" t="s">
        <v>74</v>
      </c>
      <c r="F767" t="s">
        <v>14489</v>
      </c>
      <c r="G767" t="s">
        <v>74</v>
      </c>
      <c r="H767" t="s">
        <v>74</v>
      </c>
      <c r="I767" t="s">
        <v>14490</v>
      </c>
      <c r="J767" t="s">
        <v>2028</v>
      </c>
      <c r="K767" t="s">
        <v>74</v>
      </c>
      <c r="L767" t="s">
        <v>74</v>
      </c>
      <c r="M767" t="s">
        <v>78</v>
      </c>
      <c r="N767" t="s">
        <v>79</v>
      </c>
      <c r="O767" t="s">
        <v>74</v>
      </c>
      <c r="P767" t="s">
        <v>74</v>
      </c>
      <c r="Q767" t="s">
        <v>74</v>
      </c>
      <c r="R767" t="s">
        <v>74</v>
      </c>
      <c r="S767" t="s">
        <v>74</v>
      </c>
      <c r="T767" t="s">
        <v>14491</v>
      </c>
      <c r="U767" t="s">
        <v>14492</v>
      </c>
      <c r="V767" t="s">
        <v>14493</v>
      </c>
      <c r="W767" t="s">
        <v>14494</v>
      </c>
      <c r="X767" t="s">
        <v>14495</v>
      </c>
      <c r="Y767" t="s">
        <v>14496</v>
      </c>
      <c r="Z767" t="s">
        <v>14497</v>
      </c>
      <c r="AA767" t="s">
        <v>74</v>
      </c>
      <c r="AB767" t="s">
        <v>74</v>
      </c>
      <c r="AC767" t="s">
        <v>14498</v>
      </c>
      <c r="AD767" t="s">
        <v>14499</v>
      </c>
      <c r="AE767" t="s">
        <v>14500</v>
      </c>
      <c r="AF767" t="s">
        <v>74</v>
      </c>
      <c r="AG767">
        <v>27</v>
      </c>
      <c r="AH767">
        <v>0</v>
      </c>
      <c r="AI767">
        <v>0</v>
      </c>
      <c r="AJ767">
        <v>3</v>
      </c>
      <c r="AK767">
        <v>3</v>
      </c>
      <c r="AL767" t="s">
        <v>426</v>
      </c>
      <c r="AM767" t="s">
        <v>427</v>
      </c>
      <c r="AN767" t="s">
        <v>428</v>
      </c>
      <c r="AO767" t="s">
        <v>2037</v>
      </c>
      <c r="AP767" t="s">
        <v>74</v>
      </c>
      <c r="AQ767" t="s">
        <v>74</v>
      </c>
      <c r="AR767" t="s">
        <v>2028</v>
      </c>
      <c r="AS767" t="s">
        <v>2038</v>
      </c>
      <c r="AT767" t="s">
        <v>14271</v>
      </c>
      <c r="AU767">
        <v>2023</v>
      </c>
      <c r="AV767">
        <v>8</v>
      </c>
      <c r="AW767">
        <v>29</v>
      </c>
      <c r="AX767" t="s">
        <v>74</v>
      </c>
      <c r="AY767" t="s">
        <v>74</v>
      </c>
      <c r="AZ767" t="s">
        <v>74</v>
      </c>
      <c r="BA767" t="s">
        <v>74</v>
      </c>
      <c r="BB767" t="s">
        <v>74</v>
      </c>
      <c r="BC767" t="s">
        <v>74</v>
      </c>
      <c r="BD767" t="s">
        <v>14501</v>
      </c>
      <c r="BE767" t="s">
        <v>14502</v>
      </c>
      <c r="BF767" t="str">
        <f>HYPERLINK("http://dx.doi.org/10.1002/slct.202302084","http://dx.doi.org/10.1002/slct.202302084")</f>
        <v>http://dx.doi.org/10.1002/slct.202302084</v>
      </c>
      <c r="BG767" t="s">
        <v>74</v>
      </c>
      <c r="BH767" t="s">
        <v>74</v>
      </c>
      <c r="BI767">
        <v>3</v>
      </c>
      <c r="BJ767" t="s">
        <v>523</v>
      </c>
      <c r="BK767" t="s">
        <v>119</v>
      </c>
      <c r="BL767" t="s">
        <v>524</v>
      </c>
      <c r="BM767" t="s">
        <v>14503</v>
      </c>
      <c r="BN767" t="s">
        <v>74</v>
      </c>
      <c r="BO767" t="s">
        <v>74</v>
      </c>
      <c r="BP767" t="s">
        <v>74</v>
      </c>
      <c r="BQ767" t="s">
        <v>74</v>
      </c>
      <c r="BR767" t="s">
        <v>99</v>
      </c>
      <c r="BS767" t="s">
        <v>14504</v>
      </c>
      <c r="BT767" t="str">
        <f>HYPERLINK("https%3A%2F%2Fwww.webofscience.com%2Fwos%2Fwoscc%2Ffull-record%2FWOS:001039602900001","View Full Record in Web of Science")</f>
        <v>View Full Record in Web of Science</v>
      </c>
    </row>
    <row r="768" spans="1:72" x14ac:dyDescent="0.15">
      <c r="A768" t="s">
        <v>72</v>
      </c>
      <c r="B768" t="s">
        <v>14505</v>
      </c>
      <c r="C768" t="s">
        <v>74</v>
      </c>
      <c r="D768" t="s">
        <v>74</v>
      </c>
      <c r="E768" t="s">
        <v>74</v>
      </c>
      <c r="F768" t="s">
        <v>14506</v>
      </c>
      <c r="G768" t="s">
        <v>74</v>
      </c>
      <c r="H768" t="s">
        <v>74</v>
      </c>
      <c r="I768" t="s">
        <v>14507</v>
      </c>
      <c r="J768" t="s">
        <v>1001</v>
      </c>
      <c r="K768" t="s">
        <v>74</v>
      </c>
      <c r="L768" t="s">
        <v>74</v>
      </c>
      <c r="M768" t="s">
        <v>78</v>
      </c>
      <c r="N768" t="s">
        <v>338</v>
      </c>
      <c r="O768" t="s">
        <v>74</v>
      </c>
      <c r="P768" t="s">
        <v>74</v>
      </c>
      <c r="Q768" t="s">
        <v>74</v>
      </c>
      <c r="R768" t="s">
        <v>74</v>
      </c>
      <c r="S768" t="s">
        <v>74</v>
      </c>
      <c r="T768" t="s">
        <v>14508</v>
      </c>
      <c r="U768" t="s">
        <v>14509</v>
      </c>
      <c r="V768" t="s">
        <v>14510</v>
      </c>
      <c r="W768" t="s">
        <v>14511</v>
      </c>
      <c r="X768" t="s">
        <v>14512</v>
      </c>
      <c r="Y768" t="s">
        <v>14513</v>
      </c>
      <c r="Z768" t="s">
        <v>14514</v>
      </c>
      <c r="AA768" t="s">
        <v>74</v>
      </c>
      <c r="AB768" t="s">
        <v>74</v>
      </c>
      <c r="AC768" t="s">
        <v>14515</v>
      </c>
      <c r="AD768" t="s">
        <v>14516</v>
      </c>
      <c r="AE768" t="s">
        <v>14517</v>
      </c>
      <c r="AF768" t="s">
        <v>74</v>
      </c>
      <c r="AG768">
        <v>46</v>
      </c>
      <c r="AH768">
        <v>0</v>
      </c>
      <c r="AI768">
        <v>0</v>
      </c>
      <c r="AJ768">
        <v>43</v>
      </c>
      <c r="AK768">
        <v>43</v>
      </c>
      <c r="AL768" t="s">
        <v>426</v>
      </c>
      <c r="AM768" t="s">
        <v>427</v>
      </c>
      <c r="AN768" t="s">
        <v>428</v>
      </c>
      <c r="AO768" t="s">
        <v>1014</v>
      </c>
      <c r="AP768" t="s">
        <v>1015</v>
      </c>
      <c r="AQ768" t="s">
        <v>74</v>
      </c>
      <c r="AR768" t="s">
        <v>1016</v>
      </c>
      <c r="AS768" t="s">
        <v>1017</v>
      </c>
      <c r="AT768" t="s">
        <v>14240</v>
      </c>
      <c r="AU768">
        <v>2023</v>
      </c>
      <c r="AV768" t="s">
        <v>74</v>
      </c>
      <c r="AW768" t="s">
        <v>74</v>
      </c>
      <c r="AX768" t="s">
        <v>74</v>
      </c>
      <c r="AY768" t="s">
        <v>74</v>
      </c>
      <c r="AZ768" t="s">
        <v>74</v>
      </c>
      <c r="BA768" t="s">
        <v>74</v>
      </c>
      <c r="BB768" t="s">
        <v>74</v>
      </c>
      <c r="BC768" t="s">
        <v>74</v>
      </c>
      <c r="BD768" t="s">
        <v>74</v>
      </c>
      <c r="BE768" t="s">
        <v>14518</v>
      </c>
      <c r="BF768" t="str">
        <f>HYPERLINK("http://dx.doi.org/10.1002/anie.202308049","http://dx.doi.org/10.1002/anie.202308049")</f>
        <v>http://dx.doi.org/10.1002/anie.202308049</v>
      </c>
      <c r="BG768" t="s">
        <v>74</v>
      </c>
      <c r="BH768" t="s">
        <v>7524</v>
      </c>
      <c r="BI768">
        <v>13</v>
      </c>
      <c r="BJ768" t="s">
        <v>523</v>
      </c>
      <c r="BK768" t="s">
        <v>119</v>
      </c>
      <c r="BL768" t="s">
        <v>524</v>
      </c>
      <c r="BM768" t="s">
        <v>14519</v>
      </c>
      <c r="BN768">
        <v>37486792</v>
      </c>
      <c r="BO768" t="s">
        <v>74</v>
      </c>
      <c r="BP768" t="s">
        <v>74</v>
      </c>
      <c r="BQ768" t="s">
        <v>74</v>
      </c>
      <c r="BR768" t="s">
        <v>99</v>
      </c>
      <c r="BS768" t="s">
        <v>14520</v>
      </c>
      <c r="BT768" t="str">
        <f>HYPERLINK("https%3A%2F%2Fwww.webofscience.com%2Fwos%2Fwoscc%2Ffull-record%2FWOS:001040548000001","View Full Record in Web of Science")</f>
        <v>View Full Record in Web of Science</v>
      </c>
    </row>
    <row r="769" spans="1:72" x14ac:dyDescent="0.15">
      <c r="A769" t="s">
        <v>72</v>
      </c>
      <c r="B769" t="s">
        <v>14521</v>
      </c>
      <c r="C769" t="s">
        <v>74</v>
      </c>
      <c r="D769" t="s">
        <v>74</v>
      </c>
      <c r="E769" t="s">
        <v>74</v>
      </c>
      <c r="F769" t="s">
        <v>14522</v>
      </c>
      <c r="G769" t="s">
        <v>74</v>
      </c>
      <c r="H769" t="s">
        <v>74</v>
      </c>
      <c r="I769" t="s">
        <v>14523</v>
      </c>
      <c r="J769" t="s">
        <v>14524</v>
      </c>
      <c r="K769" t="s">
        <v>74</v>
      </c>
      <c r="L769" t="s">
        <v>74</v>
      </c>
      <c r="M769" t="s">
        <v>78</v>
      </c>
      <c r="N769" t="s">
        <v>79</v>
      </c>
      <c r="O769" t="s">
        <v>74</v>
      </c>
      <c r="P769" t="s">
        <v>74</v>
      </c>
      <c r="Q769" t="s">
        <v>74</v>
      </c>
      <c r="R769" t="s">
        <v>74</v>
      </c>
      <c r="S769" t="s">
        <v>74</v>
      </c>
      <c r="T769" t="s">
        <v>74</v>
      </c>
      <c r="U769" t="s">
        <v>14525</v>
      </c>
      <c r="V769" t="s">
        <v>14526</v>
      </c>
      <c r="W769" t="s">
        <v>14527</v>
      </c>
      <c r="X769" t="s">
        <v>14528</v>
      </c>
      <c r="Y769" t="s">
        <v>14529</v>
      </c>
      <c r="Z769" t="s">
        <v>14530</v>
      </c>
      <c r="AA769" t="s">
        <v>74</v>
      </c>
      <c r="AB769" t="s">
        <v>74</v>
      </c>
      <c r="AC769" t="s">
        <v>14531</v>
      </c>
      <c r="AD769" t="s">
        <v>14532</v>
      </c>
      <c r="AE769" t="s">
        <v>14533</v>
      </c>
      <c r="AF769" t="s">
        <v>74</v>
      </c>
      <c r="AG769">
        <v>35</v>
      </c>
      <c r="AH769">
        <v>0</v>
      </c>
      <c r="AI769">
        <v>0</v>
      </c>
      <c r="AJ769">
        <v>0</v>
      </c>
      <c r="AK769">
        <v>0</v>
      </c>
      <c r="AL769" t="s">
        <v>87</v>
      </c>
      <c r="AM769" t="s">
        <v>88</v>
      </c>
      <c r="AN769" t="s">
        <v>89</v>
      </c>
      <c r="AO769" t="s">
        <v>14534</v>
      </c>
      <c r="AP769" t="s">
        <v>14535</v>
      </c>
      <c r="AQ769" t="s">
        <v>74</v>
      </c>
      <c r="AR769" t="s">
        <v>14536</v>
      </c>
      <c r="AS769" t="s">
        <v>14537</v>
      </c>
      <c r="AT769" t="s">
        <v>6725</v>
      </c>
      <c r="AU769">
        <v>2023</v>
      </c>
      <c r="AV769">
        <v>127</v>
      </c>
      <c r="AW769">
        <v>3</v>
      </c>
      <c r="AX769" t="s">
        <v>74</v>
      </c>
      <c r="AY769" t="s">
        <v>74</v>
      </c>
      <c r="AZ769" t="s">
        <v>74</v>
      </c>
      <c r="BA769" t="s">
        <v>74</v>
      </c>
      <c r="BB769">
        <v>836</v>
      </c>
      <c r="BC769">
        <v>888</v>
      </c>
      <c r="BD769" t="s">
        <v>74</v>
      </c>
      <c r="BE769" t="s">
        <v>14538</v>
      </c>
      <c r="BF769" t="str">
        <f>HYPERLINK("http://dx.doi.org/10.1112/plms.12554","http://dx.doi.org/10.1112/plms.12554")</f>
        <v>http://dx.doi.org/10.1112/plms.12554</v>
      </c>
      <c r="BG769" t="s">
        <v>74</v>
      </c>
      <c r="BH769" t="s">
        <v>7524</v>
      </c>
      <c r="BI769">
        <v>53</v>
      </c>
      <c r="BJ769" t="s">
        <v>120</v>
      </c>
      <c r="BK769" t="s">
        <v>119</v>
      </c>
      <c r="BL769" t="s">
        <v>120</v>
      </c>
      <c r="BM769" t="s">
        <v>14539</v>
      </c>
      <c r="BN769" t="s">
        <v>74</v>
      </c>
      <c r="BO769" t="s">
        <v>5713</v>
      </c>
      <c r="BP769" t="s">
        <v>74</v>
      </c>
      <c r="BQ769" t="s">
        <v>74</v>
      </c>
      <c r="BR769" t="s">
        <v>99</v>
      </c>
      <c r="BS769" t="s">
        <v>14540</v>
      </c>
      <c r="BT769" t="str">
        <f>HYPERLINK("https%3A%2F%2Fwww.webofscience.com%2Fwos%2Fwoscc%2Ffull-record%2FWOS:001041688000001","View Full Record in Web of Science")</f>
        <v>View Full Record in Web of Science</v>
      </c>
    </row>
    <row r="770" spans="1:72" x14ac:dyDescent="0.15">
      <c r="A770" t="s">
        <v>72</v>
      </c>
      <c r="B770" t="s">
        <v>14541</v>
      </c>
      <c r="C770" t="s">
        <v>74</v>
      </c>
      <c r="D770" t="s">
        <v>74</v>
      </c>
      <c r="E770" t="s">
        <v>74</v>
      </c>
      <c r="F770" t="s">
        <v>14542</v>
      </c>
      <c r="G770" t="s">
        <v>74</v>
      </c>
      <c r="H770" t="s">
        <v>74</v>
      </c>
      <c r="I770" t="s">
        <v>14543</v>
      </c>
      <c r="J770" t="s">
        <v>2742</v>
      </c>
      <c r="K770" t="s">
        <v>74</v>
      </c>
      <c r="L770" t="s">
        <v>74</v>
      </c>
      <c r="M770" t="s">
        <v>78</v>
      </c>
      <c r="N770" t="s">
        <v>338</v>
      </c>
      <c r="O770" t="s">
        <v>74</v>
      </c>
      <c r="P770" t="s">
        <v>74</v>
      </c>
      <c r="Q770" t="s">
        <v>74</v>
      </c>
      <c r="R770" t="s">
        <v>74</v>
      </c>
      <c r="S770" t="s">
        <v>74</v>
      </c>
      <c r="T770" t="s">
        <v>14544</v>
      </c>
      <c r="U770" t="s">
        <v>14545</v>
      </c>
      <c r="V770" t="s">
        <v>14546</v>
      </c>
      <c r="W770" t="s">
        <v>14547</v>
      </c>
      <c r="X770" t="s">
        <v>14548</v>
      </c>
      <c r="Y770" t="s">
        <v>14549</v>
      </c>
      <c r="Z770" t="s">
        <v>14550</v>
      </c>
      <c r="AA770" t="s">
        <v>14551</v>
      </c>
      <c r="AB770" t="s">
        <v>14552</v>
      </c>
      <c r="AC770" t="s">
        <v>14553</v>
      </c>
      <c r="AD770" t="s">
        <v>14554</v>
      </c>
      <c r="AE770" t="s">
        <v>14555</v>
      </c>
      <c r="AF770" t="s">
        <v>74</v>
      </c>
      <c r="AG770">
        <v>14</v>
      </c>
      <c r="AH770">
        <v>0</v>
      </c>
      <c r="AI770">
        <v>0</v>
      </c>
      <c r="AJ770">
        <v>0</v>
      </c>
      <c r="AK770">
        <v>0</v>
      </c>
      <c r="AL770" t="s">
        <v>87</v>
      </c>
      <c r="AM770" t="s">
        <v>88</v>
      </c>
      <c r="AN770" t="s">
        <v>89</v>
      </c>
      <c r="AO770" t="s">
        <v>2749</v>
      </c>
      <c r="AP770" t="s">
        <v>2750</v>
      </c>
      <c r="AQ770" t="s">
        <v>74</v>
      </c>
      <c r="AR770" t="s">
        <v>2751</v>
      </c>
      <c r="AS770" t="s">
        <v>2752</v>
      </c>
      <c r="AT770" t="s">
        <v>14556</v>
      </c>
      <c r="AU770">
        <v>2023</v>
      </c>
      <c r="AV770" t="s">
        <v>74</v>
      </c>
      <c r="AW770" t="s">
        <v>74</v>
      </c>
      <c r="AX770" t="s">
        <v>74</v>
      </c>
      <c r="AY770" t="s">
        <v>74</v>
      </c>
      <c r="AZ770" t="s">
        <v>74</v>
      </c>
      <c r="BA770" t="s">
        <v>74</v>
      </c>
      <c r="BB770" t="s">
        <v>74</v>
      </c>
      <c r="BC770" t="s">
        <v>74</v>
      </c>
      <c r="BD770" t="s">
        <v>74</v>
      </c>
      <c r="BE770" t="s">
        <v>14557</v>
      </c>
      <c r="BF770" t="str">
        <f>HYPERLINK("http://dx.doi.org/10.1002/pbc.30610","http://dx.doi.org/10.1002/pbc.30610")</f>
        <v>http://dx.doi.org/10.1002/pbc.30610</v>
      </c>
      <c r="BG770" t="s">
        <v>74</v>
      </c>
      <c r="BH770" t="s">
        <v>7524</v>
      </c>
      <c r="BI770">
        <v>10</v>
      </c>
      <c r="BJ770" t="s">
        <v>2754</v>
      </c>
      <c r="BK770" t="s">
        <v>119</v>
      </c>
      <c r="BL770" t="s">
        <v>2754</v>
      </c>
      <c r="BM770" t="s">
        <v>14558</v>
      </c>
      <c r="BN770">
        <v>37534917</v>
      </c>
      <c r="BO770" t="s">
        <v>122</v>
      </c>
      <c r="BP770" t="s">
        <v>74</v>
      </c>
      <c r="BQ770" t="s">
        <v>74</v>
      </c>
      <c r="BR770" t="s">
        <v>99</v>
      </c>
      <c r="BS770" t="s">
        <v>14559</v>
      </c>
      <c r="BT770" t="str">
        <f>HYPERLINK("https%3A%2F%2Fwww.webofscience.com%2Fwos%2Fwoscc%2Ffull-record%2FWOS:001041699300001","View Full Record in Web of Science")</f>
        <v>View Full Record in Web of Science</v>
      </c>
    </row>
    <row r="771" spans="1:72" x14ac:dyDescent="0.15">
      <c r="A771" t="s">
        <v>72</v>
      </c>
      <c r="B771" t="s">
        <v>14560</v>
      </c>
      <c r="C771" t="s">
        <v>74</v>
      </c>
      <c r="D771" t="s">
        <v>74</v>
      </c>
      <c r="E771" t="s">
        <v>74</v>
      </c>
      <c r="F771" t="s">
        <v>14561</v>
      </c>
      <c r="G771" t="s">
        <v>74</v>
      </c>
      <c r="H771" t="s">
        <v>74</v>
      </c>
      <c r="I771" t="s">
        <v>14562</v>
      </c>
      <c r="J771" t="s">
        <v>14563</v>
      </c>
      <c r="K771" t="s">
        <v>74</v>
      </c>
      <c r="L771" t="s">
        <v>74</v>
      </c>
      <c r="M771" t="s">
        <v>78</v>
      </c>
      <c r="N771" t="s">
        <v>2419</v>
      </c>
      <c r="O771" t="s">
        <v>74</v>
      </c>
      <c r="P771" t="s">
        <v>74</v>
      </c>
      <c r="Q771" t="s">
        <v>74</v>
      </c>
      <c r="R771" t="s">
        <v>74</v>
      </c>
      <c r="S771" t="s">
        <v>74</v>
      </c>
      <c r="T771" t="s">
        <v>74</v>
      </c>
      <c r="U771" t="s">
        <v>74</v>
      </c>
      <c r="V771" t="s">
        <v>74</v>
      </c>
      <c r="W771" t="s">
        <v>14564</v>
      </c>
      <c r="X771" t="s">
        <v>14565</v>
      </c>
      <c r="Y771" t="s">
        <v>14566</v>
      </c>
      <c r="Z771" t="s">
        <v>14567</v>
      </c>
      <c r="AA771" t="s">
        <v>14568</v>
      </c>
      <c r="AB771" t="s">
        <v>14569</v>
      </c>
      <c r="AC771" t="s">
        <v>74</v>
      </c>
      <c r="AD771" t="s">
        <v>74</v>
      </c>
      <c r="AE771" t="s">
        <v>74</v>
      </c>
      <c r="AF771" t="s">
        <v>74</v>
      </c>
      <c r="AG771">
        <v>1</v>
      </c>
      <c r="AH771">
        <v>0</v>
      </c>
      <c r="AI771">
        <v>0</v>
      </c>
      <c r="AJ771">
        <v>0</v>
      </c>
      <c r="AK771">
        <v>0</v>
      </c>
      <c r="AL771" t="s">
        <v>87</v>
      </c>
      <c r="AM771" t="s">
        <v>88</v>
      </c>
      <c r="AN771" t="s">
        <v>89</v>
      </c>
      <c r="AO771" t="s">
        <v>14570</v>
      </c>
      <c r="AP771" t="s">
        <v>14571</v>
      </c>
      <c r="AQ771" t="s">
        <v>74</v>
      </c>
      <c r="AR771" t="s">
        <v>14572</v>
      </c>
      <c r="AS771" t="s">
        <v>14573</v>
      </c>
      <c r="AT771" t="s">
        <v>14556</v>
      </c>
      <c r="AU771">
        <v>2023</v>
      </c>
      <c r="AV771" t="s">
        <v>74</v>
      </c>
      <c r="AW771" t="s">
        <v>74</v>
      </c>
      <c r="AX771" t="s">
        <v>74</v>
      </c>
      <c r="AY771" t="s">
        <v>74</v>
      </c>
      <c r="AZ771" t="s">
        <v>74</v>
      </c>
      <c r="BA771" t="s">
        <v>74</v>
      </c>
      <c r="BB771" t="s">
        <v>74</v>
      </c>
      <c r="BC771" t="s">
        <v>74</v>
      </c>
      <c r="BD771" t="s">
        <v>74</v>
      </c>
      <c r="BE771" t="s">
        <v>14574</v>
      </c>
      <c r="BF771" t="str">
        <f>HYPERLINK("http://dx.doi.org/10.1111/pirs.12753","http://dx.doi.org/10.1111/pirs.12753")</f>
        <v>http://dx.doi.org/10.1111/pirs.12753</v>
      </c>
      <c r="BG771" t="s">
        <v>74</v>
      </c>
      <c r="BH771" t="s">
        <v>7524</v>
      </c>
      <c r="BI771">
        <v>3</v>
      </c>
      <c r="BJ771" t="s">
        <v>14575</v>
      </c>
      <c r="BK771" t="s">
        <v>546</v>
      </c>
      <c r="BL771" t="s">
        <v>14576</v>
      </c>
      <c r="BM771" t="s">
        <v>14577</v>
      </c>
      <c r="BN771" t="s">
        <v>74</v>
      </c>
      <c r="BO771" t="s">
        <v>74</v>
      </c>
      <c r="BP771" t="s">
        <v>74</v>
      </c>
      <c r="BQ771" t="s">
        <v>74</v>
      </c>
      <c r="BR771" t="s">
        <v>99</v>
      </c>
      <c r="BS771" t="s">
        <v>14578</v>
      </c>
      <c r="BT771" t="str">
        <f>HYPERLINK("https%3A%2F%2Fwww.webofscience.com%2Fwos%2Fwoscc%2Ffull-record%2FWOS:001042260500001","View Full Record in Web of Science")</f>
        <v>View Full Record in Web of Science</v>
      </c>
    </row>
    <row r="772" spans="1:72" x14ac:dyDescent="0.15">
      <c r="A772" t="s">
        <v>72</v>
      </c>
      <c r="B772" t="s">
        <v>14579</v>
      </c>
      <c r="C772" t="s">
        <v>74</v>
      </c>
      <c r="D772" t="s">
        <v>74</v>
      </c>
      <c r="E772" t="s">
        <v>74</v>
      </c>
      <c r="F772" t="s">
        <v>14580</v>
      </c>
      <c r="G772" t="s">
        <v>74</v>
      </c>
      <c r="H772" t="s">
        <v>74</v>
      </c>
      <c r="I772" t="s">
        <v>14581</v>
      </c>
      <c r="J772" t="s">
        <v>1568</v>
      </c>
      <c r="K772" t="s">
        <v>74</v>
      </c>
      <c r="L772" t="s">
        <v>74</v>
      </c>
      <c r="M772" t="s">
        <v>78</v>
      </c>
      <c r="N772" t="s">
        <v>338</v>
      </c>
      <c r="O772" t="s">
        <v>74</v>
      </c>
      <c r="P772" t="s">
        <v>74</v>
      </c>
      <c r="Q772" t="s">
        <v>74</v>
      </c>
      <c r="R772" t="s">
        <v>74</v>
      </c>
      <c r="S772" t="s">
        <v>74</v>
      </c>
      <c r="T772" t="s">
        <v>14582</v>
      </c>
      <c r="U772" t="s">
        <v>14583</v>
      </c>
      <c r="V772" t="s">
        <v>14584</v>
      </c>
      <c r="W772" t="s">
        <v>14585</v>
      </c>
      <c r="X772" t="s">
        <v>14586</v>
      </c>
      <c r="Y772" t="s">
        <v>14587</v>
      </c>
      <c r="Z772" t="s">
        <v>14588</v>
      </c>
      <c r="AA772" t="s">
        <v>14589</v>
      </c>
      <c r="AB772" t="s">
        <v>14590</v>
      </c>
      <c r="AC772" t="s">
        <v>74</v>
      </c>
      <c r="AD772" t="s">
        <v>74</v>
      </c>
      <c r="AE772" t="s">
        <v>74</v>
      </c>
      <c r="AF772" t="s">
        <v>74</v>
      </c>
      <c r="AG772">
        <v>58</v>
      </c>
      <c r="AH772">
        <v>0</v>
      </c>
      <c r="AI772">
        <v>0</v>
      </c>
      <c r="AJ772">
        <v>0</v>
      </c>
      <c r="AK772">
        <v>0</v>
      </c>
      <c r="AL772" t="s">
        <v>87</v>
      </c>
      <c r="AM772" t="s">
        <v>88</v>
      </c>
      <c r="AN772" t="s">
        <v>89</v>
      </c>
      <c r="AO772" t="s">
        <v>1578</v>
      </c>
      <c r="AP772" t="s">
        <v>74</v>
      </c>
      <c r="AQ772" t="s">
        <v>74</v>
      </c>
      <c r="AR772" t="s">
        <v>1579</v>
      </c>
      <c r="AS772" t="s">
        <v>1580</v>
      </c>
      <c r="AT772" t="s">
        <v>14556</v>
      </c>
      <c r="AU772">
        <v>2023</v>
      </c>
      <c r="AV772" t="s">
        <v>74</v>
      </c>
      <c r="AW772" t="s">
        <v>74</v>
      </c>
      <c r="AX772" t="s">
        <v>74</v>
      </c>
      <c r="AY772" t="s">
        <v>74</v>
      </c>
      <c r="AZ772" t="s">
        <v>74</v>
      </c>
      <c r="BA772" t="s">
        <v>74</v>
      </c>
      <c r="BB772" t="s">
        <v>74</v>
      </c>
      <c r="BC772" t="s">
        <v>74</v>
      </c>
      <c r="BD772" t="s">
        <v>74</v>
      </c>
      <c r="BE772" t="s">
        <v>14591</v>
      </c>
      <c r="BF772" t="str">
        <f>HYPERLINK("http://dx.doi.org/10.1002/cam4.6415","http://dx.doi.org/10.1002/cam4.6415")</f>
        <v>http://dx.doi.org/10.1002/cam4.6415</v>
      </c>
      <c r="BG772" t="s">
        <v>74</v>
      </c>
      <c r="BH772" t="s">
        <v>7524</v>
      </c>
      <c r="BI772">
        <v>14</v>
      </c>
      <c r="BJ772" t="s">
        <v>789</v>
      </c>
      <c r="BK772" t="s">
        <v>119</v>
      </c>
      <c r="BL772" t="s">
        <v>789</v>
      </c>
      <c r="BM772" t="s">
        <v>14592</v>
      </c>
      <c r="BN772">
        <v>37537783</v>
      </c>
      <c r="BO772" t="s">
        <v>234</v>
      </c>
      <c r="BP772" t="s">
        <v>74</v>
      </c>
      <c r="BQ772" t="s">
        <v>74</v>
      </c>
      <c r="BR772" t="s">
        <v>99</v>
      </c>
      <c r="BS772" t="s">
        <v>14593</v>
      </c>
      <c r="BT772" t="str">
        <f>HYPERLINK("https%3A%2F%2Fwww.webofscience.com%2Fwos%2Fwoscc%2Ffull-record%2FWOS:001040110500001","View Full Record in Web of Science")</f>
        <v>View Full Record in Web of Science</v>
      </c>
    </row>
    <row r="773" spans="1:72" x14ac:dyDescent="0.15">
      <c r="A773" t="s">
        <v>72</v>
      </c>
      <c r="B773" t="s">
        <v>14594</v>
      </c>
      <c r="C773" t="s">
        <v>74</v>
      </c>
      <c r="D773" t="s">
        <v>74</v>
      </c>
      <c r="E773" t="s">
        <v>74</v>
      </c>
      <c r="F773" t="s">
        <v>14595</v>
      </c>
      <c r="G773" t="s">
        <v>74</v>
      </c>
      <c r="H773" t="s">
        <v>74</v>
      </c>
      <c r="I773" t="s">
        <v>14596</v>
      </c>
      <c r="J773" t="s">
        <v>11494</v>
      </c>
      <c r="K773" t="s">
        <v>74</v>
      </c>
      <c r="L773" t="s">
        <v>74</v>
      </c>
      <c r="M773" t="s">
        <v>78</v>
      </c>
      <c r="N773" t="s">
        <v>338</v>
      </c>
      <c r="O773" t="s">
        <v>74</v>
      </c>
      <c r="P773" t="s">
        <v>74</v>
      </c>
      <c r="Q773" t="s">
        <v>74</v>
      </c>
      <c r="R773" t="s">
        <v>74</v>
      </c>
      <c r="S773" t="s">
        <v>74</v>
      </c>
      <c r="T773" t="s">
        <v>14597</v>
      </c>
      <c r="U773" t="s">
        <v>14598</v>
      </c>
      <c r="V773" t="s">
        <v>14599</v>
      </c>
      <c r="W773" t="s">
        <v>14600</v>
      </c>
      <c r="X773" t="s">
        <v>14601</v>
      </c>
      <c r="Y773" t="s">
        <v>14602</v>
      </c>
      <c r="Z773" t="s">
        <v>14603</v>
      </c>
      <c r="AA773" t="s">
        <v>74</v>
      </c>
      <c r="AB773" t="s">
        <v>74</v>
      </c>
      <c r="AC773" t="s">
        <v>74</v>
      </c>
      <c r="AD773" t="s">
        <v>74</v>
      </c>
      <c r="AE773" t="s">
        <v>74</v>
      </c>
      <c r="AF773" t="s">
        <v>74</v>
      </c>
      <c r="AG773">
        <v>23</v>
      </c>
      <c r="AH773">
        <v>0</v>
      </c>
      <c r="AI773">
        <v>0</v>
      </c>
      <c r="AJ773">
        <v>1</v>
      </c>
      <c r="AK773">
        <v>1</v>
      </c>
      <c r="AL773" t="s">
        <v>87</v>
      </c>
      <c r="AM773" t="s">
        <v>88</v>
      </c>
      <c r="AN773" t="s">
        <v>89</v>
      </c>
      <c r="AO773" t="s">
        <v>11502</v>
      </c>
      <c r="AP773" t="s">
        <v>11503</v>
      </c>
      <c r="AQ773" t="s">
        <v>74</v>
      </c>
      <c r="AR773" t="s">
        <v>11504</v>
      </c>
      <c r="AS773" t="s">
        <v>11505</v>
      </c>
      <c r="AT773" t="s">
        <v>14556</v>
      </c>
      <c r="AU773">
        <v>2023</v>
      </c>
      <c r="AV773" t="s">
        <v>74</v>
      </c>
      <c r="AW773" t="s">
        <v>74</v>
      </c>
      <c r="AX773" t="s">
        <v>74</v>
      </c>
      <c r="AY773" t="s">
        <v>74</v>
      </c>
      <c r="AZ773" t="s">
        <v>74</v>
      </c>
      <c r="BA773" t="s">
        <v>74</v>
      </c>
      <c r="BB773" t="s">
        <v>74</v>
      </c>
      <c r="BC773" t="s">
        <v>74</v>
      </c>
      <c r="BD773" t="s">
        <v>74</v>
      </c>
      <c r="BE773" t="s">
        <v>14604</v>
      </c>
      <c r="BF773" t="str">
        <f>HYPERLINK("http://dx.doi.org/10.1002/jid.3821","http://dx.doi.org/10.1002/jid.3821")</f>
        <v>http://dx.doi.org/10.1002/jid.3821</v>
      </c>
      <c r="BG773" t="s">
        <v>74</v>
      </c>
      <c r="BH773" t="s">
        <v>7524</v>
      </c>
      <c r="BI773">
        <v>23</v>
      </c>
      <c r="BJ773" t="s">
        <v>1767</v>
      </c>
      <c r="BK773" t="s">
        <v>546</v>
      </c>
      <c r="BL773" t="s">
        <v>1767</v>
      </c>
      <c r="BM773" t="s">
        <v>14605</v>
      </c>
      <c r="BN773" t="s">
        <v>74</v>
      </c>
      <c r="BO773" t="s">
        <v>301</v>
      </c>
      <c r="BP773" t="s">
        <v>74</v>
      </c>
      <c r="BQ773" t="s">
        <v>74</v>
      </c>
      <c r="BR773" t="s">
        <v>99</v>
      </c>
      <c r="BS773" t="s">
        <v>14606</v>
      </c>
      <c r="BT773" t="str">
        <f>HYPERLINK("https%3A%2F%2Fwww.webofscience.com%2Fwos%2Fwoscc%2Ffull-record%2FWOS:001041921100001","View Full Record in Web of Science")</f>
        <v>View Full Record in Web of Science</v>
      </c>
    </row>
    <row r="774" spans="1:72" x14ac:dyDescent="0.15">
      <c r="A774" t="s">
        <v>72</v>
      </c>
      <c r="B774" t="s">
        <v>14607</v>
      </c>
      <c r="C774" t="s">
        <v>74</v>
      </c>
      <c r="D774" t="s">
        <v>74</v>
      </c>
      <c r="E774" t="s">
        <v>74</v>
      </c>
      <c r="F774" t="s">
        <v>14608</v>
      </c>
      <c r="G774" t="s">
        <v>74</v>
      </c>
      <c r="H774" t="s">
        <v>74</v>
      </c>
      <c r="I774" t="s">
        <v>14609</v>
      </c>
      <c r="J774" t="s">
        <v>1773</v>
      </c>
      <c r="K774" t="s">
        <v>74</v>
      </c>
      <c r="L774" t="s">
        <v>74</v>
      </c>
      <c r="M774" t="s">
        <v>78</v>
      </c>
      <c r="N774" t="s">
        <v>338</v>
      </c>
      <c r="O774" t="s">
        <v>74</v>
      </c>
      <c r="P774" t="s">
        <v>74</v>
      </c>
      <c r="Q774" t="s">
        <v>74</v>
      </c>
      <c r="R774" t="s">
        <v>74</v>
      </c>
      <c r="S774" t="s">
        <v>74</v>
      </c>
      <c r="T774" t="s">
        <v>14610</v>
      </c>
      <c r="U774" t="s">
        <v>14611</v>
      </c>
      <c r="V774" t="s">
        <v>14612</v>
      </c>
      <c r="W774" t="s">
        <v>14613</v>
      </c>
      <c r="X774" t="s">
        <v>14614</v>
      </c>
      <c r="Y774" t="s">
        <v>14615</v>
      </c>
      <c r="Z774" t="s">
        <v>14616</v>
      </c>
      <c r="AA774" t="s">
        <v>74</v>
      </c>
      <c r="AB774" t="s">
        <v>14617</v>
      </c>
      <c r="AC774" t="s">
        <v>14618</v>
      </c>
      <c r="AD774" t="s">
        <v>14619</v>
      </c>
      <c r="AE774" t="s">
        <v>14620</v>
      </c>
      <c r="AF774" t="s">
        <v>74</v>
      </c>
      <c r="AG774">
        <v>100</v>
      </c>
      <c r="AH774">
        <v>1</v>
      </c>
      <c r="AI774">
        <v>1</v>
      </c>
      <c r="AJ774">
        <v>27</v>
      </c>
      <c r="AK774">
        <v>27</v>
      </c>
      <c r="AL774" t="s">
        <v>426</v>
      </c>
      <c r="AM774" t="s">
        <v>427</v>
      </c>
      <c r="AN774" t="s">
        <v>428</v>
      </c>
      <c r="AO774" t="s">
        <v>1785</v>
      </c>
      <c r="AP774" t="s">
        <v>1786</v>
      </c>
      <c r="AQ774" t="s">
        <v>74</v>
      </c>
      <c r="AR774" t="s">
        <v>1787</v>
      </c>
      <c r="AS774" t="s">
        <v>1788</v>
      </c>
      <c r="AT774" t="s">
        <v>14556</v>
      </c>
      <c r="AU774">
        <v>2023</v>
      </c>
      <c r="AV774" t="s">
        <v>74</v>
      </c>
      <c r="AW774" t="s">
        <v>74</v>
      </c>
      <c r="AX774" t="s">
        <v>74</v>
      </c>
      <c r="AY774" t="s">
        <v>74</v>
      </c>
      <c r="AZ774" t="s">
        <v>74</v>
      </c>
      <c r="BA774" t="s">
        <v>74</v>
      </c>
      <c r="BB774" t="s">
        <v>74</v>
      </c>
      <c r="BC774" t="s">
        <v>74</v>
      </c>
      <c r="BD774" t="s">
        <v>74</v>
      </c>
      <c r="BE774" t="s">
        <v>14621</v>
      </c>
      <c r="BF774" t="str">
        <f>HYPERLINK("http://dx.doi.org/10.1002/adma.202304621","http://dx.doi.org/10.1002/adma.202304621")</f>
        <v>http://dx.doi.org/10.1002/adma.202304621</v>
      </c>
      <c r="BG774" t="s">
        <v>74</v>
      </c>
      <c r="BH774" t="s">
        <v>7524</v>
      </c>
      <c r="BI774">
        <v>13</v>
      </c>
      <c r="BJ774" t="s">
        <v>609</v>
      </c>
      <c r="BK774" t="s">
        <v>119</v>
      </c>
      <c r="BL774" t="s">
        <v>610</v>
      </c>
      <c r="BM774" t="s">
        <v>14622</v>
      </c>
      <c r="BN774">
        <v>37437599</v>
      </c>
      <c r="BO774" t="s">
        <v>122</v>
      </c>
      <c r="BP774" t="s">
        <v>74</v>
      </c>
      <c r="BQ774" t="s">
        <v>74</v>
      </c>
      <c r="BR774" t="s">
        <v>99</v>
      </c>
      <c r="BS774" t="s">
        <v>14623</v>
      </c>
      <c r="BT774" t="str">
        <f>HYPERLINK("https%3A%2F%2Fwww.webofscience.com%2Fwos%2Fwoscc%2Ffull-record%2FWOS:001041483900001","View Full Record in Web of Science")</f>
        <v>View Full Record in Web of Science</v>
      </c>
    </row>
    <row r="775" spans="1:72" x14ac:dyDescent="0.15">
      <c r="A775" t="s">
        <v>72</v>
      </c>
      <c r="B775" t="s">
        <v>14624</v>
      </c>
      <c r="C775" t="s">
        <v>74</v>
      </c>
      <c r="D775" t="s">
        <v>74</v>
      </c>
      <c r="E775" t="s">
        <v>74</v>
      </c>
      <c r="F775" t="s">
        <v>14625</v>
      </c>
      <c r="G775" t="s">
        <v>74</v>
      </c>
      <c r="H775" t="s">
        <v>74</v>
      </c>
      <c r="I775" t="s">
        <v>14626</v>
      </c>
      <c r="J775" t="s">
        <v>1631</v>
      </c>
      <c r="K775" t="s">
        <v>74</v>
      </c>
      <c r="L775" t="s">
        <v>74</v>
      </c>
      <c r="M775" t="s">
        <v>78</v>
      </c>
      <c r="N775" t="s">
        <v>338</v>
      </c>
      <c r="O775" t="s">
        <v>74</v>
      </c>
      <c r="P775" t="s">
        <v>74</v>
      </c>
      <c r="Q775" t="s">
        <v>74</v>
      </c>
      <c r="R775" t="s">
        <v>74</v>
      </c>
      <c r="S775" t="s">
        <v>74</v>
      </c>
      <c r="T775" t="s">
        <v>14627</v>
      </c>
      <c r="U775" t="s">
        <v>14628</v>
      </c>
      <c r="V775" t="s">
        <v>14629</v>
      </c>
      <c r="W775" t="s">
        <v>14630</v>
      </c>
      <c r="X775" t="s">
        <v>14631</v>
      </c>
      <c r="Y775" t="s">
        <v>14632</v>
      </c>
      <c r="Z775" t="s">
        <v>14633</v>
      </c>
      <c r="AA775" t="s">
        <v>14634</v>
      </c>
      <c r="AB775" t="s">
        <v>14635</v>
      </c>
      <c r="AC775" t="s">
        <v>14636</v>
      </c>
      <c r="AD775" t="s">
        <v>14637</v>
      </c>
      <c r="AE775" t="s">
        <v>14638</v>
      </c>
      <c r="AF775" t="s">
        <v>74</v>
      </c>
      <c r="AG775">
        <v>52</v>
      </c>
      <c r="AH775">
        <v>0</v>
      </c>
      <c r="AI775">
        <v>0</v>
      </c>
      <c r="AJ775">
        <v>15</v>
      </c>
      <c r="AK775">
        <v>15</v>
      </c>
      <c r="AL775" t="s">
        <v>426</v>
      </c>
      <c r="AM775" t="s">
        <v>427</v>
      </c>
      <c r="AN775" t="s">
        <v>428</v>
      </c>
      <c r="AO775" t="s">
        <v>1644</v>
      </c>
      <c r="AP775" t="s">
        <v>1645</v>
      </c>
      <c r="AQ775" t="s">
        <v>74</v>
      </c>
      <c r="AR775" t="s">
        <v>1631</v>
      </c>
      <c r="AS775" t="s">
        <v>1646</v>
      </c>
      <c r="AT775" t="s">
        <v>14556</v>
      </c>
      <c r="AU775">
        <v>2023</v>
      </c>
      <c r="AV775" t="s">
        <v>74</v>
      </c>
      <c r="AW775" t="s">
        <v>74</v>
      </c>
      <c r="AX775" t="s">
        <v>74</v>
      </c>
      <c r="AY775" t="s">
        <v>74</v>
      </c>
      <c r="AZ775" t="s">
        <v>74</v>
      </c>
      <c r="BA775" t="s">
        <v>74</v>
      </c>
      <c r="BB775" t="s">
        <v>74</v>
      </c>
      <c r="BC775" t="s">
        <v>74</v>
      </c>
      <c r="BD775" t="s">
        <v>74</v>
      </c>
      <c r="BE775" t="s">
        <v>14639</v>
      </c>
      <c r="BF775" t="str">
        <f>HYPERLINK("http://dx.doi.org/10.1002/cphc.202300050","http://dx.doi.org/10.1002/cphc.202300050")</f>
        <v>http://dx.doi.org/10.1002/cphc.202300050</v>
      </c>
      <c r="BG775" t="s">
        <v>74</v>
      </c>
      <c r="BH775" t="s">
        <v>7524</v>
      </c>
      <c r="BI775">
        <v>10</v>
      </c>
      <c r="BJ775" t="s">
        <v>1649</v>
      </c>
      <c r="BK775" t="s">
        <v>119</v>
      </c>
      <c r="BL775" t="s">
        <v>1650</v>
      </c>
      <c r="BM775" t="s">
        <v>14640</v>
      </c>
      <c r="BN775">
        <v>37466365</v>
      </c>
      <c r="BO775" t="s">
        <v>74</v>
      </c>
      <c r="BP775" t="s">
        <v>74</v>
      </c>
      <c r="BQ775" t="s">
        <v>74</v>
      </c>
      <c r="BR775" t="s">
        <v>99</v>
      </c>
      <c r="BS775" t="s">
        <v>14641</v>
      </c>
      <c r="BT775" t="str">
        <f>HYPERLINK("https%3A%2F%2Fwww.webofscience.com%2Fwos%2Fwoscc%2Ffull-record%2FWOS:001041944800001","View Full Record in Web of Science")</f>
        <v>View Full Record in Web of Science</v>
      </c>
    </row>
    <row r="776" spans="1:72" x14ac:dyDescent="0.15">
      <c r="A776" t="s">
        <v>72</v>
      </c>
      <c r="B776" t="s">
        <v>14642</v>
      </c>
      <c r="C776" t="s">
        <v>74</v>
      </c>
      <c r="D776" t="s">
        <v>74</v>
      </c>
      <c r="E776" t="s">
        <v>74</v>
      </c>
      <c r="F776" t="s">
        <v>14643</v>
      </c>
      <c r="G776" t="s">
        <v>74</v>
      </c>
      <c r="H776" t="s">
        <v>74</v>
      </c>
      <c r="I776" t="s">
        <v>14644</v>
      </c>
      <c r="J776" t="s">
        <v>14645</v>
      </c>
      <c r="K776" t="s">
        <v>74</v>
      </c>
      <c r="L776" t="s">
        <v>74</v>
      </c>
      <c r="M776" t="s">
        <v>78</v>
      </c>
      <c r="N776" t="s">
        <v>338</v>
      </c>
      <c r="O776" t="s">
        <v>74</v>
      </c>
      <c r="P776" t="s">
        <v>74</v>
      </c>
      <c r="Q776" t="s">
        <v>74</v>
      </c>
      <c r="R776" t="s">
        <v>74</v>
      </c>
      <c r="S776" t="s">
        <v>74</v>
      </c>
      <c r="T776" t="s">
        <v>14646</v>
      </c>
      <c r="U776" t="s">
        <v>14647</v>
      </c>
      <c r="V776" t="s">
        <v>14648</v>
      </c>
      <c r="W776" t="s">
        <v>14649</v>
      </c>
      <c r="X776" t="s">
        <v>14650</v>
      </c>
      <c r="Y776" t="s">
        <v>14651</v>
      </c>
      <c r="Z776" t="s">
        <v>14652</v>
      </c>
      <c r="AA776" t="s">
        <v>74</v>
      </c>
      <c r="AB776" t="s">
        <v>74</v>
      </c>
      <c r="AC776" t="s">
        <v>14653</v>
      </c>
      <c r="AD776" t="s">
        <v>14654</v>
      </c>
      <c r="AE776" t="s">
        <v>14655</v>
      </c>
      <c r="AF776" t="s">
        <v>74</v>
      </c>
      <c r="AG776">
        <v>48</v>
      </c>
      <c r="AH776">
        <v>0</v>
      </c>
      <c r="AI776">
        <v>0</v>
      </c>
      <c r="AJ776">
        <v>7</v>
      </c>
      <c r="AK776">
        <v>7</v>
      </c>
      <c r="AL776" t="s">
        <v>426</v>
      </c>
      <c r="AM776" t="s">
        <v>427</v>
      </c>
      <c r="AN776" t="s">
        <v>428</v>
      </c>
      <c r="AO776" t="s">
        <v>14656</v>
      </c>
      <c r="AP776" t="s">
        <v>14657</v>
      </c>
      <c r="AQ776" t="s">
        <v>74</v>
      </c>
      <c r="AR776" t="s">
        <v>14645</v>
      </c>
      <c r="AS776" t="s">
        <v>14658</v>
      </c>
      <c r="AT776" t="s">
        <v>14556</v>
      </c>
      <c r="AU776">
        <v>2023</v>
      </c>
      <c r="AV776" t="s">
        <v>74</v>
      </c>
      <c r="AW776" t="s">
        <v>74</v>
      </c>
      <c r="AX776" t="s">
        <v>74</v>
      </c>
      <c r="AY776" t="s">
        <v>74</v>
      </c>
      <c r="AZ776" t="s">
        <v>74</v>
      </c>
      <c r="BA776" t="s">
        <v>74</v>
      </c>
      <c r="BB776" t="s">
        <v>74</v>
      </c>
      <c r="BC776" t="s">
        <v>74</v>
      </c>
      <c r="BD776" t="s">
        <v>74</v>
      </c>
      <c r="BE776" t="s">
        <v>14659</v>
      </c>
      <c r="BF776" t="str">
        <f>HYPERLINK("http://dx.doi.org/10.1002/fuce.202300029","http://dx.doi.org/10.1002/fuce.202300029")</f>
        <v>http://dx.doi.org/10.1002/fuce.202300029</v>
      </c>
      <c r="BG776" t="s">
        <v>74</v>
      </c>
      <c r="BH776" t="s">
        <v>7524</v>
      </c>
      <c r="BI776">
        <v>12</v>
      </c>
      <c r="BJ776" t="s">
        <v>14660</v>
      </c>
      <c r="BK776" t="s">
        <v>119</v>
      </c>
      <c r="BL776" t="s">
        <v>14660</v>
      </c>
      <c r="BM776" t="s">
        <v>14661</v>
      </c>
      <c r="BN776" t="s">
        <v>74</v>
      </c>
      <c r="BO776" t="s">
        <v>301</v>
      </c>
      <c r="BP776" t="s">
        <v>74</v>
      </c>
      <c r="BQ776" t="s">
        <v>74</v>
      </c>
      <c r="BR776" t="s">
        <v>99</v>
      </c>
      <c r="BS776" t="s">
        <v>14662</v>
      </c>
      <c r="BT776" t="str">
        <f>HYPERLINK("https%3A%2F%2Fwww.webofscience.com%2Fwos%2Fwoscc%2Ffull-record%2FWOS:001041544500001","View Full Record in Web of Science")</f>
        <v>View Full Record in Web of Science</v>
      </c>
    </row>
    <row r="777" spans="1:72" x14ac:dyDescent="0.15">
      <c r="A777" t="s">
        <v>72</v>
      </c>
      <c r="B777" t="s">
        <v>14663</v>
      </c>
      <c r="C777" t="s">
        <v>74</v>
      </c>
      <c r="D777" t="s">
        <v>74</v>
      </c>
      <c r="E777" t="s">
        <v>74</v>
      </c>
      <c r="F777" t="s">
        <v>14664</v>
      </c>
      <c r="G777" t="s">
        <v>74</v>
      </c>
      <c r="H777" t="s">
        <v>74</v>
      </c>
      <c r="I777" t="s">
        <v>14665</v>
      </c>
      <c r="J777" t="s">
        <v>7848</v>
      </c>
      <c r="K777" t="s">
        <v>74</v>
      </c>
      <c r="L777" t="s">
        <v>74</v>
      </c>
      <c r="M777" t="s">
        <v>78</v>
      </c>
      <c r="N777" t="s">
        <v>338</v>
      </c>
      <c r="O777" t="s">
        <v>74</v>
      </c>
      <c r="P777" t="s">
        <v>74</v>
      </c>
      <c r="Q777" t="s">
        <v>74</v>
      </c>
      <c r="R777" t="s">
        <v>74</v>
      </c>
      <c r="S777" t="s">
        <v>74</v>
      </c>
      <c r="T777" t="s">
        <v>14666</v>
      </c>
      <c r="U777" t="s">
        <v>14667</v>
      </c>
      <c r="V777" t="s">
        <v>14668</v>
      </c>
      <c r="W777" t="s">
        <v>14669</v>
      </c>
      <c r="X777" t="s">
        <v>14670</v>
      </c>
      <c r="Y777" t="s">
        <v>14671</v>
      </c>
      <c r="Z777" t="s">
        <v>14672</v>
      </c>
      <c r="AA777" t="s">
        <v>14673</v>
      </c>
      <c r="AB777" t="s">
        <v>14674</v>
      </c>
      <c r="AC777" t="s">
        <v>14675</v>
      </c>
      <c r="AD777" t="s">
        <v>14675</v>
      </c>
      <c r="AE777" t="s">
        <v>14675</v>
      </c>
      <c r="AF777" t="s">
        <v>74</v>
      </c>
      <c r="AG777">
        <v>40</v>
      </c>
      <c r="AH777">
        <v>0</v>
      </c>
      <c r="AI777">
        <v>0</v>
      </c>
      <c r="AJ777">
        <v>1</v>
      </c>
      <c r="AK777">
        <v>1</v>
      </c>
      <c r="AL777" t="s">
        <v>87</v>
      </c>
      <c r="AM777" t="s">
        <v>88</v>
      </c>
      <c r="AN777" t="s">
        <v>89</v>
      </c>
      <c r="AO777" t="s">
        <v>7858</v>
      </c>
      <c r="AP777" t="s">
        <v>7859</v>
      </c>
      <c r="AQ777" t="s">
        <v>74</v>
      </c>
      <c r="AR777" t="s">
        <v>7860</v>
      </c>
      <c r="AS777" t="s">
        <v>7861</v>
      </c>
      <c r="AT777" t="s">
        <v>14556</v>
      </c>
      <c r="AU777">
        <v>2023</v>
      </c>
      <c r="AV777" t="s">
        <v>74</v>
      </c>
      <c r="AW777" t="s">
        <v>74</v>
      </c>
      <c r="AX777" t="s">
        <v>74</v>
      </c>
      <c r="AY777" t="s">
        <v>74</v>
      </c>
      <c r="AZ777" t="s">
        <v>74</v>
      </c>
      <c r="BA777" t="s">
        <v>74</v>
      </c>
      <c r="BB777" t="s">
        <v>74</v>
      </c>
      <c r="BC777" t="s">
        <v>74</v>
      </c>
      <c r="BD777" t="s">
        <v>74</v>
      </c>
      <c r="BE777" t="s">
        <v>14676</v>
      </c>
      <c r="BF777" t="str">
        <f>HYPERLINK("http://dx.doi.org/10.1111/inr.12868","http://dx.doi.org/10.1111/inr.12868")</f>
        <v>http://dx.doi.org/10.1111/inr.12868</v>
      </c>
      <c r="BG777" t="s">
        <v>74</v>
      </c>
      <c r="BH777" t="s">
        <v>7524</v>
      </c>
      <c r="BI777">
        <v>10</v>
      </c>
      <c r="BJ777" t="s">
        <v>5811</v>
      </c>
      <c r="BK777" t="s">
        <v>409</v>
      </c>
      <c r="BL777" t="s">
        <v>5811</v>
      </c>
      <c r="BM777" t="s">
        <v>14677</v>
      </c>
      <c r="BN777">
        <v>37534431</v>
      </c>
      <c r="BO777" t="s">
        <v>7504</v>
      </c>
      <c r="BP777" t="s">
        <v>74</v>
      </c>
      <c r="BQ777" t="s">
        <v>74</v>
      </c>
      <c r="BR777" t="s">
        <v>99</v>
      </c>
      <c r="BS777" t="s">
        <v>14678</v>
      </c>
      <c r="BT777" t="str">
        <f>HYPERLINK("https%3A%2F%2Fwww.webofscience.com%2Fwos%2Fwoscc%2Ffull-record%2FWOS:001041530100001","View Full Record in Web of Science")</f>
        <v>View Full Record in Web of Science</v>
      </c>
    </row>
    <row r="778" spans="1:72" x14ac:dyDescent="0.15">
      <c r="A778" t="s">
        <v>72</v>
      </c>
      <c r="B778" t="s">
        <v>14679</v>
      </c>
      <c r="C778" t="s">
        <v>74</v>
      </c>
      <c r="D778" t="s">
        <v>74</v>
      </c>
      <c r="E778" t="s">
        <v>74</v>
      </c>
      <c r="F778" t="s">
        <v>14680</v>
      </c>
      <c r="G778" t="s">
        <v>74</v>
      </c>
      <c r="H778" t="s">
        <v>74</v>
      </c>
      <c r="I778" t="s">
        <v>14681</v>
      </c>
      <c r="J778" t="s">
        <v>593</v>
      </c>
      <c r="K778" t="s">
        <v>74</v>
      </c>
      <c r="L778" t="s">
        <v>74</v>
      </c>
      <c r="M778" t="s">
        <v>78</v>
      </c>
      <c r="N778" t="s">
        <v>338</v>
      </c>
      <c r="O778" t="s">
        <v>74</v>
      </c>
      <c r="P778" t="s">
        <v>74</v>
      </c>
      <c r="Q778" t="s">
        <v>74</v>
      </c>
      <c r="R778" t="s">
        <v>74</v>
      </c>
      <c r="S778" t="s">
        <v>74</v>
      </c>
      <c r="T778" t="s">
        <v>14682</v>
      </c>
      <c r="U778" t="s">
        <v>14683</v>
      </c>
      <c r="V778" t="s">
        <v>14684</v>
      </c>
      <c r="W778" t="s">
        <v>14685</v>
      </c>
      <c r="X778" t="s">
        <v>14686</v>
      </c>
      <c r="Y778" t="s">
        <v>14687</v>
      </c>
      <c r="Z778" t="s">
        <v>14688</v>
      </c>
      <c r="AA778" t="s">
        <v>14689</v>
      </c>
      <c r="AB778" t="s">
        <v>14690</v>
      </c>
      <c r="AC778" t="s">
        <v>14691</v>
      </c>
      <c r="AD778" t="s">
        <v>14692</v>
      </c>
      <c r="AE778" t="s">
        <v>14693</v>
      </c>
      <c r="AF778" t="s">
        <v>74</v>
      </c>
      <c r="AG778">
        <v>55</v>
      </c>
      <c r="AH778">
        <v>0</v>
      </c>
      <c r="AI778">
        <v>0</v>
      </c>
      <c r="AJ778">
        <v>14</v>
      </c>
      <c r="AK778">
        <v>14</v>
      </c>
      <c r="AL778" t="s">
        <v>426</v>
      </c>
      <c r="AM778" t="s">
        <v>427</v>
      </c>
      <c r="AN778" t="s">
        <v>428</v>
      </c>
      <c r="AO778" t="s">
        <v>605</v>
      </c>
      <c r="AP778" t="s">
        <v>606</v>
      </c>
      <c r="AQ778" t="s">
        <v>74</v>
      </c>
      <c r="AR778" t="s">
        <v>593</v>
      </c>
      <c r="AS778" t="s">
        <v>607</v>
      </c>
      <c r="AT778" t="s">
        <v>14556</v>
      </c>
      <c r="AU778">
        <v>2023</v>
      </c>
      <c r="AV778" t="s">
        <v>74</v>
      </c>
      <c r="AW778" t="s">
        <v>74</v>
      </c>
      <c r="AX778" t="s">
        <v>74</v>
      </c>
      <c r="AY778" t="s">
        <v>74</v>
      </c>
      <c r="AZ778" t="s">
        <v>74</v>
      </c>
      <c r="BA778" t="s">
        <v>74</v>
      </c>
      <c r="BB778" t="s">
        <v>74</v>
      </c>
      <c r="BC778" t="s">
        <v>74</v>
      </c>
      <c r="BD778" t="s">
        <v>74</v>
      </c>
      <c r="BE778" t="s">
        <v>14694</v>
      </c>
      <c r="BF778" t="str">
        <f>HYPERLINK("http://dx.doi.org/10.1002/smll.202303568","http://dx.doi.org/10.1002/smll.202303568")</f>
        <v>http://dx.doi.org/10.1002/smll.202303568</v>
      </c>
      <c r="BG778" t="s">
        <v>74</v>
      </c>
      <c r="BH778" t="s">
        <v>7524</v>
      </c>
      <c r="BI778">
        <v>13</v>
      </c>
      <c r="BJ778" t="s">
        <v>609</v>
      </c>
      <c r="BK778" t="s">
        <v>119</v>
      </c>
      <c r="BL778" t="s">
        <v>610</v>
      </c>
      <c r="BM778" t="s">
        <v>14695</v>
      </c>
      <c r="BN778">
        <v>37537704</v>
      </c>
      <c r="BO778" t="s">
        <v>74</v>
      </c>
      <c r="BP778" t="s">
        <v>74</v>
      </c>
      <c r="BQ778" t="s">
        <v>74</v>
      </c>
      <c r="BR778" t="s">
        <v>99</v>
      </c>
      <c r="BS778" t="s">
        <v>14696</v>
      </c>
      <c r="BT778" t="str">
        <f>HYPERLINK("https%3A%2F%2Fwww.webofscience.com%2Fwos%2Fwoscc%2Ffull-record%2FWOS:001041962100001","View Full Record in Web of Science")</f>
        <v>View Full Record in Web of Science</v>
      </c>
    </row>
    <row r="779" spans="1:72" x14ac:dyDescent="0.15">
      <c r="A779" t="s">
        <v>72</v>
      </c>
      <c r="B779" t="s">
        <v>14697</v>
      </c>
      <c r="C779" t="s">
        <v>74</v>
      </c>
      <c r="D779" t="s">
        <v>74</v>
      </c>
      <c r="E779" t="s">
        <v>74</v>
      </c>
      <c r="F779" t="s">
        <v>14698</v>
      </c>
      <c r="G779" t="s">
        <v>74</v>
      </c>
      <c r="H779" t="s">
        <v>74</v>
      </c>
      <c r="I779" t="s">
        <v>14699</v>
      </c>
      <c r="J779" t="s">
        <v>14700</v>
      </c>
      <c r="K779" t="s">
        <v>74</v>
      </c>
      <c r="L779" t="s">
        <v>74</v>
      </c>
      <c r="M779" t="s">
        <v>78</v>
      </c>
      <c r="N779" t="s">
        <v>338</v>
      </c>
      <c r="O779" t="s">
        <v>74</v>
      </c>
      <c r="P779" t="s">
        <v>74</v>
      </c>
      <c r="Q779" t="s">
        <v>74</v>
      </c>
      <c r="R779" t="s">
        <v>74</v>
      </c>
      <c r="S779" t="s">
        <v>74</v>
      </c>
      <c r="T779" t="s">
        <v>14701</v>
      </c>
      <c r="U779" t="s">
        <v>14702</v>
      </c>
      <c r="V779" t="s">
        <v>14703</v>
      </c>
      <c r="W779" t="s">
        <v>14704</v>
      </c>
      <c r="X779" t="s">
        <v>14705</v>
      </c>
      <c r="Y779" t="s">
        <v>14706</v>
      </c>
      <c r="Z779" t="s">
        <v>14707</v>
      </c>
      <c r="AA779" t="s">
        <v>14708</v>
      </c>
      <c r="AB779" t="s">
        <v>14709</v>
      </c>
      <c r="AC779" t="s">
        <v>14710</v>
      </c>
      <c r="AD779" t="s">
        <v>14711</v>
      </c>
      <c r="AE779" t="s">
        <v>14712</v>
      </c>
      <c r="AF779" t="s">
        <v>74</v>
      </c>
      <c r="AG779">
        <v>41</v>
      </c>
      <c r="AH779">
        <v>0</v>
      </c>
      <c r="AI779">
        <v>0</v>
      </c>
      <c r="AJ779">
        <v>5</v>
      </c>
      <c r="AK779">
        <v>5</v>
      </c>
      <c r="AL779" t="s">
        <v>87</v>
      </c>
      <c r="AM779" t="s">
        <v>88</v>
      </c>
      <c r="AN779" t="s">
        <v>89</v>
      </c>
      <c r="AO779" t="s">
        <v>14713</v>
      </c>
      <c r="AP779" t="s">
        <v>14714</v>
      </c>
      <c r="AQ779" t="s">
        <v>74</v>
      </c>
      <c r="AR779" t="s">
        <v>14715</v>
      </c>
      <c r="AS779" t="s">
        <v>14716</v>
      </c>
      <c r="AT779" t="s">
        <v>14556</v>
      </c>
      <c r="AU779">
        <v>2023</v>
      </c>
      <c r="AV779" t="s">
        <v>74</v>
      </c>
      <c r="AW779" t="s">
        <v>74</v>
      </c>
      <c r="AX779" t="s">
        <v>74</v>
      </c>
      <c r="AY779" t="s">
        <v>74</v>
      </c>
      <c r="AZ779" t="s">
        <v>74</v>
      </c>
      <c r="BA779" t="s">
        <v>74</v>
      </c>
      <c r="BB779" t="s">
        <v>74</v>
      </c>
      <c r="BC779" t="s">
        <v>74</v>
      </c>
      <c r="BD779" t="s">
        <v>74</v>
      </c>
      <c r="BE779" t="s">
        <v>14717</v>
      </c>
      <c r="BF779" t="str">
        <f>HYPERLINK("http://dx.doi.org/10.1111/1755-0998.13851","http://dx.doi.org/10.1111/1755-0998.13851")</f>
        <v>http://dx.doi.org/10.1111/1755-0998.13851</v>
      </c>
      <c r="BG779" t="s">
        <v>74</v>
      </c>
      <c r="BH779" t="s">
        <v>7524</v>
      </c>
      <c r="BI779">
        <v>10</v>
      </c>
      <c r="BJ779" t="s">
        <v>914</v>
      </c>
      <c r="BK779" t="s">
        <v>119</v>
      </c>
      <c r="BL779" t="s">
        <v>915</v>
      </c>
      <c r="BM779" t="s">
        <v>14718</v>
      </c>
      <c r="BN779">
        <v>37535317</v>
      </c>
      <c r="BO779" t="s">
        <v>301</v>
      </c>
      <c r="BP779" t="s">
        <v>74</v>
      </c>
      <c r="BQ779" t="s">
        <v>74</v>
      </c>
      <c r="BR779" t="s">
        <v>99</v>
      </c>
      <c r="BS779" t="s">
        <v>14719</v>
      </c>
      <c r="BT779" t="str">
        <f>HYPERLINK("https%3A%2F%2Fwww.webofscience.com%2Fwos%2Fwoscc%2Ffull-record%2FWOS:001042110100001","View Full Record in Web of Science")</f>
        <v>View Full Record in Web of Science</v>
      </c>
    </row>
    <row r="780" spans="1:72" x14ac:dyDescent="0.15">
      <c r="A780" t="s">
        <v>72</v>
      </c>
      <c r="B780" t="s">
        <v>14720</v>
      </c>
      <c r="C780" t="s">
        <v>74</v>
      </c>
      <c r="D780" t="s">
        <v>74</v>
      </c>
      <c r="E780" t="s">
        <v>74</v>
      </c>
      <c r="F780" t="s">
        <v>14721</v>
      </c>
      <c r="G780" t="s">
        <v>74</v>
      </c>
      <c r="H780" t="s">
        <v>74</v>
      </c>
      <c r="I780" t="s">
        <v>14722</v>
      </c>
      <c r="J780" t="s">
        <v>14723</v>
      </c>
      <c r="K780" t="s">
        <v>74</v>
      </c>
      <c r="L780" t="s">
        <v>74</v>
      </c>
      <c r="M780" t="s">
        <v>78</v>
      </c>
      <c r="N780" t="s">
        <v>594</v>
      </c>
      <c r="O780" t="s">
        <v>74</v>
      </c>
      <c r="P780" t="s">
        <v>74</v>
      </c>
      <c r="Q780" t="s">
        <v>74</v>
      </c>
      <c r="R780" t="s">
        <v>74</v>
      </c>
      <c r="S780" t="s">
        <v>74</v>
      </c>
      <c r="T780" t="s">
        <v>14724</v>
      </c>
      <c r="U780" t="s">
        <v>14725</v>
      </c>
      <c r="V780" t="s">
        <v>14726</v>
      </c>
      <c r="W780" t="s">
        <v>14727</v>
      </c>
      <c r="X780" t="s">
        <v>14728</v>
      </c>
      <c r="Y780" t="s">
        <v>14729</v>
      </c>
      <c r="Z780" t="s">
        <v>14730</v>
      </c>
      <c r="AA780" t="s">
        <v>74</v>
      </c>
      <c r="AB780" t="s">
        <v>74</v>
      </c>
      <c r="AC780" t="s">
        <v>14731</v>
      </c>
      <c r="AD780" t="s">
        <v>14732</v>
      </c>
      <c r="AE780" t="s">
        <v>14733</v>
      </c>
      <c r="AF780" t="s">
        <v>74</v>
      </c>
      <c r="AG780">
        <v>150</v>
      </c>
      <c r="AH780">
        <v>0</v>
      </c>
      <c r="AI780">
        <v>0</v>
      </c>
      <c r="AJ780">
        <v>17</v>
      </c>
      <c r="AK780">
        <v>17</v>
      </c>
      <c r="AL780" t="s">
        <v>87</v>
      </c>
      <c r="AM780" t="s">
        <v>88</v>
      </c>
      <c r="AN780" t="s">
        <v>89</v>
      </c>
      <c r="AO780" t="s">
        <v>14734</v>
      </c>
      <c r="AP780" t="s">
        <v>14735</v>
      </c>
      <c r="AQ780" t="s">
        <v>74</v>
      </c>
      <c r="AR780" t="s">
        <v>14736</v>
      </c>
      <c r="AS780" t="s">
        <v>14737</v>
      </c>
      <c r="AT780" t="s">
        <v>14556</v>
      </c>
      <c r="AU780">
        <v>2023</v>
      </c>
      <c r="AV780" t="s">
        <v>74</v>
      </c>
      <c r="AW780" t="s">
        <v>74</v>
      </c>
      <c r="AX780" t="s">
        <v>74</v>
      </c>
      <c r="AY780" t="s">
        <v>74</v>
      </c>
      <c r="AZ780" t="s">
        <v>74</v>
      </c>
      <c r="BA780" t="s">
        <v>74</v>
      </c>
      <c r="BB780" t="s">
        <v>74</v>
      </c>
      <c r="BC780" t="s">
        <v>74</v>
      </c>
      <c r="BD780" t="s">
        <v>74</v>
      </c>
      <c r="BE780" t="s">
        <v>14738</v>
      </c>
      <c r="BF780" t="str">
        <f>HYPERLINK("http://dx.doi.org/10.1002/wcms.1683","http://dx.doi.org/10.1002/wcms.1683")</f>
        <v>http://dx.doi.org/10.1002/wcms.1683</v>
      </c>
      <c r="BG780" t="s">
        <v>74</v>
      </c>
      <c r="BH780" t="s">
        <v>7524</v>
      </c>
      <c r="BI780">
        <v>21</v>
      </c>
      <c r="BJ780" t="s">
        <v>14739</v>
      </c>
      <c r="BK780" t="s">
        <v>119</v>
      </c>
      <c r="BL780" t="s">
        <v>14740</v>
      </c>
      <c r="BM780" t="s">
        <v>14741</v>
      </c>
      <c r="BN780" t="s">
        <v>74</v>
      </c>
      <c r="BO780" t="s">
        <v>74</v>
      </c>
      <c r="BP780" t="s">
        <v>74</v>
      </c>
      <c r="BQ780" t="s">
        <v>74</v>
      </c>
      <c r="BR780" t="s">
        <v>99</v>
      </c>
      <c r="BS780" t="s">
        <v>14742</v>
      </c>
      <c r="BT780" t="str">
        <f>HYPERLINK("https%3A%2F%2Fwww.webofscience.com%2Fwos%2Fwoscc%2Ffull-record%2FWOS:001039940200001","View Full Record in Web of Science")</f>
        <v>View Full Record in Web of Science</v>
      </c>
    </row>
    <row r="781" spans="1:72" x14ac:dyDescent="0.15">
      <c r="A781" t="s">
        <v>72</v>
      </c>
      <c r="B781" t="s">
        <v>14743</v>
      </c>
      <c r="C781" t="s">
        <v>74</v>
      </c>
      <c r="D781" t="s">
        <v>74</v>
      </c>
      <c r="E781" t="s">
        <v>74</v>
      </c>
      <c r="F781" t="s">
        <v>14744</v>
      </c>
      <c r="G781" t="s">
        <v>74</v>
      </c>
      <c r="H781" t="s">
        <v>74</v>
      </c>
      <c r="I781" t="s">
        <v>14745</v>
      </c>
      <c r="J781" t="s">
        <v>14746</v>
      </c>
      <c r="K781" t="s">
        <v>74</v>
      </c>
      <c r="L781" t="s">
        <v>74</v>
      </c>
      <c r="M781" t="s">
        <v>78</v>
      </c>
      <c r="N781" t="s">
        <v>79</v>
      </c>
      <c r="O781" t="s">
        <v>74</v>
      </c>
      <c r="P781" t="s">
        <v>74</v>
      </c>
      <c r="Q781" t="s">
        <v>74</v>
      </c>
      <c r="R781" t="s">
        <v>74</v>
      </c>
      <c r="S781" t="s">
        <v>74</v>
      </c>
      <c r="T781" t="s">
        <v>14747</v>
      </c>
      <c r="U781" t="s">
        <v>14748</v>
      </c>
      <c r="V781" t="s">
        <v>14749</v>
      </c>
      <c r="W781" t="s">
        <v>14750</v>
      </c>
      <c r="X781" t="s">
        <v>14751</v>
      </c>
      <c r="Y781" t="s">
        <v>14752</v>
      </c>
      <c r="Z781" t="s">
        <v>14753</v>
      </c>
      <c r="AA781" t="s">
        <v>74</v>
      </c>
      <c r="AB781" t="s">
        <v>14754</v>
      </c>
      <c r="AC781" t="s">
        <v>14755</v>
      </c>
      <c r="AD781" t="s">
        <v>14756</v>
      </c>
      <c r="AE781" t="s">
        <v>14755</v>
      </c>
      <c r="AF781" t="s">
        <v>74</v>
      </c>
      <c r="AG781">
        <v>44</v>
      </c>
      <c r="AH781">
        <v>0</v>
      </c>
      <c r="AI781">
        <v>0</v>
      </c>
      <c r="AJ781">
        <v>0</v>
      </c>
      <c r="AK781">
        <v>0</v>
      </c>
      <c r="AL781" t="s">
        <v>87</v>
      </c>
      <c r="AM781" t="s">
        <v>88</v>
      </c>
      <c r="AN781" t="s">
        <v>89</v>
      </c>
      <c r="AO781" t="s">
        <v>14757</v>
      </c>
      <c r="AP781" t="s">
        <v>14758</v>
      </c>
      <c r="AQ781" t="s">
        <v>74</v>
      </c>
      <c r="AR781" t="s">
        <v>14759</v>
      </c>
      <c r="AS781" t="s">
        <v>14760</v>
      </c>
      <c r="AT781" t="s">
        <v>185</v>
      </c>
      <c r="AU781">
        <v>2023</v>
      </c>
      <c r="AV781">
        <v>35</v>
      </c>
      <c r="AW781">
        <v>10</v>
      </c>
      <c r="AX781" t="s">
        <v>74</v>
      </c>
      <c r="AY781" t="s">
        <v>74</v>
      </c>
      <c r="AZ781" t="s">
        <v>74</v>
      </c>
      <c r="BA781" t="s">
        <v>74</v>
      </c>
      <c r="BB781" t="s">
        <v>74</v>
      </c>
      <c r="BC781" t="s">
        <v>74</v>
      </c>
      <c r="BD781" t="s">
        <v>74</v>
      </c>
      <c r="BE781" t="s">
        <v>14761</v>
      </c>
      <c r="BF781" t="str">
        <f>HYPERLINK("http://dx.doi.org/10.1111/nmo.14652","http://dx.doi.org/10.1111/nmo.14652")</f>
        <v>http://dx.doi.org/10.1111/nmo.14652</v>
      </c>
      <c r="BG781" t="s">
        <v>74</v>
      </c>
      <c r="BH781" t="s">
        <v>7524</v>
      </c>
      <c r="BI781">
        <v>15</v>
      </c>
      <c r="BJ781" t="s">
        <v>14762</v>
      </c>
      <c r="BK781" t="s">
        <v>119</v>
      </c>
      <c r="BL781" t="s">
        <v>14763</v>
      </c>
      <c r="BM781" t="s">
        <v>14764</v>
      </c>
      <c r="BN781">
        <v>37533380</v>
      </c>
      <c r="BO781" t="s">
        <v>122</v>
      </c>
      <c r="BP781" t="s">
        <v>74</v>
      </c>
      <c r="BQ781" t="s">
        <v>74</v>
      </c>
      <c r="BR781" t="s">
        <v>99</v>
      </c>
      <c r="BS781" t="s">
        <v>14765</v>
      </c>
      <c r="BT781" t="str">
        <f>HYPERLINK("https%3A%2F%2Fwww.webofscience.com%2Fwos%2Fwoscc%2Ffull-record%2FWOS:001041475100001","View Full Record in Web of Science")</f>
        <v>View Full Record in Web of Science</v>
      </c>
    </row>
    <row r="782" spans="1:72" x14ac:dyDescent="0.15">
      <c r="A782" t="s">
        <v>72</v>
      </c>
      <c r="B782" t="s">
        <v>14766</v>
      </c>
      <c r="C782" t="s">
        <v>74</v>
      </c>
      <c r="D782" t="s">
        <v>74</v>
      </c>
      <c r="E782" t="s">
        <v>74</v>
      </c>
      <c r="F782" t="s">
        <v>14767</v>
      </c>
      <c r="G782" t="s">
        <v>74</v>
      </c>
      <c r="H782" t="s">
        <v>74</v>
      </c>
      <c r="I782" t="s">
        <v>14768</v>
      </c>
      <c r="J782" t="s">
        <v>5551</v>
      </c>
      <c r="K782" t="s">
        <v>74</v>
      </c>
      <c r="L782" t="s">
        <v>74</v>
      </c>
      <c r="M782" t="s">
        <v>78</v>
      </c>
      <c r="N782" t="s">
        <v>79</v>
      </c>
      <c r="O782" t="s">
        <v>74</v>
      </c>
      <c r="P782" t="s">
        <v>74</v>
      </c>
      <c r="Q782" t="s">
        <v>74</v>
      </c>
      <c r="R782" t="s">
        <v>74</v>
      </c>
      <c r="S782" t="s">
        <v>74</v>
      </c>
      <c r="T782" t="s">
        <v>14769</v>
      </c>
      <c r="U782" t="s">
        <v>14770</v>
      </c>
      <c r="V782" t="s">
        <v>14771</v>
      </c>
      <c r="W782" t="s">
        <v>14772</v>
      </c>
      <c r="X782" t="s">
        <v>14773</v>
      </c>
      <c r="Y782" t="s">
        <v>14774</v>
      </c>
      <c r="Z782" t="s">
        <v>14775</v>
      </c>
      <c r="AA782" t="s">
        <v>74</v>
      </c>
      <c r="AB782" t="s">
        <v>74</v>
      </c>
      <c r="AC782" t="s">
        <v>74</v>
      </c>
      <c r="AD782" t="s">
        <v>74</v>
      </c>
      <c r="AE782" t="s">
        <v>74</v>
      </c>
      <c r="AF782" t="s">
        <v>74</v>
      </c>
      <c r="AG782">
        <v>45</v>
      </c>
      <c r="AH782">
        <v>0</v>
      </c>
      <c r="AI782">
        <v>0</v>
      </c>
      <c r="AJ782">
        <v>0</v>
      </c>
      <c r="AK782">
        <v>0</v>
      </c>
      <c r="AL782" t="s">
        <v>87</v>
      </c>
      <c r="AM782" t="s">
        <v>88</v>
      </c>
      <c r="AN782" t="s">
        <v>89</v>
      </c>
      <c r="AO782" t="s">
        <v>5562</v>
      </c>
      <c r="AP782" t="s">
        <v>5563</v>
      </c>
      <c r="AQ782" t="s">
        <v>74</v>
      </c>
      <c r="AR782" t="s">
        <v>5564</v>
      </c>
      <c r="AS782" t="s">
        <v>5565</v>
      </c>
      <c r="AT782" t="s">
        <v>6725</v>
      </c>
      <c r="AU782">
        <v>2023</v>
      </c>
      <c r="AV782">
        <v>14</v>
      </c>
      <c r="AW782">
        <v>27</v>
      </c>
      <c r="AX782" t="s">
        <v>74</v>
      </c>
      <c r="AY782" t="s">
        <v>74</v>
      </c>
      <c r="AZ782" t="s">
        <v>74</v>
      </c>
      <c r="BA782" t="s">
        <v>74</v>
      </c>
      <c r="BB782">
        <v>2754</v>
      </c>
      <c r="BC782">
        <v>2760</v>
      </c>
      <c r="BD782" t="s">
        <v>74</v>
      </c>
      <c r="BE782" t="s">
        <v>14776</v>
      </c>
      <c r="BF782" t="str">
        <f>HYPERLINK("http://dx.doi.org/10.1111/1759-7714.15059","http://dx.doi.org/10.1111/1759-7714.15059")</f>
        <v>http://dx.doi.org/10.1111/1759-7714.15059</v>
      </c>
      <c r="BG782" t="s">
        <v>74</v>
      </c>
      <c r="BH782" t="s">
        <v>7524</v>
      </c>
      <c r="BI782">
        <v>7</v>
      </c>
      <c r="BJ782" t="s">
        <v>5567</v>
      </c>
      <c r="BK782" t="s">
        <v>119</v>
      </c>
      <c r="BL782" t="s">
        <v>5567</v>
      </c>
      <c r="BM782" t="s">
        <v>14777</v>
      </c>
      <c r="BN782">
        <v>37536667</v>
      </c>
      <c r="BO782" t="s">
        <v>234</v>
      </c>
      <c r="BP782" t="s">
        <v>74</v>
      </c>
      <c r="BQ782" t="s">
        <v>74</v>
      </c>
      <c r="BR782" t="s">
        <v>99</v>
      </c>
      <c r="BS782" t="s">
        <v>14778</v>
      </c>
      <c r="BT782" t="str">
        <f>HYPERLINK("https%3A%2F%2Fwww.webofscience.com%2Fwos%2Fwoscc%2Ffull-record%2FWOS:001042225700001","View Full Record in Web of Science")</f>
        <v>View Full Record in Web of Science</v>
      </c>
    </row>
    <row r="783" spans="1:72" x14ac:dyDescent="0.15">
      <c r="A783" t="s">
        <v>72</v>
      </c>
      <c r="B783" t="s">
        <v>14779</v>
      </c>
      <c r="C783" t="s">
        <v>74</v>
      </c>
      <c r="D783" t="s">
        <v>74</v>
      </c>
      <c r="E783" t="s">
        <v>74</v>
      </c>
      <c r="F783" t="s">
        <v>14780</v>
      </c>
      <c r="G783" t="s">
        <v>74</v>
      </c>
      <c r="H783" t="s">
        <v>74</v>
      </c>
      <c r="I783" t="s">
        <v>14781</v>
      </c>
      <c r="J783" t="s">
        <v>14782</v>
      </c>
      <c r="K783" t="s">
        <v>74</v>
      </c>
      <c r="L783" t="s">
        <v>74</v>
      </c>
      <c r="M783" t="s">
        <v>78</v>
      </c>
      <c r="N783" t="s">
        <v>338</v>
      </c>
      <c r="O783" t="s">
        <v>74</v>
      </c>
      <c r="P783" t="s">
        <v>74</v>
      </c>
      <c r="Q783" t="s">
        <v>74</v>
      </c>
      <c r="R783" t="s">
        <v>74</v>
      </c>
      <c r="S783" t="s">
        <v>74</v>
      </c>
      <c r="T783" t="s">
        <v>14783</v>
      </c>
      <c r="U783" t="s">
        <v>14784</v>
      </c>
      <c r="V783" t="s">
        <v>14785</v>
      </c>
      <c r="W783" t="s">
        <v>14786</v>
      </c>
      <c r="X783" t="s">
        <v>14787</v>
      </c>
      <c r="Y783" t="s">
        <v>14788</v>
      </c>
      <c r="Z783" t="s">
        <v>14789</v>
      </c>
      <c r="AA783" t="s">
        <v>74</v>
      </c>
      <c r="AB783" t="s">
        <v>74</v>
      </c>
      <c r="AC783" t="s">
        <v>74</v>
      </c>
      <c r="AD783" t="s">
        <v>74</v>
      </c>
      <c r="AE783" t="s">
        <v>74</v>
      </c>
      <c r="AF783" t="s">
        <v>74</v>
      </c>
      <c r="AG783">
        <v>31</v>
      </c>
      <c r="AH783">
        <v>0</v>
      </c>
      <c r="AI783">
        <v>0</v>
      </c>
      <c r="AJ783">
        <v>2</v>
      </c>
      <c r="AK783">
        <v>2</v>
      </c>
      <c r="AL783" t="s">
        <v>87</v>
      </c>
      <c r="AM783" t="s">
        <v>88</v>
      </c>
      <c r="AN783" t="s">
        <v>89</v>
      </c>
      <c r="AO783" t="s">
        <v>74</v>
      </c>
      <c r="AP783" t="s">
        <v>14790</v>
      </c>
      <c r="AQ783" t="s">
        <v>74</v>
      </c>
      <c r="AR783" t="s">
        <v>14791</v>
      </c>
      <c r="AS783" t="s">
        <v>14792</v>
      </c>
      <c r="AT783" t="s">
        <v>14556</v>
      </c>
      <c r="AU783">
        <v>2023</v>
      </c>
      <c r="AV783" t="s">
        <v>74</v>
      </c>
      <c r="AW783" t="s">
        <v>74</v>
      </c>
      <c r="AX783" t="s">
        <v>74</v>
      </c>
      <c r="AY783" t="s">
        <v>74</v>
      </c>
      <c r="AZ783" t="s">
        <v>74</v>
      </c>
      <c r="BA783" t="s">
        <v>74</v>
      </c>
      <c r="BB783" t="s">
        <v>74</v>
      </c>
      <c r="BC783" t="s">
        <v>74</v>
      </c>
      <c r="BD783" t="s">
        <v>74</v>
      </c>
      <c r="BE783" t="s">
        <v>14793</v>
      </c>
      <c r="BF783" t="str">
        <f>HYPERLINK("http://dx.doi.org/10.1002/ese3.1531","http://dx.doi.org/10.1002/ese3.1531")</f>
        <v>http://dx.doi.org/10.1002/ese3.1531</v>
      </c>
      <c r="BG783" t="s">
        <v>74</v>
      </c>
      <c r="BH783" t="s">
        <v>7524</v>
      </c>
      <c r="BI783">
        <v>13</v>
      </c>
      <c r="BJ783" t="s">
        <v>2022</v>
      </c>
      <c r="BK783" t="s">
        <v>119</v>
      </c>
      <c r="BL783" t="s">
        <v>2022</v>
      </c>
      <c r="BM783" t="s">
        <v>14794</v>
      </c>
      <c r="BN783" t="s">
        <v>74</v>
      </c>
      <c r="BO783" t="s">
        <v>234</v>
      </c>
      <c r="BP783" t="s">
        <v>74</v>
      </c>
      <c r="BQ783" t="s">
        <v>74</v>
      </c>
      <c r="BR783" t="s">
        <v>99</v>
      </c>
      <c r="BS783" t="s">
        <v>14795</v>
      </c>
      <c r="BT783" t="str">
        <f>HYPERLINK("https%3A%2F%2Fwww.webofscience.com%2Fwos%2Fwoscc%2Ffull-record%2FWOS:001041546700001","View Full Record in Web of Science")</f>
        <v>View Full Record in Web of Science</v>
      </c>
    </row>
    <row r="784" spans="1:72" x14ac:dyDescent="0.15">
      <c r="A784" t="s">
        <v>72</v>
      </c>
      <c r="B784" t="s">
        <v>14796</v>
      </c>
      <c r="C784" t="s">
        <v>74</v>
      </c>
      <c r="D784" t="s">
        <v>74</v>
      </c>
      <c r="E784" t="s">
        <v>74</v>
      </c>
      <c r="F784" t="s">
        <v>14797</v>
      </c>
      <c r="G784" t="s">
        <v>74</v>
      </c>
      <c r="H784" t="s">
        <v>74</v>
      </c>
      <c r="I784" t="s">
        <v>14798</v>
      </c>
      <c r="J784" t="s">
        <v>4074</v>
      </c>
      <c r="K784" t="s">
        <v>74</v>
      </c>
      <c r="L784" t="s">
        <v>74</v>
      </c>
      <c r="M784" t="s">
        <v>78</v>
      </c>
      <c r="N784" t="s">
        <v>1297</v>
      </c>
      <c r="O784" t="s">
        <v>74</v>
      </c>
      <c r="P784" t="s">
        <v>74</v>
      </c>
      <c r="Q784" t="s">
        <v>74</v>
      </c>
      <c r="R784" t="s">
        <v>74</v>
      </c>
      <c r="S784" t="s">
        <v>74</v>
      </c>
      <c r="T784" t="s">
        <v>14799</v>
      </c>
      <c r="U784" t="s">
        <v>74</v>
      </c>
      <c r="V784" t="s">
        <v>14800</v>
      </c>
      <c r="W784" t="s">
        <v>14801</v>
      </c>
      <c r="X784" t="s">
        <v>14802</v>
      </c>
      <c r="Y784" t="s">
        <v>14803</v>
      </c>
      <c r="Z784" t="s">
        <v>14804</v>
      </c>
      <c r="AA784" t="s">
        <v>74</v>
      </c>
      <c r="AB784" t="s">
        <v>74</v>
      </c>
      <c r="AC784" t="s">
        <v>74</v>
      </c>
      <c r="AD784" t="s">
        <v>74</v>
      </c>
      <c r="AE784" t="s">
        <v>74</v>
      </c>
      <c r="AF784" t="s">
        <v>74</v>
      </c>
      <c r="AG784">
        <v>2</v>
      </c>
      <c r="AH784">
        <v>0</v>
      </c>
      <c r="AI784">
        <v>0</v>
      </c>
      <c r="AJ784">
        <v>1</v>
      </c>
      <c r="AK784">
        <v>1</v>
      </c>
      <c r="AL784" t="s">
        <v>87</v>
      </c>
      <c r="AM784" t="s">
        <v>88</v>
      </c>
      <c r="AN784" t="s">
        <v>89</v>
      </c>
      <c r="AO784" t="s">
        <v>4083</v>
      </c>
      <c r="AP784" t="s">
        <v>4084</v>
      </c>
      <c r="AQ784" t="s">
        <v>74</v>
      </c>
      <c r="AR784" t="s">
        <v>4074</v>
      </c>
      <c r="AS784" t="s">
        <v>4074</v>
      </c>
      <c r="AT784" t="s">
        <v>14556</v>
      </c>
      <c r="AU784">
        <v>2023</v>
      </c>
      <c r="AV784" t="s">
        <v>74</v>
      </c>
      <c r="AW784" t="s">
        <v>74</v>
      </c>
      <c r="AX784" t="s">
        <v>74</v>
      </c>
      <c r="AY784" t="s">
        <v>74</v>
      </c>
      <c r="AZ784" t="s">
        <v>74</v>
      </c>
      <c r="BA784" t="s">
        <v>74</v>
      </c>
      <c r="BB784" t="s">
        <v>74</v>
      </c>
      <c r="BC784" t="s">
        <v>74</v>
      </c>
      <c r="BD784" t="s">
        <v>74</v>
      </c>
      <c r="BE784" t="s">
        <v>14805</v>
      </c>
      <c r="BF784" t="str">
        <f>HYPERLINK("http://dx.doi.org/10.1111/tan.15172","http://dx.doi.org/10.1111/tan.15172")</f>
        <v>http://dx.doi.org/10.1111/tan.15172</v>
      </c>
      <c r="BG784" t="s">
        <v>74</v>
      </c>
      <c r="BH784" t="s">
        <v>7524</v>
      </c>
      <c r="BI784">
        <v>2</v>
      </c>
      <c r="BJ784" t="s">
        <v>4086</v>
      </c>
      <c r="BK784" t="s">
        <v>119</v>
      </c>
      <c r="BL784" t="s">
        <v>4086</v>
      </c>
      <c r="BM784" t="s">
        <v>14806</v>
      </c>
      <c r="BN784">
        <v>37537849</v>
      </c>
      <c r="BO784" t="s">
        <v>74</v>
      </c>
      <c r="BP784" t="s">
        <v>74</v>
      </c>
      <c r="BQ784" t="s">
        <v>74</v>
      </c>
      <c r="BR784" t="s">
        <v>99</v>
      </c>
      <c r="BS784" t="s">
        <v>14807</v>
      </c>
      <c r="BT784" t="str">
        <f>HYPERLINK("https%3A%2F%2Fwww.webofscience.com%2Fwos%2Fwoscc%2Ffull-record%2FWOS:001040082800001","View Full Record in Web of Science")</f>
        <v>View Full Record in Web of Science</v>
      </c>
    </row>
    <row r="785" spans="1:72" x14ac:dyDescent="0.15">
      <c r="A785" t="s">
        <v>72</v>
      </c>
      <c r="B785" t="s">
        <v>14808</v>
      </c>
      <c r="C785" t="s">
        <v>74</v>
      </c>
      <c r="D785" t="s">
        <v>74</v>
      </c>
      <c r="E785" t="s">
        <v>74</v>
      </c>
      <c r="F785" t="s">
        <v>14809</v>
      </c>
      <c r="G785" t="s">
        <v>74</v>
      </c>
      <c r="H785" t="s">
        <v>74</v>
      </c>
      <c r="I785" t="s">
        <v>14810</v>
      </c>
      <c r="J785" t="s">
        <v>2295</v>
      </c>
      <c r="K785" t="s">
        <v>74</v>
      </c>
      <c r="L785" t="s">
        <v>74</v>
      </c>
      <c r="M785" t="s">
        <v>78</v>
      </c>
      <c r="N785" t="s">
        <v>338</v>
      </c>
      <c r="O785" t="s">
        <v>74</v>
      </c>
      <c r="P785" t="s">
        <v>74</v>
      </c>
      <c r="Q785" t="s">
        <v>74</v>
      </c>
      <c r="R785" t="s">
        <v>74</v>
      </c>
      <c r="S785" t="s">
        <v>74</v>
      </c>
      <c r="T785" t="s">
        <v>14811</v>
      </c>
      <c r="U785" t="s">
        <v>14812</v>
      </c>
      <c r="V785" t="s">
        <v>14813</v>
      </c>
      <c r="W785" t="s">
        <v>14814</v>
      </c>
      <c r="X785" t="s">
        <v>14815</v>
      </c>
      <c r="Y785" t="s">
        <v>14816</v>
      </c>
      <c r="Z785" t="s">
        <v>14817</v>
      </c>
      <c r="AA785" t="s">
        <v>74</v>
      </c>
      <c r="AB785" t="s">
        <v>74</v>
      </c>
      <c r="AC785" t="s">
        <v>14818</v>
      </c>
      <c r="AD785" t="s">
        <v>14819</v>
      </c>
      <c r="AE785" t="s">
        <v>14820</v>
      </c>
      <c r="AF785" t="s">
        <v>74</v>
      </c>
      <c r="AG785">
        <v>48</v>
      </c>
      <c r="AH785">
        <v>0</v>
      </c>
      <c r="AI785">
        <v>0</v>
      </c>
      <c r="AJ785">
        <v>0</v>
      </c>
      <c r="AK785">
        <v>0</v>
      </c>
      <c r="AL785" t="s">
        <v>87</v>
      </c>
      <c r="AM785" t="s">
        <v>88</v>
      </c>
      <c r="AN785" t="s">
        <v>89</v>
      </c>
      <c r="AO785" t="s">
        <v>2307</v>
      </c>
      <c r="AP785" t="s">
        <v>2308</v>
      </c>
      <c r="AQ785" t="s">
        <v>74</v>
      </c>
      <c r="AR785" t="s">
        <v>2309</v>
      </c>
      <c r="AS785" t="s">
        <v>2310</v>
      </c>
      <c r="AT785" t="s">
        <v>14556</v>
      </c>
      <c r="AU785">
        <v>2023</v>
      </c>
      <c r="AV785" t="s">
        <v>74</v>
      </c>
      <c r="AW785" t="s">
        <v>74</v>
      </c>
      <c r="AX785" t="s">
        <v>74</v>
      </c>
      <c r="AY785" t="s">
        <v>74</v>
      </c>
      <c r="AZ785" t="s">
        <v>74</v>
      </c>
      <c r="BA785" t="s">
        <v>74</v>
      </c>
      <c r="BB785" t="s">
        <v>74</v>
      </c>
      <c r="BC785" t="s">
        <v>74</v>
      </c>
      <c r="BD785" t="s">
        <v>14821</v>
      </c>
      <c r="BE785" t="s">
        <v>14822</v>
      </c>
      <c r="BF785" t="str">
        <f>HYPERLINK("http://dx.doi.org/10.1002/dmrr.3710","http://dx.doi.org/10.1002/dmrr.3710")</f>
        <v>http://dx.doi.org/10.1002/dmrr.3710</v>
      </c>
      <c r="BG785" t="s">
        <v>74</v>
      </c>
      <c r="BH785" t="s">
        <v>7524</v>
      </c>
      <c r="BI785">
        <v>11</v>
      </c>
      <c r="BJ785" t="s">
        <v>2313</v>
      </c>
      <c r="BK785" t="s">
        <v>119</v>
      </c>
      <c r="BL785" t="s">
        <v>2313</v>
      </c>
      <c r="BM785" t="s">
        <v>14823</v>
      </c>
      <c r="BN785">
        <v>37537868</v>
      </c>
      <c r="BO785" t="s">
        <v>74</v>
      </c>
      <c r="BP785" t="s">
        <v>74</v>
      </c>
      <c r="BQ785" t="s">
        <v>74</v>
      </c>
      <c r="BR785" t="s">
        <v>99</v>
      </c>
      <c r="BS785" t="s">
        <v>14824</v>
      </c>
      <c r="BT785" t="str">
        <f>HYPERLINK("https%3A%2F%2Fwww.webofscience.com%2Fwos%2Fwoscc%2Ffull-record%2FWOS:001040864300001","View Full Record in Web of Science")</f>
        <v>View Full Record in Web of Science</v>
      </c>
    </row>
    <row r="786" spans="1:72" x14ac:dyDescent="0.15">
      <c r="A786" t="s">
        <v>72</v>
      </c>
      <c r="B786" t="s">
        <v>14825</v>
      </c>
      <c r="C786" t="s">
        <v>74</v>
      </c>
      <c r="D786" t="s">
        <v>74</v>
      </c>
      <c r="E786" t="s">
        <v>74</v>
      </c>
      <c r="F786" t="s">
        <v>14826</v>
      </c>
      <c r="G786" t="s">
        <v>74</v>
      </c>
      <c r="H786" t="s">
        <v>74</v>
      </c>
      <c r="I786" t="s">
        <v>14827</v>
      </c>
      <c r="J786" t="s">
        <v>14828</v>
      </c>
      <c r="K786" t="s">
        <v>74</v>
      </c>
      <c r="L786" t="s">
        <v>74</v>
      </c>
      <c r="M786" t="s">
        <v>78</v>
      </c>
      <c r="N786" t="s">
        <v>338</v>
      </c>
      <c r="O786" t="s">
        <v>74</v>
      </c>
      <c r="P786" t="s">
        <v>74</v>
      </c>
      <c r="Q786" t="s">
        <v>74</v>
      </c>
      <c r="R786" t="s">
        <v>74</v>
      </c>
      <c r="S786" t="s">
        <v>74</v>
      </c>
      <c r="T786" t="s">
        <v>14829</v>
      </c>
      <c r="U786" t="s">
        <v>14830</v>
      </c>
      <c r="V786" t="s">
        <v>14831</v>
      </c>
      <c r="W786" t="s">
        <v>14832</v>
      </c>
      <c r="X786" t="s">
        <v>14833</v>
      </c>
      <c r="Y786" t="s">
        <v>14834</v>
      </c>
      <c r="Z786" t="s">
        <v>14835</v>
      </c>
      <c r="AA786" t="s">
        <v>74</v>
      </c>
      <c r="AB786" t="s">
        <v>74</v>
      </c>
      <c r="AC786" t="s">
        <v>14836</v>
      </c>
      <c r="AD786" t="s">
        <v>14837</v>
      </c>
      <c r="AE786" t="s">
        <v>14838</v>
      </c>
      <c r="AF786" t="s">
        <v>74</v>
      </c>
      <c r="AG786">
        <v>90</v>
      </c>
      <c r="AH786">
        <v>0</v>
      </c>
      <c r="AI786">
        <v>0</v>
      </c>
      <c r="AJ786">
        <v>0</v>
      </c>
      <c r="AK786">
        <v>0</v>
      </c>
      <c r="AL786" t="s">
        <v>87</v>
      </c>
      <c r="AM786" t="s">
        <v>88</v>
      </c>
      <c r="AN786" t="s">
        <v>89</v>
      </c>
      <c r="AO786" t="s">
        <v>14839</v>
      </c>
      <c r="AP786" t="s">
        <v>14840</v>
      </c>
      <c r="AQ786" t="s">
        <v>74</v>
      </c>
      <c r="AR786" t="s">
        <v>14841</v>
      </c>
      <c r="AS786" t="s">
        <v>14842</v>
      </c>
      <c r="AT786" t="s">
        <v>14556</v>
      </c>
      <c r="AU786">
        <v>2023</v>
      </c>
      <c r="AV786" t="s">
        <v>74</v>
      </c>
      <c r="AW786" t="s">
        <v>74</v>
      </c>
      <c r="AX786" t="s">
        <v>74</v>
      </c>
      <c r="AY786" t="s">
        <v>74</v>
      </c>
      <c r="AZ786" t="s">
        <v>74</v>
      </c>
      <c r="BA786" t="s">
        <v>74</v>
      </c>
      <c r="BB786" t="s">
        <v>74</v>
      </c>
      <c r="BC786" t="s">
        <v>74</v>
      </c>
      <c r="BD786" t="s">
        <v>74</v>
      </c>
      <c r="BE786" t="s">
        <v>14843</v>
      </c>
      <c r="BF786" t="str">
        <f>HYPERLINK("http://dx.doi.org/10.1111/brv.13006","http://dx.doi.org/10.1111/brv.13006")</f>
        <v>http://dx.doi.org/10.1111/brv.13006</v>
      </c>
      <c r="BG786" t="s">
        <v>74</v>
      </c>
      <c r="BH786" t="s">
        <v>7524</v>
      </c>
      <c r="BI786">
        <v>13</v>
      </c>
      <c r="BJ786" t="s">
        <v>14844</v>
      </c>
      <c r="BK786" t="s">
        <v>119</v>
      </c>
      <c r="BL786" t="s">
        <v>14845</v>
      </c>
      <c r="BM786" t="s">
        <v>14846</v>
      </c>
      <c r="BN786">
        <v>37534608</v>
      </c>
      <c r="BO786" t="s">
        <v>301</v>
      </c>
      <c r="BP786" t="s">
        <v>74</v>
      </c>
      <c r="BQ786" t="s">
        <v>74</v>
      </c>
      <c r="BR786" t="s">
        <v>99</v>
      </c>
      <c r="BS786" t="s">
        <v>14847</v>
      </c>
      <c r="BT786" t="str">
        <f>HYPERLINK("https%3A%2F%2Fwww.webofscience.com%2Fwos%2Fwoscc%2Ffull-record%2FWOS:001041651500001","View Full Record in Web of Science")</f>
        <v>View Full Record in Web of Science</v>
      </c>
    </row>
    <row r="787" spans="1:72" x14ac:dyDescent="0.15">
      <c r="A787" t="s">
        <v>72</v>
      </c>
      <c r="B787" t="s">
        <v>14848</v>
      </c>
      <c r="C787" t="s">
        <v>74</v>
      </c>
      <c r="D787" t="s">
        <v>74</v>
      </c>
      <c r="E787" t="s">
        <v>74</v>
      </c>
      <c r="F787" t="s">
        <v>14849</v>
      </c>
      <c r="G787" t="s">
        <v>74</v>
      </c>
      <c r="H787" t="s">
        <v>74</v>
      </c>
      <c r="I787" t="s">
        <v>14850</v>
      </c>
      <c r="J787" t="s">
        <v>14851</v>
      </c>
      <c r="K787" t="s">
        <v>74</v>
      </c>
      <c r="L787" t="s">
        <v>74</v>
      </c>
      <c r="M787" t="s">
        <v>78</v>
      </c>
      <c r="N787" t="s">
        <v>79</v>
      </c>
      <c r="O787" t="s">
        <v>74</v>
      </c>
      <c r="P787" t="s">
        <v>74</v>
      </c>
      <c r="Q787" t="s">
        <v>74</v>
      </c>
      <c r="R787" t="s">
        <v>74</v>
      </c>
      <c r="S787" t="s">
        <v>74</v>
      </c>
      <c r="T787" t="s">
        <v>14852</v>
      </c>
      <c r="U787" t="s">
        <v>74</v>
      </c>
      <c r="V787" t="s">
        <v>14853</v>
      </c>
      <c r="W787" t="s">
        <v>14854</v>
      </c>
      <c r="X787" t="s">
        <v>14855</v>
      </c>
      <c r="Y787" t="s">
        <v>14856</v>
      </c>
      <c r="Z787" t="s">
        <v>14857</v>
      </c>
      <c r="AA787" t="s">
        <v>74</v>
      </c>
      <c r="AB787" t="s">
        <v>74</v>
      </c>
      <c r="AC787" t="s">
        <v>74</v>
      </c>
      <c r="AD787" t="s">
        <v>74</v>
      </c>
      <c r="AE787" t="s">
        <v>74</v>
      </c>
      <c r="AF787" t="s">
        <v>74</v>
      </c>
      <c r="AG787">
        <v>11</v>
      </c>
      <c r="AH787">
        <v>0</v>
      </c>
      <c r="AI787">
        <v>0</v>
      </c>
      <c r="AJ787">
        <v>1</v>
      </c>
      <c r="AK787">
        <v>1</v>
      </c>
      <c r="AL787" t="s">
        <v>87</v>
      </c>
      <c r="AM787" t="s">
        <v>88</v>
      </c>
      <c r="AN787" t="s">
        <v>89</v>
      </c>
      <c r="AO787" t="s">
        <v>14858</v>
      </c>
      <c r="AP787" t="s">
        <v>14859</v>
      </c>
      <c r="AQ787" t="s">
        <v>74</v>
      </c>
      <c r="AR787" t="s">
        <v>14860</v>
      </c>
      <c r="AS787" t="s">
        <v>14861</v>
      </c>
      <c r="AT787" t="s">
        <v>115</v>
      </c>
      <c r="AU787">
        <v>2023</v>
      </c>
      <c r="AV787">
        <v>65</v>
      </c>
      <c r="AW787">
        <v>12</v>
      </c>
      <c r="AX787" t="s">
        <v>74</v>
      </c>
      <c r="AY787" t="s">
        <v>74</v>
      </c>
      <c r="AZ787" t="s">
        <v>74</v>
      </c>
      <c r="BA787" t="s">
        <v>74</v>
      </c>
      <c r="BB787">
        <v>3296</v>
      </c>
      <c r="BC787">
        <v>3302</v>
      </c>
      <c r="BD787" t="s">
        <v>74</v>
      </c>
      <c r="BE787" t="s">
        <v>14862</v>
      </c>
      <c r="BF787" t="str">
        <f>HYPERLINK("http://dx.doi.org/10.1002/mop.33856","http://dx.doi.org/10.1002/mop.33856")</f>
        <v>http://dx.doi.org/10.1002/mop.33856</v>
      </c>
      <c r="BG787" t="s">
        <v>74</v>
      </c>
      <c r="BH787" t="s">
        <v>7524</v>
      </c>
      <c r="BI787">
        <v>7</v>
      </c>
      <c r="BJ787" t="s">
        <v>14863</v>
      </c>
      <c r="BK787" t="s">
        <v>119</v>
      </c>
      <c r="BL787" t="s">
        <v>14864</v>
      </c>
      <c r="BM787" t="s">
        <v>14865</v>
      </c>
      <c r="BN787" t="s">
        <v>74</v>
      </c>
      <c r="BO787" t="s">
        <v>301</v>
      </c>
      <c r="BP787" t="s">
        <v>74</v>
      </c>
      <c r="BQ787" t="s">
        <v>74</v>
      </c>
      <c r="BR787" t="s">
        <v>99</v>
      </c>
      <c r="BS787" t="s">
        <v>14866</v>
      </c>
      <c r="BT787" t="str">
        <f>HYPERLINK("https%3A%2F%2Fwww.webofscience.com%2Fwos%2Fwoscc%2Ffull-record%2FWOS:001041114000001","View Full Record in Web of Science")</f>
        <v>View Full Record in Web of Science</v>
      </c>
    </row>
    <row r="788" spans="1:72" x14ac:dyDescent="0.15">
      <c r="A788" t="s">
        <v>72</v>
      </c>
      <c r="B788" t="s">
        <v>14867</v>
      </c>
      <c r="C788" t="s">
        <v>74</v>
      </c>
      <c r="D788" t="s">
        <v>74</v>
      </c>
      <c r="E788" t="s">
        <v>74</v>
      </c>
      <c r="F788" t="s">
        <v>14868</v>
      </c>
      <c r="G788" t="s">
        <v>74</v>
      </c>
      <c r="H788" t="s">
        <v>74</v>
      </c>
      <c r="I788" t="s">
        <v>14869</v>
      </c>
      <c r="J788" t="s">
        <v>14870</v>
      </c>
      <c r="K788" t="s">
        <v>74</v>
      </c>
      <c r="L788" t="s">
        <v>74</v>
      </c>
      <c r="M788" t="s">
        <v>78</v>
      </c>
      <c r="N788" t="s">
        <v>594</v>
      </c>
      <c r="O788" t="s">
        <v>74</v>
      </c>
      <c r="P788" t="s">
        <v>74</v>
      </c>
      <c r="Q788" t="s">
        <v>74</v>
      </c>
      <c r="R788" t="s">
        <v>74</v>
      </c>
      <c r="S788" t="s">
        <v>74</v>
      </c>
      <c r="T788" t="s">
        <v>14871</v>
      </c>
      <c r="U788" t="s">
        <v>14872</v>
      </c>
      <c r="V788" t="s">
        <v>14873</v>
      </c>
      <c r="W788" t="s">
        <v>14874</v>
      </c>
      <c r="X788" t="s">
        <v>14875</v>
      </c>
      <c r="Y788" t="s">
        <v>14876</v>
      </c>
      <c r="Z788" t="s">
        <v>14877</v>
      </c>
      <c r="AA788" t="s">
        <v>14878</v>
      </c>
      <c r="AB788" t="s">
        <v>14879</v>
      </c>
      <c r="AC788" t="s">
        <v>74</v>
      </c>
      <c r="AD788" t="s">
        <v>74</v>
      </c>
      <c r="AE788" t="s">
        <v>74</v>
      </c>
      <c r="AF788" t="s">
        <v>74</v>
      </c>
      <c r="AG788">
        <v>156</v>
      </c>
      <c r="AH788">
        <v>0</v>
      </c>
      <c r="AI788">
        <v>0</v>
      </c>
      <c r="AJ788">
        <v>107</v>
      </c>
      <c r="AK788">
        <v>107</v>
      </c>
      <c r="AL788" t="s">
        <v>87</v>
      </c>
      <c r="AM788" t="s">
        <v>88</v>
      </c>
      <c r="AN788" t="s">
        <v>89</v>
      </c>
      <c r="AO788" t="s">
        <v>14880</v>
      </c>
      <c r="AP788" t="s">
        <v>14881</v>
      </c>
      <c r="AQ788" t="s">
        <v>74</v>
      </c>
      <c r="AR788" t="s">
        <v>14882</v>
      </c>
      <c r="AS788" t="s">
        <v>14883</v>
      </c>
      <c r="AT788" t="s">
        <v>14884</v>
      </c>
      <c r="AU788">
        <v>2023</v>
      </c>
      <c r="AV788" t="s">
        <v>74</v>
      </c>
      <c r="AW788" t="s">
        <v>74</v>
      </c>
      <c r="AX788" t="s">
        <v>74</v>
      </c>
      <c r="AY788" t="s">
        <v>74</v>
      </c>
      <c r="AZ788" t="s">
        <v>74</v>
      </c>
      <c r="BA788" t="s">
        <v>74</v>
      </c>
      <c r="BB788" t="s">
        <v>74</v>
      </c>
      <c r="BC788" t="s">
        <v>74</v>
      </c>
      <c r="BD788" t="s">
        <v>74</v>
      </c>
      <c r="BE788" t="s">
        <v>14885</v>
      </c>
      <c r="BF788" t="str">
        <f>HYPERLINK("http://dx.doi.org/10.1002/job.2735","http://dx.doi.org/10.1002/job.2735")</f>
        <v>http://dx.doi.org/10.1002/job.2735</v>
      </c>
      <c r="BG788" t="s">
        <v>74</v>
      </c>
      <c r="BH788" t="s">
        <v>7524</v>
      </c>
      <c r="BI788">
        <v>24</v>
      </c>
      <c r="BJ788" t="s">
        <v>14886</v>
      </c>
      <c r="BK788" t="s">
        <v>546</v>
      </c>
      <c r="BL788" t="s">
        <v>2721</v>
      </c>
      <c r="BM788" t="s">
        <v>14887</v>
      </c>
      <c r="BN788" t="s">
        <v>74</v>
      </c>
      <c r="BO788" t="s">
        <v>122</v>
      </c>
      <c r="BP788" t="s">
        <v>74</v>
      </c>
      <c r="BQ788" t="s">
        <v>74</v>
      </c>
      <c r="BR788" t="s">
        <v>99</v>
      </c>
      <c r="BS788" t="s">
        <v>14888</v>
      </c>
      <c r="BT788" t="str">
        <f>HYPERLINK("https%3A%2F%2Fwww.webofscience.com%2Fwos%2Fwoscc%2Ffull-record%2FWOS:001040915900001","View Full Record in Web of Science")</f>
        <v>View Full Record in Web of Science</v>
      </c>
    </row>
    <row r="789" spans="1:72" x14ac:dyDescent="0.15">
      <c r="A789" t="s">
        <v>72</v>
      </c>
      <c r="B789" t="s">
        <v>14889</v>
      </c>
      <c r="C789" t="s">
        <v>74</v>
      </c>
      <c r="D789" t="s">
        <v>74</v>
      </c>
      <c r="E789" t="s">
        <v>74</v>
      </c>
      <c r="F789" t="s">
        <v>14890</v>
      </c>
      <c r="G789" t="s">
        <v>74</v>
      </c>
      <c r="H789" t="s">
        <v>74</v>
      </c>
      <c r="I789" t="s">
        <v>14891</v>
      </c>
      <c r="J789" t="s">
        <v>1275</v>
      </c>
      <c r="K789" t="s">
        <v>74</v>
      </c>
      <c r="L789" t="s">
        <v>74</v>
      </c>
      <c r="M789" t="s">
        <v>78</v>
      </c>
      <c r="N789" t="s">
        <v>338</v>
      </c>
      <c r="O789" t="s">
        <v>74</v>
      </c>
      <c r="P789" t="s">
        <v>74</v>
      </c>
      <c r="Q789" t="s">
        <v>74</v>
      </c>
      <c r="R789" t="s">
        <v>74</v>
      </c>
      <c r="S789" t="s">
        <v>74</v>
      </c>
      <c r="T789" t="s">
        <v>14892</v>
      </c>
      <c r="U789" t="s">
        <v>74</v>
      </c>
      <c r="V789" t="s">
        <v>14893</v>
      </c>
      <c r="W789" t="s">
        <v>14894</v>
      </c>
      <c r="X789" t="s">
        <v>14895</v>
      </c>
      <c r="Y789" t="s">
        <v>14896</v>
      </c>
      <c r="Z789" t="s">
        <v>14897</v>
      </c>
      <c r="AA789" t="s">
        <v>74</v>
      </c>
      <c r="AB789" t="s">
        <v>14898</v>
      </c>
      <c r="AC789" t="s">
        <v>74</v>
      </c>
      <c r="AD789" t="s">
        <v>74</v>
      </c>
      <c r="AE789" t="s">
        <v>74</v>
      </c>
      <c r="AF789" t="s">
        <v>74</v>
      </c>
      <c r="AG789">
        <v>23</v>
      </c>
      <c r="AH789">
        <v>0</v>
      </c>
      <c r="AI789">
        <v>0</v>
      </c>
      <c r="AJ789">
        <v>0</v>
      </c>
      <c r="AK789">
        <v>0</v>
      </c>
      <c r="AL789" t="s">
        <v>87</v>
      </c>
      <c r="AM789" t="s">
        <v>88</v>
      </c>
      <c r="AN789" t="s">
        <v>89</v>
      </c>
      <c r="AO789" t="s">
        <v>1285</v>
      </c>
      <c r="AP789" t="s">
        <v>1286</v>
      </c>
      <c r="AQ789" t="s">
        <v>74</v>
      </c>
      <c r="AR789" t="s">
        <v>1287</v>
      </c>
      <c r="AS789" t="s">
        <v>1288</v>
      </c>
      <c r="AT789" t="s">
        <v>14884</v>
      </c>
      <c r="AU789">
        <v>2023</v>
      </c>
      <c r="AV789" t="s">
        <v>74</v>
      </c>
      <c r="AW789" t="s">
        <v>74</v>
      </c>
      <c r="AX789" t="s">
        <v>74</v>
      </c>
      <c r="AY789" t="s">
        <v>74</v>
      </c>
      <c r="AZ789" t="s">
        <v>74</v>
      </c>
      <c r="BA789" t="s">
        <v>74</v>
      </c>
      <c r="BB789" t="s">
        <v>74</v>
      </c>
      <c r="BC789" t="s">
        <v>74</v>
      </c>
      <c r="BD789" t="s">
        <v>74</v>
      </c>
      <c r="BE789" t="s">
        <v>14899</v>
      </c>
      <c r="BF789" t="str">
        <f>HYPERLINK("http://dx.doi.org/10.1002/mp.16664","http://dx.doi.org/10.1002/mp.16664")</f>
        <v>http://dx.doi.org/10.1002/mp.16664</v>
      </c>
      <c r="BG789" t="s">
        <v>74</v>
      </c>
      <c r="BH789" t="s">
        <v>7524</v>
      </c>
      <c r="BI789">
        <v>11</v>
      </c>
      <c r="BJ789" t="s">
        <v>1290</v>
      </c>
      <c r="BK789" t="s">
        <v>119</v>
      </c>
      <c r="BL789" t="s">
        <v>1290</v>
      </c>
      <c r="BM789" t="s">
        <v>14900</v>
      </c>
      <c r="BN789">
        <v>37531199</v>
      </c>
      <c r="BO789" t="s">
        <v>122</v>
      </c>
      <c r="BP789" t="s">
        <v>74</v>
      </c>
      <c r="BQ789" t="s">
        <v>74</v>
      </c>
      <c r="BR789" t="s">
        <v>99</v>
      </c>
      <c r="BS789" t="s">
        <v>14901</v>
      </c>
      <c r="BT789" t="str">
        <f>HYPERLINK("https%3A%2F%2Fwww.webofscience.com%2Fwos%2Fwoscc%2Ffull-record%2FWOS:001039195500001","View Full Record in Web of Science")</f>
        <v>View Full Record in Web of Science</v>
      </c>
    </row>
    <row r="790" spans="1:72" x14ac:dyDescent="0.15">
      <c r="A790" t="s">
        <v>72</v>
      </c>
      <c r="B790" t="s">
        <v>14902</v>
      </c>
      <c r="C790" t="s">
        <v>74</v>
      </c>
      <c r="D790" t="s">
        <v>74</v>
      </c>
      <c r="E790" t="s">
        <v>74</v>
      </c>
      <c r="F790" t="s">
        <v>14903</v>
      </c>
      <c r="G790" t="s">
        <v>74</v>
      </c>
      <c r="H790" t="s">
        <v>74</v>
      </c>
      <c r="I790" t="s">
        <v>14904</v>
      </c>
      <c r="J790" t="s">
        <v>14905</v>
      </c>
      <c r="K790" t="s">
        <v>74</v>
      </c>
      <c r="L790" t="s">
        <v>74</v>
      </c>
      <c r="M790" t="s">
        <v>78</v>
      </c>
      <c r="N790" t="s">
        <v>338</v>
      </c>
      <c r="O790" t="s">
        <v>74</v>
      </c>
      <c r="P790" t="s">
        <v>74</v>
      </c>
      <c r="Q790" t="s">
        <v>74</v>
      </c>
      <c r="R790" t="s">
        <v>74</v>
      </c>
      <c r="S790" t="s">
        <v>74</v>
      </c>
      <c r="T790" t="s">
        <v>14906</v>
      </c>
      <c r="U790" t="s">
        <v>14907</v>
      </c>
      <c r="V790" t="s">
        <v>14908</v>
      </c>
      <c r="W790" t="s">
        <v>14909</v>
      </c>
      <c r="X790" t="s">
        <v>14910</v>
      </c>
      <c r="Y790" t="s">
        <v>14911</v>
      </c>
      <c r="Z790" t="s">
        <v>14912</v>
      </c>
      <c r="AA790" t="s">
        <v>14913</v>
      </c>
      <c r="AB790" t="s">
        <v>14914</v>
      </c>
      <c r="AC790" t="s">
        <v>74</v>
      </c>
      <c r="AD790" t="s">
        <v>74</v>
      </c>
      <c r="AE790" t="s">
        <v>74</v>
      </c>
      <c r="AF790" t="s">
        <v>74</v>
      </c>
      <c r="AG790">
        <v>63</v>
      </c>
      <c r="AH790">
        <v>0</v>
      </c>
      <c r="AI790">
        <v>0</v>
      </c>
      <c r="AJ790">
        <v>1</v>
      </c>
      <c r="AK790">
        <v>1</v>
      </c>
      <c r="AL790" t="s">
        <v>87</v>
      </c>
      <c r="AM790" t="s">
        <v>88</v>
      </c>
      <c r="AN790" t="s">
        <v>89</v>
      </c>
      <c r="AO790" t="s">
        <v>14915</v>
      </c>
      <c r="AP790" t="s">
        <v>14916</v>
      </c>
      <c r="AQ790" t="s">
        <v>74</v>
      </c>
      <c r="AR790" t="s">
        <v>14917</v>
      </c>
      <c r="AS790" t="s">
        <v>14918</v>
      </c>
      <c r="AT790" t="s">
        <v>14884</v>
      </c>
      <c r="AU790">
        <v>2023</v>
      </c>
      <c r="AV790" t="s">
        <v>74</v>
      </c>
      <c r="AW790" t="s">
        <v>74</v>
      </c>
      <c r="AX790" t="s">
        <v>74</v>
      </c>
      <c r="AY790" t="s">
        <v>74</v>
      </c>
      <c r="AZ790" t="s">
        <v>74</v>
      </c>
      <c r="BA790" t="s">
        <v>74</v>
      </c>
      <c r="BB790" t="s">
        <v>74</v>
      </c>
      <c r="BC790" t="s">
        <v>74</v>
      </c>
      <c r="BD790" t="s">
        <v>74</v>
      </c>
      <c r="BE790" t="s">
        <v>14919</v>
      </c>
      <c r="BF790" t="str">
        <f>HYPERLINK("http://dx.doi.org/10.1111/apce.12452","http://dx.doi.org/10.1111/apce.12452")</f>
        <v>http://dx.doi.org/10.1111/apce.12452</v>
      </c>
      <c r="BG790" t="s">
        <v>74</v>
      </c>
      <c r="BH790" t="s">
        <v>7524</v>
      </c>
      <c r="BI790">
        <v>21</v>
      </c>
      <c r="BJ790" t="s">
        <v>4132</v>
      </c>
      <c r="BK790" t="s">
        <v>546</v>
      </c>
      <c r="BL790" t="s">
        <v>547</v>
      </c>
      <c r="BM790" t="s">
        <v>14920</v>
      </c>
      <c r="BN790" t="s">
        <v>74</v>
      </c>
      <c r="BO790" t="s">
        <v>122</v>
      </c>
      <c r="BP790" t="s">
        <v>74</v>
      </c>
      <c r="BQ790" t="s">
        <v>74</v>
      </c>
      <c r="BR790" t="s">
        <v>99</v>
      </c>
      <c r="BS790" t="s">
        <v>14921</v>
      </c>
      <c r="BT790" t="str">
        <f>HYPERLINK("https%3A%2F%2Fwww.webofscience.com%2Fwos%2Fwoscc%2Ffull-record%2FWOS:001041400000001","View Full Record in Web of Science")</f>
        <v>View Full Record in Web of Science</v>
      </c>
    </row>
    <row r="791" spans="1:72" x14ac:dyDescent="0.15">
      <c r="A791" t="s">
        <v>72</v>
      </c>
      <c r="B791" t="s">
        <v>14922</v>
      </c>
      <c r="C791" t="s">
        <v>74</v>
      </c>
      <c r="D791" t="s">
        <v>74</v>
      </c>
      <c r="E791" t="s">
        <v>74</v>
      </c>
      <c r="F791" t="s">
        <v>14923</v>
      </c>
      <c r="G791" t="s">
        <v>74</v>
      </c>
      <c r="H791" t="s">
        <v>74</v>
      </c>
      <c r="I791" t="s">
        <v>14924</v>
      </c>
      <c r="J791" t="s">
        <v>14925</v>
      </c>
      <c r="K791" t="s">
        <v>74</v>
      </c>
      <c r="L791" t="s">
        <v>74</v>
      </c>
      <c r="M791" t="s">
        <v>78</v>
      </c>
      <c r="N791" t="s">
        <v>338</v>
      </c>
      <c r="O791" t="s">
        <v>74</v>
      </c>
      <c r="P791" t="s">
        <v>74</v>
      </c>
      <c r="Q791" t="s">
        <v>74</v>
      </c>
      <c r="R791" t="s">
        <v>74</v>
      </c>
      <c r="S791" t="s">
        <v>74</v>
      </c>
      <c r="T791" t="s">
        <v>14926</v>
      </c>
      <c r="U791" t="s">
        <v>14927</v>
      </c>
      <c r="V791" t="s">
        <v>14928</v>
      </c>
      <c r="W791" t="s">
        <v>14929</v>
      </c>
      <c r="X791" t="s">
        <v>14930</v>
      </c>
      <c r="Y791" t="s">
        <v>14931</v>
      </c>
      <c r="Z791" t="s">
        <v>14932</v>
      </c>
      <c r="AA791" t="s">
        <v>74</v>
      </c>
      <c r="AB791" t="s">
        <v>74</v>
      </c>
      <c r="AC791" t="s">
        <v>74</v>
      </c>
      <c r="AD791" t="s">
        <v>74</v>
      </c>
      <c r="AE791" t="s">
        <v>74</v>
      </c>
      <c r="AF791" t="s">
        <v>74</v>
      </c>
      <c r="AG791">
        <v>79</v>
      </c>
      <c r="AH791">
        <v>1</v>
      </c>
      <c r="AI791">
        <v>1</v>
      </c>
      <c r="AJ791">
        <v>1</v>
      </c>
      <c r="AK791">
        <v>1</v>
      </c>
      <c r="AL791" t="s">
        <v>87</v>
      </c>
      <c r="AM791" t="s">
        <v>88</v>
      </c>
      <c r="AN791" t="s">
        <v>89</v>
      </c>
      <c r="AO791" t="s">
        <v>14933</v>
      </c>
      <c r="AP791" t="s">
        <v>14934</v>
      </c>
      <c r="AQ791" t="s">
        <v>74</v>
      </c>
      <c r="AR791" t="s">
        <v>14935</v>
      </c>
      <c r="AS791" t="s">
        <v>14936</v>
      </c>
      <c r="AT791" t="s">
        <v>14884</v>
      </c>
      <c r="AU791">
        <v>2023</v>
      </c>
      <c r="AV791" t="s">
        <v>74</v>
      </c>
      <c r="AW791" t="s">
        <v>74</v>
      </c>
      <c r="AX791" t="s">
        <v>74</v>
      </c>
      <c r="AY791" t="s">
        <v>74</v>
      </c>
      <c r="AZ791" t="s">
        <v>74</v>
      </c>
      <c r="BA791" t="s">
        <v>74</v>
      </c>
      <c r="BB791" t="s">
        <v>74</v>
      </c>
      <c r="BC791" t="s">
        <v>74</v>
      </c>
      <c r="BD791" t="s">
        <v>74</v>
      </c>
      <c r="BE791" t="s">
        <v>14937</v>
      </c>
      <c r="BF791" t="str">
        <f>HYPERLINK("http://dx.doi.org/10.1111/tops.12686","http://dx.doi.org/10.1111/tops.12686")</f>
        <v>http://dx.doi.org/10.1111/tops.12686</v>
      </c>
      <c r="BG791" t="s">
        <v>74</v>
      </c>
      <c r="BH791" t="s">
        <v>7524</v>
      </c>
      <c r="BI791">
        <v>14</v>
      </c>
      <c r="BJ791" t="s">
        <v>11985</v>
      </c>
      <c r="BK791" t="s">
        <v>546</v>
      </c>
      <c r="BL791" t="s">
        <v>1210</v>
      </c>
      <c r="BM791" t="s">
        <v>14938</v>
      </c>
      <c r="BN791">
        <v>37531569</v>
      </c>
      <c r="BO791" t="s">
        <v>74</v>
      </c>
      <c r="BP791" t="s">
        <v>74</v>
      </c>
      <c r="BQ791" t="s">
        <v>74</v>
      </c>
      <c r="BR791" t="s">
        <v>99</v>
      </c>
      <c r="BS791" t="s">
        <v>14939</v>
      </c>
      <c r="BT791" t="str">
        <f>HYPERLINK("https%3A%2F%2Fwww.webofscience.com%2Fwos%2Fwoscc%2Ffull-record%2FWOS:001041237700001","View Full Record in Web of Science")</f>
        <v>View Full Record in Web of Science</v>
      </c>
    </row>
    <row r="792" spans="1:72" x14ac:dyDescent="0.15">
      <c r="A792" t="s">
        <v>72</v>
      </c>
      <c r="B792" t="s">
        <v>14940</v>
      </c>
      <c r="C792" t="s">
        <v>74</v>
      </c>
      <c r="D792" t="s">
        <v>74</v>
      </c>
      <c r="E792" t="s">
        <v>74</v>
      </c>
      <c r="F792" t="s">
        <v>14941</v>
      </c>
      <c r="G792" t="s">
        <v>74</v>
      </c>
      <c r="H792" t="s">
        <v>74</v>
      </c>
      <c r="I792" t="s">
        <v>14942</v>
      </c>
      <c r="J792" t="s">
        <v>14943</v>
      </c>
      <c r="K792" t="s">
        <v>74</v>
      </c>
      <c r="L792" t="s">
        <v>74</v>
      </c>
      <c r="M792" t="s">
        <v>78</v>
      </c>
      <c r="N792" t="s">
        <v>338</v>
      </c>
      <c r="O792" t="s">
        <v>74</v>
      </c>
      <c r="P792" t="s">
        <v>74</v>
      </c>
      <c r="Q792" t="s">
        <v>74</v>
      </c>
      <c r="R792" t="s">
        <v>74</v>
      </c>
      <c r="S792" t="s">
        <v>74</v>
      </c>
      <c r="T792" t="s">
        <v>74</v>
      </c>
      <c r="U792" t="s">
        <v>14944</v>
      </c>
      <c r="V792" t="s">
        <v>14945</v>
      </c>
      <c r="W792" t="s">
        <v>14946</v>
      </c>
      <c r="X792" t="s">
        <v>14947</v>
      </c>
      <c r="Y792" t="s">
        <v>14948</v>
      </c>
      <c r="Z792" t="s">
        <v>14949</v>
      </c>
      <c r="AA792" t="s">
        <v>74</v>
      </c>
      <c r="AB792" t="s">
        <v>14950</v>
      </c>
      <c r="AC792" t="s">
        <v>74</v>
      </c>
      <c r="AD792" t="s">
        <v>74</v>
      </c>
      <c r="AE792" t="s">
        <v>74</v>
      </c>
      <c r="AF792" t="s">
        <v>74</v>
      </c>
      <c r="AG792">
        <v>37</v>
      </c>
      <c r="AH792">
        <v>0</v>
      </c>
      <c r="AI792">
        <v>0</v>
      </c>
      <c r="AJ792">
        <v>0</v>
      </c>
      <c r="AK792">
        <v>0</v>
      </c>
      <c r="AL792" t="s">
        <v>87</v>
      </c>
      <c r="AM792" t="s">
        <v>88</v>
      </c>
      <c r="AN792" t="s">
        <v>89</v>
      </c>
      <c r="AO792" t="s">
        <v>14951</v>
      </c>
      <c r="AP792" t="s">
        <v>14952</v>
      </c>
      <c r="AQ792" t="s">
        <v>74</v>
      </c>
      <c r="AR792" t="s">
        <v>14953</v>
      </c>
      <c r="AS792" t="s">
        <v>14954</v>
      </c>
      <c r="AT792" t="s">
        <v>14884</v>
      </c>
      <c r="AU792">
        <v>2023</v>
      </c>
      <c r="AV792" t="s">
        <v>74</v>
      </c>
      <c r="AW792" t="s">
        <v>74</v>
      </c>
      <c r="AX792" t="s">
        <v>74</v>
      </c>
      <c r="AY792" t="s">
        <v>74</v>
      </c>
      <c r="AZ792" t="s">
        <v>74</v>
      </c>
      <c r="BA792" t="s">
        <v>74</v>
      </c>
      <c r="BB792" t="s">
        <v>74</v>
      </c>
      <c r="BC792" t="s">
        <v>74</v>
      </c>
      <c r="BD792" t="s">
        <v>74</v>
      </c>
      <c r="BE792" t="s">
        <v>14955</v>
      </c>
      <c r="BF792" t="str">
        <f>HYPERLINK("http://dx.doi.org/10.1111/irel.12344","http://dx.doi.org/10.1111/irel.12344")</f>
        <v>http://dx.doi.org/10.1111/irel.12344</v>
      </c>
      <c r="BG792" t="s">
        <v>74</v>
      </c>
      <c r="BH792" t="s">
        <v>7524</v>
      </c>
      <c r="BI792">
        <v>20</v>
      </c>
      <c r="BJ792" t="s">
        <v>6686</v>
      </c>
      <c r="BK792" t="s">
        <v>546</v>
      </c>
      <c r="BL792" t="s">
        <v>547</v>
      </c>
      <c r="BM792" t="s">
        <v>14956</v>
      </c>
      <c r="BN792" t="s">
        <v>74</v>
      </c>
      <c r="BO792" t="s">
        <v>122</v>
      </c>
      <c r="BP792" t="s">
        <v>74</v>
      </c>
      <c r="BQ792" t="s">
        <v>74</v>
      </c>
      <c r="BR792" t="s">
        <v>99</v>
      </c>
      <c r="BS792" t="s">
        <v>14957</v>
      </c>
      <c r="BT792" t="str">
        <f>HYPERLINK("https%3A%2F%2Fwww.webofscience.com%2Fwos%2Fwoscc%2Ffull-record%2FWOS:001041463700001","View Full Record in Web of Science")</f>
        <v>View Full Record in Web of Science</v>
      </c>
    </row>
    <row r="793" spans="1:72" x14ac:dyDescent="0.15">
      <c r="A793" t="s">
        <v>72</v>
      </c>
      <c r="B793" t="s">
        <v>14958</v>
      </c>
      <c r="C793" t="s">
        <v>74</v>
      </c>
      <c r="D793" t="s">
        <v>74</v>
      </c>
      <c r="E793" t="s">
        <v>74</v>
      </c>
      <c r="F793" t="s">
        <v>14959</v>
      </c>
      <c r="G793" t="s">
        <v>74</v>
      </c>
      <c r="H793" t="s">
        <v>74</v>
      </c>
      <c r="I793" t="s">
        <v>14960</v>
      </c>
      <c r="J793" t="s">
        <v>1296</v>
      </c>
      <c r="K793" t="s">
        <v>74</v>
      </c>
      <c r="L793" t="s">
        <v>74</v>
      </c>
      <c r="M793" t="s">
        <v>78</v>
      </c>
      <c r="N793" t="s">
        <v>338</v>
      </c>
      <c r="O793" t="s">
        <v>74</v>
      </c>
      <c r="P793" t="s">
        <v>74</v>
      </c>
      <c r="Q793" t="s">
        <v>74</v>
      </c>
      <c r="R793" t="s">
        <v>74</v>
      </c>
      <c r="S793" t="s">
        <v>74</v>
      </c>
      <c r="T793" t="s">
        <v>14961</v>
      </c>
      <c r="U793" t="s">
        <v>14962</v>
      </c>
      <c r="V793" t="s">
        <v>14963</v>
      </c>
      <c r="W793" t="s">
        <v>14964</v>
      </c>
      <c r="X793" t="s">
        <v>14965</v>
      </c>
      <c r="Y793" t="s">
        <v>14966</v>
      </c>
      <c r="Z793" t="s">
        <v>14967</v>
      </c>
      <c r="AA793" t="s">
        <v>14968</v>
      </c>
      <c r="AB793" t="s">
        <v>14969</v>
      </c>
      <c r="AC793" t="s">
        <v>14970</v>
      </c>
      <c r="AD793" t="s">
        <v>14971</v>
      </c>
      <c r="AE793" t="s">
        <v>14972</v>
      </c>
      <c r="AF793" t="s">
        <v>74</v>
      </c>
      <c r="AG793">
        <v>48</v>
      </c>
      <c r="AH793">
        <v>0</v>
      </c>
      <c r="AI793">
        <v>0</v>
      </c>
      <c r="AJ793">
        <v>2</v>
      </c>
      <c r="AK793">
        <v>2</v>
      </c>
      <c r="AL793" t="s">
        <v>87</v>
      </c>
      <c r="AM793" t="s">
        <v>88</v>
      </c>
      <c r="AN793" t="s">
        <v>89</v>
      </c>
      <c r="AO793" t="s">
        <v>1305</v>
      </c>
      <c r="AP793" t="s">
        <v>1306</v>
      </c>
      <c r="AQ793" t="s">
        <v>74</v>
      </c>
      <c r="AR793" t="s">
        <v>1296</v>
      </c>
      <c r="AS793" t="s">
        <v>1307</v>
      </c>
      <c r="AT793" t="s">
        <v>14884</v>
      </c>
      <c r="AU793">
        <v>2023</v>
      </c>
      <c r="AV793" t="s">
        <v>74</v>
      </c>
      <c r="AW793" t="s">
        <v>74</v>
      </c>
      <c r="AX793" t="s">
        <v>74</v>
      </c>
      <c r="AY793" t="s">
        <v>74</v>
      </c>
      <c r="AZ793" t="s">
        <v>74</v>
      </c>
      <c r="BA793" t="s">
        <v>74</v>
      </c>
      <c r="BB793" t="s">
        <v>74</v>
      </c>
      <c r="BC793" t="s">
        <v>74</v>
      </c>
      <c r="BD793" t="s">
        <v>74</v>
      </c>
      <c r="BE793" t="s">
        <v>14973</v>
      </c>
      <c r="BF793" t="str">
        <f>HYPERLINK("http://dx.doi.org/10.1111/psyg.13013","http://dx.doi.org/10.1111/psyg.13013")</f>
        <v>http://dx.doi.org/10.1111/psyg.13013</v>
      </c>
      <c r="BG793" t="s">
        <v>74</v>
      </c>
      <c r="BH793" t="s">
        <v>7524</v>
      </c>
      <c r="BI793">
        <v>12</v>
      </c>
      <c r="BJ793" t="s">
        <v>1309</v>
      </c>
      <c r="BK793" t="s">
        <v>119</v>
      </c>
      <c r="BL793" t="s">
        <v>1309</v>
      </c>
      <c r="BM793" t="s">
        <v>14974</v>
      </c>
      <c r="BN793">
        <v>37533229</v>
      </c>
      <c r="BO793" t="s">
        <v>122</v>
      </c>
      <c r="BP793" t="s">
        <v>74</v>
      </c>
      <c r="BQ793" t="s">
        <v>74</v>
      </c>
      <c r="BR793" t="s">
        <v>99</v>
      </c>
      <c r="BS793" t="s">
        <v>14975</v>
      </c>
      <c r="BT793" t="str">
        <f>HYPERLINK("https%3A%2F%2Fwww.webofscience.com%2Fwos%2Fwoscc%2Ffull-record%2FWOS:001041378200001","View Full Record in Web of Science")</f>
        <v>View Full Record in Web of Science</v>
      </c>
    </row>
    <row r="794" spans="1:72" x14ac:dyDescent="0.15">
      <c r="A794" t="s">
        <v>72</v>
      </c>
      <c r="B794" t="s">
        <v>14976</v>
      </c>
      <c r="C794" t="s">
        <v>74</v>
      </c>
      <c r="D794" t="s">
        <v>74</v>
      </c>
      <c r="E794" t="s">
        <v>74</v>
      </c>
      <c r="F794" t="s">
        <v>14977</v>
      </c>
      <c r="G794" t="s">
        <v>74</v>
      </c>
      <c r="H794" t="s">
        <v>74</v>
      </c>
      <c r="I794" t="s">
        <v>14978</v>
      </c>
      <c r="J794" t="s">
        <v>14979</v>
      </c>
      <c r="K794" t="s">
        <v>74</v>
      </c>
      <c r="L794" t="s">
        <v>74</v>
      </c>
      <c r="M794" t="s">
        <v>78</v>
      </c>
      <c r="N794" t="s">
        <v>338</v>
      </c>
      <c r="O794" t="s">
        <v>74</v>
      </c>
      <c r="P794" t="s">
        <v>74</v>
      </c>
      <c r="Q794" t="s">
        <v>74</v>
      </c>
      <c r="R794" t="s">
        <v>74</v>
      </c>
      <c r="S794" t="s">
        <v>74</v>
      </c>
      <c r="T794" t="s">
        <v>14980</v>
      </c>
      <c r="U794" t="s">
        <v>14981</v>
      </c>
      <c r="V794" t="s">
        <v>14982</v>
      </c>
      <c r="W794" t="s">
        <v>14983</v>
      </c>
      <c r="X794" t="s">
        <v>14984</v>
      </c>
      <c r="Y794" t="s">
        <v>14985</v>
      </c>
      <c r="Z794" t="s">
        <v>14986</v>
      </c>
      <c r="AA794" t="s">
        <v>74</v>
      </c>
      <c r="AB794" t="s">
        <v>74</v>
      </c>
      <c r="AC794" t="s">
        <v>14987</v>
      </c>
      <c r="AD794" t="s">
        <v>14988</v>
      </c>
      <c r="AE794" t="s">
        <v>14989</v>
      </c>
      <c r="AF794" t="s">
        <v>74</v>
      </c>
      <c r="AG794">
        <v>39</v>
      </c>
      <c r="AH794">
        <v>0</v>
      </c>
      <c r="AI794">
        <v>0</v>
      </c>
      <c r="AJ794">
        <v>3</v>
      </c>
      <c r="AK794">
        <v>3</v>
      </c>
      <c r="AL794" t="s">
        <v>87</v>
      </c>
      <c r="AM794" t="s">
        <v>88</v>
      </c>
      <c r="AN794" t="s">
        <v>89</v>
      </c>
      <c r="AO794" t="s">
        <v>14990</v>
      </c>
      <c r="AP794" t="s">
        <v>14991</v>
      </c>
      <c r="AQ794" t="s">
        <v>74</v>
      </c>
      <c r="AR794" t="s">
        <v>14992</v>
      </c>
      <c r="AS794" t="s">
        <v>14993</v>
      </c>
      <c r="AT794" t="s">
        <v>14884</v>
      </c>
      <c r="AU794">
        <v>2023</v>
      </c>
      <c r="AV794" t="s">
        <v>74</v>
      </c>
      <c r="AW794" t="s">
        <v>74</v>
      </c>
      <c r="AX794" t="s">
        <v>74</v>
      </c>
      <c r="AY794" t="s">
        <v>74</v>
      </c>
      <c r="AZ794" t="s">
        <v>74</v>
      </c>
      <c r="BA794" t="s">
        <v>74</v>
      </c>
      <c r="BB794" t="s">
        <v>74</v>
      </c>
      <c r="BC794" t="s">
        <v>74</v>
      </c>
      <c r="BD794" t="s">
        <v>74</v>
      </c>
      <c r="BE794" t="s">
        <v>14994</v>
      </c>
      <c r="BF794" t="str">
        <f>HYPERLINK("http://dx.doi.org/10.1002/cpp.2886","http://dx.doi.org/10.1002/cpp.2886")</f>
        <v>http://dx.doi.org/10.1002/cpp.2886</v>
      </c>
      <c r="BG794" t="s">
        <v>74</v>
      </c>
      <c r="BH794" t="s">
        <v>7524</v>
      </c>
      <c r="BI794">
        <v>7</v>
      </c>
      <c r="BJ794" t="s">
        <v>6035</v>
      </c>
      <c r="BK794" t="s">
        <v>546</v>
      </c>
      <c r="BL794" t="s">
        <v>1210</v>
      </c>
      <c r="BM794" t="s">
        <v>14995</v>
      </c>
      <c r="BN794">
        <v>37533164</v>
      </c>
      <c r="BO794" t="s">
        <v>74</v>
      </c>
      <c r="BP794" t="s">
        <v>74</v>
      </c>
      <c r="BQ794" t="s">
        <v>74</v>
      </c>
      <c r="BR794" t="s">
        <v>99</v>
      </c>
      <c r="BS794" t="s">
        <v>14996</v>
      </c>
      <c r="BT794" t="str">
        <f>HYPERLINK("https%3A%2F%2Fwww.webofscience.com%2Fwos%2Fwoscc%2Ffull-record%2FWOS:001041356000001","View Full Record in Web of Science")</f>
        <v>View Full Record in Web of Science</v>
      </c>
    </row>
    <row r="795" spans="1:72" x14ac:dyDescent="0.15">
      <c r="A795" t="s">
        <v>72</v>
      </c>
      <c r="B795" t="s">
        <v>14997</v>
      </c>
      <c r="C795" t="s">
        <v>74</v>
      </c>
      <c r="D795" t="s">
        <v>74</v>
      </c>
      <c r="E795" t="s">
        <v>74</v>
      </c>
      <c r="F795" t="s">
        <v>14998</v>
      </c>
      <c r="G795" t="s">
        <v>74</v>
      </c>
      <c r="H795" t="s">
        <v>74</v>
      </c>
      <c r="I795" t="s">
        <v>14999</v>
      </c>
      <c r="J795" t="s">
        <v>3959</v>
      </c>
      <c r="K795" t="s">
        <v>74</v>
      </c>
      <c r="L795" t="s">
        <v>74</v>
      </c>
      <c r="M795" t="s">
        <v>78</v>
      </c>
      <c r="N795" t="s">
        <v>338</v>
      </c>
      <c r="O795" t="s">
        <v>74</v>
      </c>
      <c r="P795" t="s">
        <v>74</v>
      </c>
      <c r="Q795" t="s">
        <v>74</v>
      </c>
      <c r="R795" t="s">
        <v>74</v>
      </c>
      <c r="S795" t="s">
        <v>74</v>
      </c>
      <c r="T795" t="s">
        <v>15000</v>
      </c>
      <c r="U795" t="s">
        <v>15001</v>
      </c>
      <c r="V795" t="s">
        <v>15002</v>
      </c>
      <c r="W795" t="s">
        <v>15003</v>
      </c>
      <c r="X795" t="s">
        <v>15004</v>
      </c>
      <c r="Y795" t="s">
        <v>15005</v>
      </c>
      <c r="Z795" t="s">
        <v>15006</v>
      </c>
      <c r="AA795" t="s">
        <v>15007</v>
      </c>
      <c r="AB795" t="s">
        <v>74</v>
      </c>
      <c r="AC795" t="s">
        <v>15008</v>
      </c>
      <c r="AD795" t="s">
        <v>3742</v>
      </c>
      <c r="AE795" t="s">
        <v>15009</v>
      </c>
      <c r="AF795" t="s">
        <v>74</v>
      </c>
      <c r="AG795">
        <v>61</v>
      </c>
      <c r="AH795">
        <v>0</v>
      </c>
      <c r="AI795">
        <v>0</v>
      </c>
      <c r="AJ795">
        <v>4</v>
      </c>
      <c r="AK795">
        <v>4</v>
      </c>
      <c r="AL795" t="s">
        <v>87</v>
      </c>
      <c r="AM795" t="s">
        <v>88</v>
      </c>
      <c r="AN795" t="s">
        <v>89</v>
      </c>
      <c r="AO795" t="s">
        <v>3972</v>
      </c>
      <c r="AP795" t="s">
        <v>3973</v>
      </c>
      <c r="AQ795" t="s">
        <v>74</v>
      </c>
      <c r="AR795" t="s">
        <v>3974</v>
      </c>
      <c r="AS795" t="s">
        <v>3975</v>
      </c>
      <c r="AT795" t="s">
        <v>14884</v>
      </c>
      <c r="AU795">
        <v>2023</v>
      </c>
      <c r="AV795" t="s">
        <v>74</v>
      </c>
      <c r="AW795" t="s">
        <v>74</v>
      </c>
      <c r="AX795" t="s">
        <v>74</v>
      </c>
      <c r="AY795" t="s">
        <v>74</v>
      </c>
      <c r="AZ795" t="s">
        <v>74</v>
      </c>
      <c r="BA795" t="s">
        <v>74</v>
      </c>
      <c r="BB795" t="s">
        <v>74</v>
      </c>
      <c r="BC795" t="s">
        <v>74</v>
      </c>
      <c r="BD795" t="s">
        <v>74</v>
      </c>
      <c r="BE795" t="s">
        <v>15010</v>
      </c>
      <c r="BF795" t="str">
        <f>HYPERLINK("http://dx.doi.org/10.1111/bph.16190","http://dx.doi.org/10.1111/bph.16190")</f>
        <v>http://dx.doi.org/10.1111/bph.16190</v>
      </c>
      <c r="BG795" t="s">
        <v>74</v>
      </c>
      <c r="BH795" t="s">
        <v>7524</v>
      </c>
      <c r="BI795">
        <v>16</v>
      </c>
      <c r="BJ795" t="s">
        <v>299</v>
      </c>
      <c r="BK795" t="s">
        <v>119</v>
      </c>
      <c r="BL795" t="s">
        <v>299</v>
      </c>
      <c r="BM795" t="s">
        <v>15011</v>
      </c>
      <c r="BN795">
        <v>37428102</v>
      </c>
      <c r="BO795" t="s">
        <v>74</v>
      </c>
      <c r="BP795" t="s">
        <v>74</v>
      </c>
      <c r="BQ795" t="s">
        <v>74</v>
      </c>
      <c r="BR795" t="s">
        <v>99</v>
      </c>
      <c r="BS795" t="s">
        <v>15012</v>
      </c>
      <c r="BT795" t="str">
        <f>HYPERLINK("https%3A%2F%2Fwww.webofscience.com%2Fwos%2Fwoscc%2Ffull-record%2FWOS:001041002700001","View Full Record in Web of Science")</f>
        <v>View Full Record in Web of Science</v>
      </c>
    </row>
    <row r="796" spans="1:72" x14ac:dyDescent="0.15">
      <c r="A796" t="s">
        <v>72</v>
      </c>
      <c r="B796" t="s">
        <v>15013</v>
      </c>
      <c r="C796" t="s">
        <v>74</v>
      </c>
      <c r="D796" t="s">
        <v>74</v>
      </c>
      <c r="E796" t="s">
        <v>74</v>
      </c>
      <c r="F796" t="s">
        <v>15014</v>
      </c>
      <c r="G796" t="s">
        <v>74</v>
      </c>
      <c r="H796" t="s">
        <v>74</v>
      </c>
      <c r="I796" t="s">
        <v>15015</v>
      </c>
      <c r="J796" t="s">
        <v>15016</v>
      </c>
      <c r="K796" t="s">
        <v>74</v>
      </c>
      <c r="L796" t="s">
        <v>74</v>
      </c>
      <c r="M796" t="s">
        <v>78</v>
      </c>
      <c r="N796" t="s">
        <v>79</v>
      </c>
      <c r="O796" t="s">
        <v>74</v>
      </c>
      <c r="P796" t="s">
        <v>74</v>
      </c>
      <c r="Q796" t="s">
        <v>74</v>
      </c>
      <c r="R796" t="s">
        <v>74</v>
      </c>
      <c r="S796" t="s">
        <v>74</v>
      </c>
      <c r="T796" t="s">
        <v>15017</v>
      </c>
      <c r="U796" t="s">
        <v>15018</v>
      </c>
      <c r="V796" t="s">
        <v>15019</v>
      </c>
      <c r="W796" t="s">
        <v>15020</v>
      </c>
      <c r="X796" t="s">
        <v>15021</v>
      </c>
      <c r="Y796" t="s">
        <v>15022</v>
      </c>
      <c r="Z796" t="s">
        <v>15023</v>
      </c>
      <c r="AA796" t="s">
        <v>15024</v>
      </c>
      <c r="AB796" t="s">
        <v>15025</v>
      </c>
      <c r="AC796" t="s">
        <v>74</v>
      </c>
      <c r="AD796" t="s">
        <v>74</v>
      </c>
      <c r="AE796" t="s">
        <v>74</v>
      </c>
      <c r="AF796" t="s">
        <v>74</v>
      </c>
      <c r="AG796">
        <v>51</v>
      </c>
      <c r="AH796">
        <v>0</v>
      </c>
      <c r="AI796">
        <v>0</v>
      </c>
      <c r="AJ796">
        <v>1</v>
      </c>
      <c r="AK796">
        <v>1</v>
      </c>
      <c r="AL796" t="s">
        <v>87</v>
      </c>
      <c r="AM796" t="s">
        <v>88</v>
      </c>
      <c r="AN796" t="s">
        <v>89</v>
      </c>
      <c r="AO796" t="s">
        <v>15026</v>
      </c>
      <c r="AP796" t="s">
        <v>74</v>
      </c>
      <c r="AQ796" t="s">
        <v>74</v>
      </c>
      <c r="AR796" t="s">
        <v>15027</v>
      </c>
      <c r="AS796" t="s">
        <v>15028</v>
      </c>
      <c r="AT796" t="s">
        <v>6725</v>
      </c>
      <c r="AU796">
        <v>2023</v>
      </c>
      <c r="AV796">
        <v>12</v>
      </c>
      <c r="AW796">
        <v>5</v>
      </c>
      <c r="AX796" t="s">
        <v>74</v>
      </c>
      <c r="AY796" t="s">
        <v>74</v>
      </c>
      <c r="AZ796" t="s">
        <v>74</v>
      </c>
      <c r="BA796" t="s">
        <v>74</v>
      </c>
      <c r="BB796" t="s">
        <v>74</v>
      </c>
      <c r="BC796" t="s">
        <v>74</v>
      </c>
      <c r="BD796" t="s">
        <v>15029</v>
      </c>
      <c r="BE796" t="s">
        <v>15030</v>
      </c>
      <c r="BF796" t="str">
        <f>HYPERLINK("http://dx.doi.org/10.1002/fes3.491","http://dx.doi.org/10.1002/fes3.491")</f>
        <v>http://dx.doi.org/10.1002/fes3.491</v>
      </c>
      <c r="BG796" t="s">
        <v>74</v>
      </c>
      <c r="BH796" t="s">
        <v>7524</v>
      </c>
      <c r="BI796">
        <v>17</v>
      </c>
      <c r="BJ796" t="s">
        <v>15031</v>
      </c>
      <c r="BK796" t="s">
        <v>119</v>
      </c>
      <c r="BL796" t="s">
        <v>15032</v>
      </c>
      <c r="BM796" t="s">
        <v>15033</v>
      </c>
      <c r="BN796" t="s">
        <v>74</v>
      </c>
      <c r="BO796" t="s">
        <v>234</v>
      </c>
      <c r="BP796" t="s">
        <v>74</v>
      </c>
      <c r="BQ796" t="s">
        <v>74</v>
      </c>
      <c r="BR796" t="s">
        <v>99</v>
      </c>
      <c r="BS796" t="s">
        <v>15034</v>
      </c>
      <c r="BT796" t="str">
        <f>HYPERLINK("https%3A%2F%2Fwww.webofscience.com%2Fwos%2Fwoscc%2Ffull-record%2FWOS:001041384200001","View Full Record in Web of Science")</f>
        <v>View Full Record in Web of Science</v>
      </c>
    </row>
    <row r="797" spans="1:72" x14ac:dyDescent="0.15">
      <c r="A797" t="s">
        <v>72</v>
      </c>
      <c r="B797" t="s">
        <v>15035</v>
      </c>
      <c r="C797" t="s">
        <v>74</v>
      </c>
      <c r="D797" t="s">
        <v>74</v>
      </c>
      <c r="E797" t="s">
        <v>74</v>
      </c>
      <c r="F797" t="s">
        <v>15036</v>
      </c>
      <c r="G797" t="s">
        <v>74</v>
      </c>
      <c r="H797" t="s">
        <v>74</v>
      </c>
      <c r="I797" t="s">
        <v>15037</v>
      </c>
      <c r="J797" t="s">
        <v>3697</v>
      </c>
      <c r="K797" t="s">
        <v>74</v>
      </c>
      <c r="L797" t="s">
        <v>74</v>
      </c>
      <c r="M797" t="s">
        <v>78</v>
      </c>
      <c r="N797" t="s">
        <v>2743</v>
      </c>
      <c r="O797" t="s">
        <v>74</v>
      </c>
      <c r="P797" t="s">
        <v>74</v>
      </c>
      <c r="Q797" t="s">
        <v>74</v>
      </c>
      <c r="R797" t="s">
        <v>74</v>
      </c>
      <c r="S797" t="s">
        <v>74</v>
      </c>
      <c r="T797" t="s">
        <v>74</v>
      </c>
      <c r="U797" t="s">
        <v>74</v>
      </c>
      <c r="V797" t="s">
        <v>74</v>
      </c>
      <c r="W797" t="s">
        <v>15038</v>
      </c>
      <c r="X797" t="s">
        <v>15039</v>
      </c>
      <c r="Y797" t="s">
        <v>15040</v>
      </c>
      <c r="Z797" t="s">
        <v>15041</v>
      </c>
      <c r="AA797" t="s">
        <v>74</v>
      </c>
      <c r="AB797" t="s">
        <v>74</v>
      </c>
      <c r="AC797" t="s">
        <v>74</v>
      </c>
      <c r="AD797" t="s">
        <v>74</v>
      </c>
      <c r="AE797" t="s">
        <v>74</v>
      </c>
      <c r="AF797" t="s">
        <v>74</v>
      </c>
      <c r="AG797">
        <v>5</v>
      </c>
      <c r="AH797">
        <v>0</v>
      </c>
      <c r="AI797">
        <v>0</v>
      </c>
      <c r="AJ797">
        <v>0</v>
      </c>
      <c r="AK797">
        <v>0</v>
      </c>
      <c r="AL797" t="s">
        <v>87</v>
      </c>
      <c r="AM797" t="s">
        <v>88</v>
      </c>
      <c r="AN797" t="s">
        <v>89</v>
      </c>
      <c r="AO797" t="s">
        <v>3705</v>
      </c>
      <c r="AP797" t="s">
        <v>3706</v>
      </c>
      <c r="AQ797" t="s">
        <v>74</v>
      </c>
      <c r="AR797" t="s">
        <v>3707</v>
      </c>
      <c r="AS797" t="s">
        <v>3708</v>
      </c>
      <c r="AT797" t="s">
        <v>14884</v>
      </c>
      <c r="AU797">
        <v>2023</v>
      </c>
      <c r="AV797" t="s">
        <v>74</v>
      </c>
      <c r="AW797" t="s">
        <v>74</v>
      </c>
      <c r="AX797" t="s">
        <v>74</v>
      </c>
      <c r="AY797" t="s">
        <v>74</v>
      </c>
      <c r="AZ797" t="s">
        <v>74</v>
      </c>
      <c r="BA797" t="s">
        <v>74</v>
      </c>
      <c r="BB797" t="s">
        <v>74</v>
      </c>
      <c r="BC797" t="s">
        <v>74</v>
      </c>
      <c r="BD797" t="s">
        <v>74</v>
      </c>
      <c r="BE797" t="s">
        <v>15042</v>
      </c>
      <c r="BF797" t="str">
        <f>HYPERLINK("http://dx.doi.org/10.1002/ohn.462","http://dx.doi.org/10.1002/ohn.462")</f>
        <v>http://dx.doi.org/10.1002/ohn.462</v>
      </c>
      <c r="BG797" t="s">
        <v>74</v>
      </c>
      <c r="BH797" t="s">
        <v>7524</v>
      </c>
      <c r="BI797">
        <v>2</v>
      </c>
      <c r="BJ797" t="s">
        <v>3710</v>
      </c>
      <c r="BK797" t="s">
        <v>119</v>
      </c>
      <c r="BL797" t="s">
        <v>3710</v>
      </c>
      <c r="BM797" t="s">
        <v>15043</v>
      </c>
      <c r="BN797">
        <v>37529871</v>
      </c>
      <c r="BO797" t="s">
        <v>301</v>
      </c>
      <c r="BP797" t="s">
        <v>74</v>
      </c>
      <c r="BQ797" t="s">
        <v>74</v>
      </c>
      <c r="BR797" t="s">
        <v>99</v>
      </c>
      <c r="BS797" t="s">
        <v>15044</v>
      </c>
      <c r="BT797" t="str">
        <f>HYPERLINK("https%3A%2F%2Fwww.webofscience.com%2Fwos%2Fwoscc%2Ffull-record%2FWOS:001041301900001","View Full Record in Web of Science")</f>
        <v>View Full Record in Web of Science</v>
      </c>
    </row>
    <row r="798" spans="1:72" x14ac:dyDescent="0.15">
      <c r="A798" t="s">
        <v>72</v>
      </c>
      <c r="B798" t="s">
        <v>15045</v>
      </c>
      <c r="C798" t="s">
        <v>74</v>
      </c>
      <c r="D798" t="s">
        <v>74</v>
      </c>
      <c r="E798" t="s">
        <v>74</v>
      </c>
      <c r="F798" t="s">
        <v>15046</v>
      </c>
      <c r="G798" t="s">
        <v>74</v>
      </c>
      <c r="H798" t="s">
        <v>74</v>
      </c>
      <c r="I798" t="s">
        <v>15047</v>
      </c>
      <c r="J798" t="s">
        <v>15048</v>
      </c>
      <c r="K798" t="s">
        <v>74</v>
      </c>
      <c r="L798" t="s">
        <v>74</v>
      </c>
      <c r="M798" t="s">
        <v>78</v>
      </c>
      <c r="N798" t="s">
        <v>338</v>
      </c>
      <c r="O798" t="s">
        <v>74</v>
      </c>
      <c r="P798" t="s">
        <v>74</v>
      </c>
      <c r="Q798" t="s">
        <v>74</v>
      </c>
      <c r="R798" t="s">
        <v>74</v>
      </c>
      <c r="S798" t="s">
        <v>74</v>
      </c>
      <c r="T798" t="s">
        <v>15049</v>
      </c>
      <c r="U798" t="s">
        <v>15050</v>
      </c>
      <c r="V798" t="s">
        <v>15051</v>
      </c>
      <c r="W798" t="s">
        <v>15052</v>
      </c>
      <c r="X798" t="s">
        <v>15053</v>
      </c>
      <c r="Y798" t="s">
        <v>15054</v>
      </c>
      <c r="Z798" t="s">
        <v>15055</v>
      </c>
      <c r="AA798" t="s">
        <v>74</v>
      </c>
      <c r="AB798" t="s">
        <v>15056</v>
      </c>
      <c r="AC798" t="s">
        <v>15057</v>
      </c>
      <c r="AD798" t="s">
        <v>15057</v>
      </c>
      <c r="AE798" t="s">
        <v>15057</v>
      </c>
      <c r="AF798" t="s">
        <v>74</v>
      </c>
      <c r="AG798">
        <v>72</v>
      </c>
      <c r="AH798">
        <v>0</v>
      </c>
      <c r="AI798">
        <v>0</v>
      </c>
      <c r="AJ798">
        <v>0</v>
      </c>
      <c r="AK798">
        <v>0</v>
      </c>
      <c r="AL798" t="s">
        <v>87</v>
      </c>
      <c r="AM798" t="s">
        <v>88</v>
      </c>
      <c r="AN798" t="s">
        <v>89</v>
      </c>
      <c r="AO798" t="s">
        <v>15058</v>
      </c>
      <c r="AP798" t="s">
        <v>15059</v>
      </c>
      <c r="AQ798" t="s">
        <v>74</v>
      </c>
      <c r="AR798" t="s">
        <v>15060</v>
      </c>
      <c r="AS798" t="s">
        <v>15061</v>
      </c>
      <c r="AT798" t="s">
        <v>14884</v>
      </c>
      <c r="AU798">
        <v>2023</v>
      </c>
      <c r="AV798" t="s">
        <v>74</v>
      </c>
      <c r="AW798" t="s">
        <v>74</v>
      </c>
      <c r="AX798" t="s">
        <v>74</v>
      </c>
      <c r="AY798" t="s">
        <v>74</v>
      </c>
      <c r="AZ798" t="s">
        <v>74</v>
      </c>
      <c r="BA798" t="s">
        <v>74</v>
      </c>
      <c r="BB798" t="s">
        <v>74</v>
      </c>
      <c r="BC798" t="s">
        <v>74</v>
      </c>
      <c r="BD798" t="s">
        <v>74</v>
      </c>
      <c r="BE798" t="s">
        <v>15062</v>
      </c>
      <c r="BF798" t="str">
        <f>HYPERLINK("http://dx.doi.org/10.1002/jwmg.22475","http://dx.doi.org/10.1002/jwmg.22475")</f>
        <v>http://dx.doi.org/10.1002/jwmg.22475</v>
      </c>
      <c r="BG798" t="s">
        <v>74</v>
      </c>
      <c r="BH798" t="s">
        <v>7524</v>
      </c>
      <c r="BI798">
        <v>17</v>
      </c>
      <c r="BJ798" t="s">
        <v>15063</v>
      </c>
      <c r="BK798" t="s">
        <v>119</v>
      </c>
      <c r="BL798" t="s">
        <v>15064</v>
      </c>
      <c r="BM798" t="s">
        <v>15065</v>
      </c>
      <c r="BN798" t="s">
        <v>74</v>
      </c>
      <c r="BO798" t="s">
        <v>74</v>
      </c>
      <c r="BP798" t="s">
        <v>74</v>
      </c>
      <c r="BQ798" t="s">
        <v>74</v>
      </c>
      <c r="BR798" t="s">
        <v>99</v>
      </c>
      <c r="BS798" t="s">
        <v>15066</v>
      </c>
      <c r="BT798" t="str">
        <f>HYPERLINK("https%3A%2F%2Fwww.webofscience.com%2Fwos%2Fwoscc%2Ffull-record%2FWOS:001041454100001","View Full Record in Web of Science")</f>
        <v>View Full Record in Web of Science</v>
      </c>
    </row>
    <row r="799" spans="1:72" x14ac:dyDescent="0.15">
      <c r="A799" t="s">
        <v>72</v>
      </c>
      <c r="B799" t="s">
        <v>15067</v>
      </c>
      <c r="C799" t="s">
        <v>74</v>
      </c>
      <c r="D799" t="s">
        <v>74</v>
      </c>
      <c r="E799" t="s">
        <v>74</v>
      </c>
      <c r="F799" t="s">
        <v>15068</v>
      </c>
      <c r="G799" t="s">
        <v>74</v>
      </c>
      <c r="H799" t="s">
        <v>74</v>
      </c>
      <c r="I799" t="s">
        <v>15069</v>
      </c>
      <c r="J799" t="s">
        <v>5796</v>
      </c>
      <c r="K799" t="s">
        <v>74</v>
      </c>
      <c r="L799" t="s">
        <v>74</v>
      </c>
      <c r="M799" t="s">
        <v>78</v>
      </c>
      <c r="N799" t="s">
        <v>338</v>
      </c>
      <c r="O799" t="s">
        <v>74</v>
      </c>
      <c r="P799" t="s">
        <v>74</v>
      </c>
      <c r="Q799" t="s">
        <v>74</v>
      </c>
      <c r="R799" t="s">
        <v>74</v>
      </c>
      <c r="S799" t="s">
        <v>74</v>
      </c>
      <c r="T799" t="s">
        <v>15070</v>
      </c>
      <c r="U799" t="s">
        <v>15071</v>
      </c>
      <c r="V799" t="s">
        <v>15072</v>
      </c>
      <c r="W799" t="s">
        <v>15073</v>
      </c>
      <c r="X799" t="s">
        <v>15074</v>
      </c>
      <c r="Y799" t="s">
        <v>15075</v>
      </c>
      <c r="Z799" t="s">
        <v>15076</v>
      </c>
      <c r="AA799" t="s">
        <v>74</v>
      </c>
      <c r="AB799" t="s">
        <v>74</v>
      </c>
      <c r="AC799" t="s">
        <v>15077</v>
      </c>
      <c r="AD799" t="s">
        <v>15077</v>
      </c>
      <c r="AE799" t="s">
        <v>15077</v>
      </c>
      <c r="AF799" t="s">
        <v>74</v>
      </c>
      <c r="AG799">
        <v>39</v>
      </c>
      <c r="AH799">
        <v>0</v>
      </c>
      <c r="AI799">
        <v>0</v>
      </c>
      <c r="AJ799">
        <v>7</v>
      </c>
      <c r="AK799">
        <v>7</v>
      </c>
      <c r="AL799" t="s">
        <v>87</v>
      </c>
      <c r="AM799" t="s">
        <v>88</v>
      </c>
      <c r="AN799" t="s">
        <v>89</v>
      </c>
      <c r="AO799" t="s">
        <v>5805</v>
      </c>
      <c r="AP799" t="s">
        <v>5806</v>
      </c>
      <c r="AQ799" t="s">
        <v>74</v>
      </c>
      <c r="AR799" t="s">
        <v>5807</v>
      </c>
      <c r="AS799" t="s">
        <v>5808</v>
      </c>
      <c r="AT799" t="s">
        <v>14884</v>
      </c>
      <c r="AU799">
        <v>2023</v>
      </c>
      <c r="AV799" t="s">
        <v>74</v>
      </c>
      <c r="AW799" t="s">
        <v>74</v>
      </c>
      <c r="AX799" t="s">
        <v>74</v>
      </c>
      <c r="AY799" t="s">
        <v>74</v>
      </c>
      <c r="AZ799" t="s">
        <v>74</v>
      </c>
      <c r="BA799" t="s">
        <v>74</v>
      </c>
      <c r="BB799" t="s">
        <v>74</v>
      </c>
      <c r="BC799" t="s">
        <v>74</v>
      </c>
      <c r="BD799" t="s">
        <v>74</v>
      </c>
      <c r="BE799" t="s">
        <v>15078</v>
      </c>
      <c r="BF799" t="str">
        <f>HYPERLINK("http://dx.doi.org/10.1111/jan.15819","http://dx.doi.org/10.1111/jan.15819")</f>
        <v>http://dx.doi.org/10.1111/jan.15819</v>
      </c>
      <c r="BG799" t="s">
        <v>74</v>
      </c>
      <c r="BH799" t="s">
        <v>7524</v>
      </c>
      <c r="BI799">
        <v>12</v>
      </c>
      <c r="BJ799" t="s">
        <v>5811</v>
      </c>
      <c r="BK799" t="s">
        <v>409</v>
      </c>
      <c r="BL799" t="s">
        <v>5811</v>
      </c>
      <c r="BM799" t="s">
        <v>15079</v>
      </c>
      <c r="BN799">
        <v>37530409</v>
      </c>
      <c r="BO799" t="s">
        <v>122</v>
      </c>
      <c r="BP799" t="s">
        <v>74</v>
      </c>
      <c r="BQ799" t="s">
        <v>74</v>
      </c>
      <c r="BR799" t="s">
        <v>99</v>
      </c>
      <c r="BS799" t="s">
        <v>15080</v>
      </c>
      <c r="BT799" t="str">
        <f>HYPERLINK("https%3A%2F%2Fwww.webofscience.com%2Fwos%2Fwoscc%2Ffull-record%2FWOS:001041447200001","View Full Record in Web of Science")</f>
        <v>View Full Record in Web of Science</v>
      </c>
    </row>
    <row r="800" spans="1:72" x14ac:dyDescent="0.15">
      <c r="A800" t="s">
        <v>72</v>
      </c>
      <c r="B800" t="s">
        <v>15081</v>
      </c>
      <c r="C800" t="s">
        <v>74</v>
      </c>
      <c r="D800" t="s">
        <v>74</v>
      </c>
      <c r="E800" t="s">
        <v>74</v>
      </c>
      <c r="F800" t="s">
        <v>15082</v>
      </c>
      <c r="G800" t="s">
        <v>74</v>
      </c>
      <c r="H800" t="s">
        <v>74</v>
      </c>
      <c r="I800" t="s">
        <v>15083</v>
      </c>
      <c r="J800" t="s">
        <v>13457</v>
      </c>
      <c r="K800" t="s">
        <v>74</v>
      </c>
      <c r="L800" t="s">
        <v>74</v>
      </c>
      <c r="M800" t="s">
        <v>78</v>
      </c>
      <c r="N800" t="s">
        <v>338</v>
      </c>
      <c r="O800" t="s">
        <v>74</v>
      </c>
      <c r="P800" t="s">
        <v>74</v>
      </c>
      <c r="Q800" t="s">
        <v>74</v>
      </c>
      <c r="R800" t="s">
        <v>74</v>
      </c>
      <c r="S800" t="s">
        <v>74</v>
      </c>
      <c r="T800" t="s">
        <v>15084</v>
      </c>
      <c r="U800" t="s">
        <v>15085</v>
      </c>
      <c r="V800" t="s">
        <v>15086</v>
      </c>
      <c r="W800" t="s">
        <v>15087</v>
      </c>
      <c r="X800" t="s">
        <v>15088</v>
      </c>
      <c r="Y800" t="s">
        <v>15089</v>
      </c>
      <c r="Z800" t="s">
        <v>15090</v>
      </c>
      <c r="AA800" t="s">
        <v>15091</v>
      </c>
      <c r="AB800" t="s">
        <v>15092</v>
      </c>
      <c r="AC800" t="s">
        <v>15093</v>
      </c>
      <c r="AD800" t="s">
        <v>15094</v>
      </c>
      <c r="AE800" t="s">
        <v>15095</v>
      </c>
      <c r="AF800" t="s">
        <v>74</v>
      </c>
      <c r="AG800">
        <v>57</v>
      </c>
      <c r="AH800">
        <v>0</v>
      </c>
      <c r="AI800">
        <v>0</v>
      </c>
      <c r="AJ800">
        <v>2</v>
      </c>
      <c r="AK800">
        <v>2</v>
      </c>
      <c r="AL800" t="s">
        <v>87</v>
      </c>
      <c r="AM800" t="s">
        <v>88</v>
      </c>
      <c r="AN800" t="s">
        <v>89</v>
      </c>
      <c r="AO800" t="s">
        <v>13465</v>
      </c>
      <c r="AP800" t="s">
        <v>13466</v>
      </c>
      <c r="AQ800" t="s">
        <v>74</v>
      </c>
      <c r="AR800" t="s">
        <v>13467</v>
      </c>
      <c r="AS800" t="s">
        <v>13468</v>
      </c>
      <c r="AT800" t="s">
        <v>14884</v>
      </c>
      <c r="AU800">
        <v>2023</v>
      </c>
      <c r="AV800" t="s">
        <v>74</v>
      </c>
      <c r="AW800" t="s">
        <v>74</v>
      </c>
      <c r="AX800" t="s">
        <v>74</v>
      </c>
      <c r="AY800" t="s">
        <v>74</v>
      </c>
      <c r="AZ800" t="s">
        <v>74</v>
      </c>
      <c r="BA800" t="s">
        <v>74</v>
      </c>
      <c r="BB800" t="s">
        <v>74</v>
      </c>
      <c r="BC800" t="s">
        <v>74</v>
      </c>
      <c r="BD800" t="s">
        <v>74</v>
      </c>
      <c r="BE800" t="s">
        <v>15096</v>
      </c>
      <c r="BF800" t="str">
        <f>HYPERLINK("http://dx.doi.org/10.1111/1749-4877.12754","http://dx.doi.org/10.1111/1749-4877.12754")</f>
        <v>http://dx.doi.org/10.1111/1749-4877.12754</v>
      </c>
      <c r="BG800" t="s">
        <v>74</v>
      </c>
      <c r="BH800" t="s">
        <v>7524</v>
      </c>
      <c r="BI800">
        <v>16</v>
      </c>
      <c r="BJ800" t="s">
        <v>8924</v>
      </c>
      <c r="BK800" t="s">
        <v>119</v>
      </c>
      <c r="BL800" t="s">
        <v>8924</v>
      </c>
      <c r="BM800" t="s">
        <v>15097</v>
      </c>
      <c r="BN800">
        <v>37532680</v>
      </c>
      <c r="BO800" t="s">
        <v>122</v>
      </c>
      <c r="BP800" t="s">
        <v>74</v>
      </c>
      <c r="BQ800" t="s">
        <v>74</v>
      </c>
      <c r="BR800" t="s">
        <v>99</v>
      </c>
      <c r="BS800" t="s">
        <v>15098</v>
      </c>
      <c r="BT800" t="str">
        <f>HYPERLINK("https%3A%2F%2Fwww.webofscience.com%2Fwos%2Fwoscc%2Ffull-record%2FWOS:001041337800001","View Full Record in Web of Science")</f>
        <v>View Full Record in Web of Science</v>
      </c>
    </row>
    <row r="801" spans="1:72" x14ac:dyDescent="0.15">
      <c r="A801" t="s">
        <v>72</v>
      </c>
      <c r="B801" t="s">
        <v>15099</v>
      </c>
      <c r="C801" t="s">
        <v>74</v>
      </c>
      <c r="D801" t="s">
        <v>74</v>
      </c>
      <c r="E801" t="s">
        <v>74</v>
      </c>
      <c r="F801" t="s">
        <v>15100</v>
      </c>
      <c r="G801" t="s">
        <v>74</v>
      </c>
      <c r="H801" t="s">
        <v>74</v>
      </c>
      <c r="I801" t="s">
        <v>15101</v>
      </c>
      <c r="J801" t="s">
        <v>5513</v>
      </c>
      <c r="K801" t="s">
        <v>74</v>
      </c>
      <c r="L801" t="s">
        <v>74</v>
      </c>
      <c r="M801" t="s">
        <v>78</v>
      </c>
      <c r="N801" t="s">
        <v>1297</v>
      </c>
      <c r="O801" t="s">
        <v>74</v>
      </c>
      <c r="P801" t="s">
        <v>74</v>
      </c>
      <c r="Q801" t="s">
        <v>74</v>
      </c>
      <c r="R801" t="s">
        <v>74</v>
      </c>
      <c r="S801" t="s">
        <v>74</v>
      </c>
      <c r="T801" t="s">
        <v>74</v>
      </c>
      <c r="U801" t="s">
        <v>74</v>
      </c>
      <c r="V801" t="s">
        <v>74</v>
      </c>
      <c r="W801" t="s">
        <v>15102</v>
      </c>
      <c r="X801" t="s">
        <v>15103</v>
      </c>
      <c r="Y801" t="s">
        <v>15104</v>
      </c>
      <c r="Z801" t="s">
        <v>15105</v>
      </c>
      <c r="AA801" t="s">
        <v>74</v>
      </c>
      <c r="AB801" t="s">
        <v>74</v>
      </c>
      <c r="AC801" t="s">
        <v>74</v>
      </c>
      <c r="AD801" t="s">
        <v>74</v>
      </c>
      <c r="AE801" t="s">
        <v>74</v>
      </c>
      <c r="AF801" t="s">
        <v>74</v>
      </c>
      <c r="AG801">
        <v>8</v>
      </c>
      <c r="AH801">
        <v>1</v>
      </c>
      <c r="AI801">
        <v>1</v>
      </c>
      <c r="AJ801">
        <v>0</v>
      </c>
      <c r="AK801">
        <v>0</v>
      </c>
      <c r="AL801" t="s">
        <v>87</v>
      </c>
      <c r="AM801" t="s">
        <v>88</v>
      </c>
      <c r="AN801" t="s">
        <v>89</v>
      </c>
      <c r="AO801" t="s">
        <v>5518</v>
      </c>
      <c r="AP801" t="s">
        <v>5519</v>
      </c>
      <c r="AQ801" t="s">
        <v>74</v>
      </c>
      <c r="AR801" t="s">
        <v>5520</v>
      </c>
      <c r="AS801" t="s">
        <v>5521</v>
      </c>
      <c r="AT801" t="s">
        <v>14884</v>
      </c>
      <c r="AU801">
        <v>2023</v>
      </c>
      <c r="AV801" t="s">
        <v>74</v>
      </c>
      <c r="AW801" t="s">
        <v>74</v>
      </c>
      <c r="AX801" t="s">
        <v>74</v>
      </c>
      <c r="AY801" t="s">
        <v>74</v>
      </c>
      <c r="AZ801" t="s">
        <v>74</v>
      </c>
      <c r="BA801" t="s">
        <v>74</v>
      </c>
      <c r="BB801" t="s">
        <v>74</v>
      </c>
      <c r="BC801" t="s">
        <v>74</v>
      </c>
      <c r="BD801" t="s">
        <v>74</v>
      </c>
      <c r="BE801" t="s">
        <v>15106</v>
      </c>
      <c r="BF801" t="str">
        <f>HYPERLINK("http://dx.doi.org/10.1002/ejhf.2961","http://dx.doi.org/10.1002/ejhf.2961")</f>
        <v>http://dx.doi.org/10.1002/ejhf.2961</v>
      </c>
      <c r="BG801" t="s">
        <v>74</v>
      </c>
      <c r="BH801" t="s">
        <v>7524</v>
      </c>
      <c r="BI801">
        <v>3</v>
      </c>
      <c r="BJ801" t="s">
        <v>1849</v>
      </c>
      <c r="BK801" t="s">
        <v>119</v>
      </c>
      <c r="BL801" t="s">
        <v>1850</v>
      </c>
      <c r="BM801" t="s">
        <v>15107</v>
      </c>
      <c r="BN801">
        <v>37462280</v>
      </c>
      <c r="BO801" t="s">
        <v>74</v>
      </c>
      <c r="BP801" t="s">
        <v>74</v>
      </c>
      <c r="BQ801" t="s">
        <v>74</v>
      </c>
      <c r="BR801" t="s">
        <v>99</v>
      </c>
      <c r="BS801" t="s">
        <v>15108</v>
      </c>
      <c r="BT801" t="str">
        <f>HYPERLINK("https%3A%2F%2Fwww.webofscience.com%2Fwos%2Fwoscc%2Ffull-record%2FWOS:001041429400001","View Full Record in Web of Science")</f>
        <v>View Full Record in Web of Science</v>
      </c>
    </row>
    <row r="802" spans="1:72" x14ac:dyDescent="0.15">
      <c r="A802" t="s">
        <v>72</v>
      </c>
      <c r="B802" t="s">
        <v>15109</v>
      </c>
      <c r="C802" t="s">
        <v>74</v>
      </c>
      <c r="D802" t="s">
        <v>74</v>
      </c>
      <c r="E802" t="s">
        <v>74</v>
      </c>
      <c r="F802" t="s">
        <v>15110</v>
      </c>
      <c r="G802" t="s">
        <v>74</v>
      </c>
      <c r="H802" t="s">
        <v>74</v>
      </c>
      <c r="I802" t="s">
        <v>15111</v>
      </c>
      <c r="J802" t="s">
        <v>2742</v>
      </c>
      <c r="K802" t="s">
        <v>74</v>
      </c>
      <c r="L802" t="s">
        <v>74</v>
      </c>
      <c r="M802" t="s">
        <v>78</v>
      </c>
      <c r="N802" t="s">
        <v>2743</v>
      </c>
      <c r="O802" t="s">
        <v>74</v>
      </c>
      <c r="P802" t="s">
        <v>74</v>
      </c>
      <c r="Q802" t="s">
        <v>74</v>
      </c>
      <c r="R802" t="s">
        <v>74</v>
      </c>
      <c r="S802" t="s">
        <v>74</v>
      </c>
      <c r="T802" t="s">
        <v>74</v>
      </c>
      <c r="U802" t="s">
        <v>15112</v>
      </c>
      <c r="V802" t="s">
        <v>74</v>
      </c>
      <c r="W802" t="s">
        <v>15113</v>
      </c>
      <c r="X802" t="s">
        <v>15114</v>
      </c>
      <c r="Y802" t="s">
        <v>15115</v>
      </c>
      <c r="Z802" t="s">
        <v>15116</v>
      </c>
      <c r="AA802" t="s">
        <v>74</v>
      </c>
      <c r="AB802" t="s">
        <v>15117</v>
      </c>
      <c r="AC802" t="s">
        <v>74</v>
      </c>
      <c r="AD802" t="s">
        <v>74</v>
      </c>
      <c r="AE802" t="s">
        <v>74</v>
      </c>
      <c r="AF802" t="s">
        <v>74</v>
      </c>
      <c r="AG802">
        <v>13</v>
      </c>
      <c r="AH802">
        <v>0</v>
      </c>
      <c r="AI802">
        <v>0</v>
      </c>
      <c r="AJ802">
        <v>0</v>
      </c>
      <c r="AK802">
        <v>0</v>
      </c>
      <c r="AL802" t="s">
        <v>87</v>
      </c>
      <c r="AM802" t="s">
        <v>88</v>
      </c>
      <c r="AN802" t="s">
        <v>89</v>
      </c>
      <c r="AO802" t="s">
        <v>2749</v>
      </c>
      <c r="AP802" t="s">
        <v>2750</v>
      </c>
      <c r="AQ802" t="s">
        <v>74</v>
      </c>
      <c r="AR802" t="s">
        <v>2751</v>
      </c>
      <c r="AS802" t="s">
        <v>2752</v>
      </c>
      <c r="AT802" t="s">
        <v>14884</v>
      </c>
      <c r="AU802">
        <v>2023</v>
      </c>
      <c r="AV802" t="s">
        <v>74</v>
      </c>
      <c r="AW802" t="s">
        <v>74</v>
      </c>
      <c r="AX802" t="s">
        <v>74</v>
      </c>
      <c r="AY802" t="s">
        <v>74</v>
      </c>
      <c r="AZ802" t="s">
        <v>74</v>
      </c>
      <c r="BA802" t="s">
        <v>74</v>
      </c>
      <c r="BB802" t="s">
        <v>74</v>
      </c>
      <c r="BC802" t="s">
        <v>74</v>
      </c>
      <c r="BD802" t="s">
        <v>74</v>
      </c>
      <c r="BE802" t="s">
        <v>15118</v>
      </c>
      <c r="BF802" t="str">
        <f>HYPERLINK("http://dx.doi.org/10.1002/pbc.30606","http://dx.doi.org/10.1002/pbc.30606")</f>
        <v>http://dx.doi.org/10.1002/pbc.30606</v>
      </c>
      <c r="BG802" t="s">
        <v>74</v>
      </c>
      <c r="BH802" t="s">
        <v>7524</v>
      </c>
      <c r="BI802">
        <v>3</v>
      </c>
      <c r="BJ802" t="s">
        <v>2754</v>
      </c>
      <c r="BK802" t="s">
        <v>119</v>
      </c>
      <c r="BL802" t="s">
        <v>2754</v>
      </c>
      <c r="BM802" t="s">
        <v>15119</v>
      </c>
      <c r="BN802">
        <v>37533091</v>
      </c>
      <c r="BO802" t="s">
        <v>74</v>
      </c>
      <c r="BP802" t="s">
        <v>74</v>
      </c>
      <c r="BQ802" t="s">
        <v>74</v>
      </c>
      <c r="BR802" t="s">
        <v>99</v>
      </c>
      <c r="BS802" t="s">
        <v>15120</v>
      </c>
      <c r="BT802" t="str">
        <f>HYPERLINK("https%3A%2F%2Fwww.webofscience.com%2Fwos%2Fwoscc%2Ffull-record%2FWOS:001041733900001","View Full Record in Web of Science")</f>
        <v>View Full Record in Web of Science</v>
      </c>
    </row>
    <row r="803" spans="1:72" x14ac:dyDescent="0.15">
      <c r="A803" t="s">
        <v>72</v>
      </c>
      <c r="B803" t="s">
        <v>15121</v>
      </c>
      <c r="C803" t="s">
        <v>74</v>
      </c>
      <c r="D803" t="s">
        <v>74</v>
      </c>
      <c r="E803" t="s">
        <v>74</v>
      </c>
      <c r="F803" t="s">
        <v>15122</v>
      </c>
      <c r="G803" t="s">
        <v>74</v>
      </c>
      <c r="H803" t="s">
        <v>74</v>
      </c>
      <c r="I803" t="s">
        <v>15123</v>
      </c>
      <c r="J803" t="s">
        <v>8299</v>
      </c>
      <c r="K803" t="s">
        <v>74</v>
      </c>
      <c r="L803" t="s">
        <v>74</v>
      </c>
      <c r="M803" t="s">
        <v>78</v>
      </c>
      <c r="N803" t="s">
        <v>338</v>
      </c>
      <c r="O803" t="s">
        <v>74</v>
      </c>
      <c r="P803" t="s">
        <v>74</v>
      </c>
      <c r="Q803" t="s">
        <v>74</v>
      </c>
      <c r="R803" t="s">
        <v>74</v>
      </c>
      <c r="S803" t="s">
        <v>74</v>
      </c>
      <c r="T803" t="s">
        <v>15124</v>
      </c>
      <c r="U803" t="s">
        <v>15125</v>
      </c>
      <c r="V803" t="s">
        <v>15126</v>
      </c>
      <c r="W803" t="s">
        <v>15127</v>
      </c>
      <c r="X803" t="s">
        <v>15128</v>
      </c>
      <c r="Y803" t="s">
        <v>15129</v>
      </c>
      <c r="Z803" t="s">
        <v>15130</v>
      </c>
      <c r="AA803" t="s">
        <v>74</v>
      </c>
      <c r="AB803" t="s">
        <v>74</v>
      </c>
      <c r="AC803" t="s">
        <v>15131</v>
      </c>
      <c r="AD803" t="s">
        <v>15132</v>
      </c>
      <c r="AE803" t="s">
        <v>15133</v>
      </c>
      <c r="AF803" t="s">
        <v>74</v>
      </c>
      <c r="AG803">
        <v>43</v>
      </c>
      <c r="AH803">
        <v>0</v>
      </c>
      <c r="AI803">
        <v>0</v>
      </c>
      <c r="AJ803">
        <v>10</v>
      </c>
      <c r="AK803">
        <v>10</v>
      </c>
      <c r="AL803" t="s">
        <v>87</v>
      </c>
      <c r="AM803" t="s">
        <v>88</v>
      </c>
      <c r="AN803" t="s">
        <v>89</v>
      </c>
      <c r="AO803" t="s">
        <v>74</v>
      </c>
      <c r="AP803" t="s">
        <v>8311</v>
      </c>
      <c r="AQ803" t="s">
        <v>74</v>
      </c>
      <c r="AR803" t="s">
        <v>8299</v>
      </c>
      <c r="AS803" t="s">
        <v>8312</v>
      </c>
      <c r="AT803" t="s">
        <v>14884</v>
      </c>
      <c r="AU803">
        <v>2023</v>
      </c>
      <c r="AV803" t="s">
        <v>74</v>
      </c>
      <c r="AW803" t="s">
        <v>74</v>
      </c>
      <c r="AX803" t="s">
        <v>74</v>
      </c>
      <c r="AY803" t="s">
        <v>74</v>
      </c>
      <c r="AZ803" t="s">
        <v>74</v>
      </c>
      <c r="BA803" t="s">
        <v>74</v>
      </c>
      <c r="BB803" t="s">
        <v>74</v>
      </c>
      <c r="BC803" t="s">
        <v>74</v>
      </c>
      <c r="BD803" t="s">
        <v>74</v>
      </c>
      <c r="BE803" t="s">
        <v>15134</v>
      </c>
      <c r="BF803" t="str">
        <f>HYPERLINK("http://dx.doi.org/10.1002/eom2.12399","http://dx.doi.org/10.1002/eom2.12399")</f>
        <v>http://dx.doi.org/10.1002/eom2.12399</v>
      </c>
      <c r="BG803" t="s">
        <v>74</v>
      </c>
      <c r="BH803" t="s">
        <v>7524</v>
      </c>
      <c r="BI803">
        <v>11</v>
      </c>
      <c r="BJ803" t="s">
        <v>8315</v>
      </c>
      <c r="BK803" t="s">
        <v>119</v>
      </c>
      <c r="BL803" t="s">
        <v>954</v>
      </c>
      <c r="BM803" t="s">
        <v>15135</v>
      </c>
      <c r="BN803" t="s">
        <v>74</v>
      </c>
      <c r="BO803" t="s">
        <v>234</v>
      </c>
      <c r="BP803" t="s">
        <v>74</v>
      </c>
      <c r="BQ803" t="s">
        <v>74</v>
      </c>
      <c r="BR803" t="s">
        <v>99</v>
      </c>
      <c r="BS803" t="s">
        <v>15136</v>
      </c>
      <c r="BT803" t="str">
        <f>HYPERLINK("https%3A%2F%2Fwww.webofscience.com%2Fwos%2Fwoscc%2Ffull-record%2FWOS:001041792400001","View Full Record in Web of Science")</f>
        <v>View Full Record in Web of Science</v>
      </c>
    </row>
    <row r="804" spans="1:72" x14ac:dyDescent="0.15">
      <c r="A804" t="s">
        <v>72</v>
      </c>
      <c r="B804" t="s">
        <v>15137</v>
      </c>
      <c r="C804" t="s">
        <v>74</v>
      </c>
      <c r="D804" t="s">
        <v>74</v>
      </c>
      <c r="E804" t="s">
        <v>74</v>
      </c>
      <c r="F804" t="s">
        <v>15138</v>
      </c>
      <c r="G804" t="s">
        <v>74</v>
      </c>
      <c r="H804" t="s">
        <v>74</v>
      </c>
      <c r="I804" t="s">
        <v>15139</v>
      </c>
      <c r="J804" t="s">
        <v>2455</v>
      </c>
      <c r="K804" t="s">
        <v>74</v>
      </c>
      <c r="L804" t="s">
        <v>74</v>
      </c>
      <c r="M804" t="s">
        <v>78</v>
      </c>
      <c r="N804" t="s">
        <v>338</v>
      </c>
      <c r="O804" t="s">
        <v>74</v>
      </c>
      <c r="P804" t="s">
        <v>74</v>
      </c>
      <c r="Q804" t="s">
        <v>74</v>
      </c>
      <c r="R804" t="s">
        <v>74</v>
      </c>
      <c r="S804" t="s">
        <v>74</v>
      </c>
      <c r="T804" t="s">
        <v>15140</v>
      </c>
      <c r="U804" t="s">
        <v>15141</v>
      </c>
      <c r="V804" t="s">
        <v>15142</v>
      </c>
      <c r="W804" t="s">
        <v>15143</v>
      </c>
      <c r="X804" t="s">
        <v>15144</v>
      </c>
      <c r="Y804" t="s">
        <v>15145</v>
      </c>
      <c r="Z804" t="s">
        <v>15146</v>
      </c>
      <c r="AA804" t="s">
        <v>15147</v>
      </c>
      <c r="AB804" t="s">
        <v>15148</v>
      </c>
      <c r="AC804" t="s">
        <v>15149</v>
      </c>
      <c r="AD804" t="s">
        <v>15149</v>
      </c>
      <c r="AE804" t="s">
        <v>15149</v>
      </c>
      <c r="AF804" t="s">
        <v>74</v>
      </c>
      <c r="AG804">
        <v>66</v>
      </c>
      <c r="AH804">
        <v>0</v>
      </c>
      <c r="AI804">
        <v>0</v>
      </c>
      <c r="AJ804">
        <v>1</v>
      </c>
      <c r="AK804">
        <v>1</v>
      </c>
      <c r="AL804" t="s">
        <v>87</v>
      </c>
      <c r="AM804" t="s">
        <v>88</v>
      </c>
      <c r="AN804" t="s">
        <v>89</v>
      </c>
      <c r="AO804" t="s">
        <v>2467</v>
      </c>
      <c r="AP804" t="s">
        <v>2468</v>
      </c>
      <c r="AQ804" t="s">
        <v>74</v>
      </c>
      <c r="AR804" t="s">
        <v>2469</v>
      </c>
      <c r="AS804" t="s">
        <v>2470</v>
      </c>
      <c r="AT804" t="s">
        <v>14884</v>
      </c>
      <c r="AU804">
        <v>2023</v>
      </c>
      <c r="AV804" t="s">
        <v>74</v>
      </c>
      <c r="AW804" t="s">
        <v>74</v>
      </c>
      <c r="AX804" t="s">
        <v>74</v>
      </c>
      <c r="AY804" t="s">
        <v>74</v>
      </c>
      <c r="AZ804" t="s">
        <v>74</v>
      </c>
      <c r="BA804" t="s">
        <v>74</v>
      </c>
      <c r="BB804" t="s">
        <v>74</v>
      </c>
      <c r="BC804" t="s">
        <v>74</v>
      </c>
      <c r="BD804" t="s">
        <v>74</v>
      </c>
      <c r="BE804" t="s">
        <v>15150</v>
      </c>
      <c r="BF804" t="str">
        <f>HYPERLINK("http://dx.doi.org/10.1111/sltb.12980","http://dx.doi.org/10.1111/sltb.12980")</f>
        <v>http://dx.doi.org/10.1111/sltb.12980</v>
      </c>
      <c r="BG804" t="s">
        <v>74</v>
      </c>
      <c r="BH804" t="s">
        <v>7524</v>
      </c>
      <c r="BI804">
        <v>16</v>
      </c>
      <c r="BJ804" t="s">
        <v>2472</v>
      </c>
      <c r="BK804" t="s">
        <v>546</v>
      </c>
      <c r="BL804" t="s">
        <v>2473</v>
      </c>
      <c r="BM804" t="s">
        <v>15151</v>
      </c>
      <c r="BN804">
        <v>37530468</v>
      </c>
      <c r="BO804" t="s">
        <v>122</v>
      </c>
      <c r="BP804" t="s">
        <v>74</v>
      </c>
      <c r="BQ804" t="s">
        <v>74</v>
      </c>
      <c r="BR804" t="s">
        <v>99</v>
      </c>
      <c r="BS804" t="s">
        <v>15152</v>
      </c>
      <c r="BT804" t="str">
        <f>HYPERLINK("https%3A%2F%2Fwww.webofscience.com%2Fwos%2Fwoscc%2Ffull-record%2FWOS:001041106500001","View Full Record in Web of Science")</f>
        <v>View Full Record in Web of Science</v>
      </c>
    </row>
    <row r="805" spans="1:72" x14ac:dyDescent="0.15">
      <c r="A805" t="s">
        <v>72</v>
      </c>
      <c r="B805" t="s">
        <v>15153</v>
      </c>
      <c r="C805" t="s">
        <v>74</v>
      </c>
      <c r="D805" t="s">
        <v>74</v>
      </c>
      <c r="E805" t="s">
        <v>74</v>
      </c>
      <c r="F805" t="s">
        <v>15154</v>
      </c>
      <c r="G805" t="s">
        <v>74</v>
      </c>
      <c r="H805" t="s">
        <v>74</v>
      </c>
      <c r="I805" t="s">
        <v>15155</v>
      </c>
      <c r="J805" t="s">
        <v>4773</v>
      </c>
      <c r="K805" t="s">
        <v>74</v>
      </c>
      <c r="L805" t="s">
        <v>74</v>
      </c>
      <c r="M805" t="s">
        <v>78</v>
      </c>
      <c r="N805" t="s">
        <v>594</v>
      </c>
      <c r="O805" t="s">
        <v>74</v>
      </c>
      <c r="P805" t="s">
        <v>74</v>
      </c>
      <c r="Q805" t="s">
        <v>74</v>
      </c>
      <c r="R805" t="s">
        <v>74</v>
      </c>
      <c r="S805" t="s">
        <v>74</v>
      </c>
      <c r="T805" t="s">
        <v>15156</v>
      </c>
      <c r="U805" t="s">
        <v>15157</v>
      </c>
      <c r="V805" t="s">
        <v>15158</v>
      </c>
      <c r="W805" t="s">
        <v>15159</v>
      </c>
      <c r="X805" t="s">
        <v>15160</v>
      </c>
      <c r="Y805" t="s">
        <v>15161</v>
      </c>
      <c r="Z805" t="s">
        <v>15162</v>
      </c>
      <c r="AA805" t="s">
        <v>15163</v>
      </c>
      <c r="AB805" t="s">
        <v>15164</v>
      </c>
      <c r="AC805" t="s">
        <v>15165</v>
      </c>
      <c r="AD805" t="s">
        <v>11079</v>
      </c>
      <c r="AE805" t="s">
        <v>15166</v>
      </c>
      <c r="AF805" t="s">
        <v>74</v>
      </c>
      <c r="AG805">
        <v>178</v>
      </c>
      <c r="AH805">
        <v>0</v>
      </c>
      <c r="AI805">
        <v>0</v>
      </c>
      <c r="AJ805">
        <v>14</v>
      </c>
      <c r="AK805">
        <v>14</v>
      </c>
      <c r="AL805" t="s">
        <v>87</v>
      </c>
      <c r="AM805" t="s">
        <v>88</v>
      </c>
      <c r="AN805" t="s">
        <v>89</v>
      </c>
      <c r="AO805" t="s">
        <v>4785</v>
      </c>
      <c r="AP805" t="s">
        <v>4786</v>
      </c>
      <c r="AQ805" t="s">
        <v>74</v>
      </c>
      <c r="AR805" t="s">
        <v>4787</v>
      </c>
      <c r="AS805" t="s">
        <v>4788</v>
      </c>
      <c r="AT805" t="s">
        <v>14884</v>
      </c>
      <c r="AU805">
        <v>2023</v>
      </c>
      <c r="AV805" t="s">
        <v>74</v>
      </c>
      <c r="AW805" t="s">
        <v>74</v>
      </c>
      <c r="AX805" t="s">
        <v>74</v>
      </c>
      <c r="AY805" t="s">
        <v>74</v>
      </c>
      <c r="AZ805" t="s">
        <v>74</v>
      </c>
      <c r="BA805" t="s">
        <v>74</v>
      </c>
      <c r="BB805" t="s">
        <v>74</v>
      </c>
      <c r="BC805" t="s">
        <v>74</v>
      </c>
      <c r="BD805" t="s">
        <v>74</v>
      </c>
      <c r="BE805" t="s">
        <v>15167</v>
      </c>
      <c r="BF805" t="str">
        <f>HYPERLINK("http://dx.doi.org/10.1111/sapm.12625","http://dx.doi.org/10.1111/sapm.12625")</f>
        <v>http://dx.doi.org/10.1111/sapm.12625</v>
      </c>
      <c r="BG805" t="s">
        <v>74</v>
      </c>
      <c r="BH805" t="s">
        <v>7524</v>
      </c>
      <c r="BI805">
        <v>33</v>
      </c>
      <c r="BJ805" t="s">
        <v>1811</v>
      </c>
      <c r="BK805" t="s">
        <v>119</v>
      </c>
      <c r="BL805" t="s">
        <v>120</v>
      </c>
      <c r="BM805" t="s">
        <v>15168</v>
      </c>
      <c r="BN805" t="s">
        <v>74</v>
      </c>
      <c r="BO805" t="s">
        <v>4768</v>
      </c>
      <c r="BP805" t="s">
        <v>74</v>
      </c>
      <c r="BQ805" t="s">
        <v>74</v>
      </c>
      <c r="BR805" t="s">
        <v>99</v>
      </c>
      <c r="BS805" t="s">
        <v>15169</v>
      </c>
      <c r="BT805" t="str">
        <f>HYPERLINK("https%3A%2F%2Fwww.webofscience.com%2Fwos%2Fwoscc%2Ffull-record%2FWOS:001039598000001","View Full Record in Web of Science")</f>
        <v>View Full Record in Web of Science</v>
      </c>
    </row>
    <row r="806" spans="1:72" x14ac:dyDescent="0.15">
      <c r="A806" t="s">
        <v>72</v>
      </c>
      <c r="B806" t="s">
        <v>15170</v>
      </c>
      <c r="C806" t="s">
        <v>74</v>
      </c>
      <c r="D806" t="s">
        <v>74</v>
      </c>
      <c r="E806" t="s">
        <v>74</v>
      </c>
      <c r="F806" t="s">
        <v>15171</v>
      </c>
      <c r="G806" t="s">
        <v>74</v>
      </c>
      <c r="H806" t="s">
        <v>74</v>
      </c>
      <c r="I806" t="s">
        <v>15172</v>
      </c>
      <c r="J806" t="s">
        <v>15173</v>
      </c>
      <c r="K806" t="s">
        <v>74</v>
      </c>
      <c r="L806" t="s">
        <v>74</v>
      </c>
      <c r="M806" t="s">
        <v>78</v>
      </c>
      <c r="N806" t="s">
        <v>79</v>
      </c>
      <c r="O806" t="s">
        <v>74</v>
      </c>
      <c r="P806" t="s">
        <v>74</v>
      </c>
      <c r="Q806" t="s">
        <v>74</v>
      </c>
      <c r="R806" t="s">
        <v>74</v>
      </c>
      <c r="S806" t="s">
        <v>74</v>
      </c>
      <c r="T806" t="s">
        <v>74</v>
      </c>
      <c r="U806" t="s">
        <v>15174</v>
      </c>
      <c r="V806" t="s">
        <v>15175</v>
      </c>
      <c r="W806" t="s">
        <v>15176</v>
      </c>
      <c r="X806" t="s">
        <v>15177</v>
      </c>
      <c r="Y806" t="s">
        <v>15178</v>
      </c>
      <c r="Z806" t="s">
        <v>15179</v>
      </c>
      <c r="AA806" t="s">
        <v>74</v>
      </c>
      <c r="AB806" t="s">
        <v>15180</v>
      </c>
      <c r="AC806" t="s">
        <v>15181</v>
      </c>
      <c r="AD806" t="s">
        <v>15182</v>
      </c>
      <c r="AE806" t="s">
        <v>15183</v>
      </c>
      <c r="AF806" t="s">
        <v>74</v>
      </c>
      <c r="AG806">
        <v>53</v>
      </c>
      <c r="AH806">
        <v>0</v>
      </c>
      <c r="AI806">
        <v>0</v>
      </c>
      <c r="AJ806">
        <v>4</v>
      </c>
      <c r="AK806">
        <v>4</v>
      </c>
      <c r="AL806" t="s">
        <v>87</v>
      </c>
      <c r="AM806" t="s">
        <v>88</v>
      </c>
      <c r="AN806" t="s">
        <v>89</v>
      </c>
      <c r="AO806" t="s">
        <v>74</v>
      </c>
      <c r="AP806" t="s">
        <v>15184</v>
      </c>
      <c r="AQ806" t="s">
        <v>74</v>
      </c>
      <c r="AR806" t="s">
        <v>15185</v>
      </c>
      <c r="AS806" t="s">
        <v>15186</v>
      </c>
      <c r="AT806" t="s">
        <v>6725</v>
      </c>
      <c r="AU806">
        <v>2023</v>
      </c>
      <c r="AV806">
        <v>16</v>
      </c>
      <c r="AW806">
        <v>3</v>
      </c>
      <c r="AX806" t="s">
        <v>74</v>
      </c>
      <c r="AY806" t="s">
        <v>74</v>
      </c>
      <c r="AZ806" t="s">
        <v>74</v>
      </c>
      <c r="BA806" t="s">
        <v>74</v>
      </c>
      <c r="BB806" t="s">
        <v>74</v>
      </c>
      <c r="BC806" t="s">
        <v>74</v>
      </c>
      <c r="BD806" t="s">
        <v>74</v>
      </c>
      <c r="BE806" t="s">
        <v>15187</v>
      </c>
      <c r="BF806" t="str">
        <f>HYPERLINK("http://dx.doi.org/10.1002/tpg2.20376","http://dx.doi.org/10.1002/tpg2.20376")</f>
        <v>http://dx.doi.org/10.1002/tpg2.20376</v>
      </c>
      <c r="BG806" t="s">
        <v>74</v>
      </c>
      <c r="BH806" t="s">
        <v>7524</v>
      </c>
      <c r="BI806">
        <v>13</v>
      </c>
      <c r="BJ806" t="s">
        <v>15188</v>
      </c>
      <c r="BK806" t="s">
        <v>119</v>
      </c>
      <c r="BL806" t="s">
        <v>15188</v>
      </c>
      <c r="BM806" t="s">
        <v>15189</v>
      </c>
      <c r="BN806">
        <v>37529831</v>
      </c>
      <c r="BO806" t="s">
        <v>234</v>
      </c>
      <c r="BP806" t="s">
        <v>74</v>
      </c>
      <c r="BQ806" t="s">
        <v>74</v>
      </c>
      <c r="BR806" t="s">
        <v>99</v>
      </c>
      <c r="BS806" t="s">
        <v>15190</v>
      </c>
      <c r="BT806" t="str">
        <f>HYPERLINK("https%3A%2F%2Fwww.webofscience.com%2Fwos%2Fwoscc%2Ffull-record%2FWOS:001038911400001","View Full Record in Web of Science")</f>
        <v>View Full Record in Web of Science</v>
      </c>
    </row>
    <row r="807" spans="1:72" x14ac:dyDescent="0.15">
      <c r="A807" t="s">
        <v>72</v>
      </c>
      <c r="B807" t="s">
        <v>15191</v>
      </c>
      <c r="C807" t="s">
        <v>74</v>
      </c>
      <c r="D807" t="s">
        <v>74</v>
      </c>
      <c r="E807" t="s">
        <v>74</v>
      </c>
      <c r="F807" t="s">
        <v>15192</v>
      </c>
      <c r="G807" t="s">
        <v>74</v>
      </c>
      <c r="H807" t="s">
        <v>74</v>
      </c>
      <c r="I807" t="s">
        <v>15193</v>
      </c>
      <c r="J807" t="s">
        <v>5737</v>
      </c>
      <c r="K807" t="s">
        <v>74</v>
      </c>
      <c r="L807" t="s">
        <v>74</v>
      </c>
      <c r="M807" t="s">
        <v>78</v>
      </c>
      <c r="N807" t="s">
        <v>338</v>
      </c>
      <c r="O807" t="s">
        <v>74</v>
      </c>
      <c r="P807" t="s">
        <v>74</v>
      </c>
      <c r="Q807" t="s">
        <v>74</v>
      </c>
      <c r="R807" t="s">
        <v>74</v>
      </c>
      <c r="S807" t="s">
        <v>74</v>
      </c>
      <c r="T807" t="s">
        <v>15194</v>
      </c>
      <c r="U807" t="s">
        <v>15195</v>
      </c>
      <c r="V807" t="s">
        <v>15196</v>
      </c>
      <c r="W807" t="s">
        <v>15197</v>
      </c>
      <c r="X807" t="s">
        <v>15198</v>
      </c>
      <c r="Y807" t="s">
        <v>15199</v>
      </c>
      <c r="Z807" t="s">
        <v>15200</v>
      </c>
      <c r="AA807" t="s">
        <v>74</v>
      </c>
      <c r="AB807" t="s">
        <v>74</v>
      </c>
      <c r="AC807" t="s">
        <v>15201</v>
      </c>
      <c r="AD807" t="s">
        <v>15202</v>
      </c>
      <c r="AE807" t="s">
        <v>15203</v>
      </c>
      <c r="AF807" t="s">
        <v>74</v>
      </c>
      <c r="AG807">
        <v>50</v>
      </c>
      <c r="AH807">
        <v>0</v>
      </c>
      <c r="AI807">
        <v>0</v>
      </c>
      <c r="AJ807">
        <v>1</v>
      </c>
      <c r="AK807">
        <v>1</v>
      </c>
      <c r="AL807" t="s">
        <v>87</v>
      </c>
      <c r="AM807" t="s">
        <v>88</v>
      </c>
      <c r="AN807" t="s">
        <v>89</v>
      </c>
      <c r="AO807" t="s">
        <v>5747</v>
      </c>
      <c r="AP807" t="s">
        <v>5748</v>
      </c>
      <c r="AQ807" t="s">
        <v>74</v>
      </c>
      <c r="AR807" t="s">
        <v>5749</v>
      </c>
      <c r="AS807" t="s">
        <v>5750</v>
      </c>
      <c r="AT807" t="s">
        <v>14884</v>
      </c>
      <c r="AU807">
        <v>2023</v>
      </c>
      <c r="AV807" t="s">
        <v>74</v>
      </c>
      <c r="AW807" t="s">
        <v>74</v>
      </c>
      <c r="AX807" t="s">
        <v>74</v>
      </c>
      <c r="AY807" t="s">
        <v>74</v>
      </c>
      <c r="AZ807" t="s">
        <v>74</v>
      </c>
      <c r="BA807" t="s">
        <v>74</v>
      </c>
      <c r="BB807" t="s">
        <v>74</v>
      </c>
      <c r="BC807" t="s">
        <v>74</v>
      </c>
      <c r="BD807" t="s">
        <v>74</v>
      </c>
      <c r="BE807" t="s">
        <v>15204</v>
      </c>
      <c r="BF807" t="str">
        <f>HYPERLINK("http://dx.doi.org/10.1002/arch.22044","http://dx.doi.org/10.1002/arch.22044")</f>
        <v>http://dx.doi.org/10.1002/arch.22044</v>
      </c>
      <c r="BG807" t="s">
        <v>74</v>
      </c>
      <c r="BH807" t="s">
        <v>7524</v>
      </c>
      <c r="BI807">
        <v>16</v>
      </c>
      <c r="BJ807" t="s">
        <v>5753</v>
      </c>
      <c r="BK807" t="s">
        <v>119</v>
      </c>
      <c r="BL807" t="s">
        <v>5753</v>
      </c>
      <c r="BM807" t="s">
        <v>15205</v>
      </c>
      <c r="BN807">
        <v>37533191</v>
      </c>
      <c r="BO807" t="s">
        <v>301</v>
      </c>
      <c r="BP807" t="s">
        <v>74</v>
      </c>
      <c r="BQ807" t="s">
        <v>74</v>
      </c>
      <c r="BR807" t="s">
        <v>99</v>
      </c>
      <c r="BS807" t="s">
        <v>15206</v>
      </c>
      <c r="BT807" t="str">
        <f>HYPERLINK("https%3A%2F%2Fwww.webofscience.com%2Fwos%2Fwoscc%2Ffull-record%2FWOS:001041406700001","View Full Record in Web of Science")</f>
        <v>View Full Record in Web of Science</v>
      </c>
    </row>
    <row r="808" spans="1:72" x14ac:dyDescent="0.15">
      <c r="A808" t="s">
        <v>72</v>
      </c>
      <c r="B808" t="s">
        <v>15207</v>
      </c>
      <c r="C808" t="s">
        <v>74</v>
      </c>
      <c r="D808" t="s">
        <v>74</v>
      </c>
      <c r="E808" t="s">
        <v>74</v>
      </c>
      <c r="F808" t="s">
        <v>15208</v>
      </c>
      <c r="G808" t="s">
        <v>74</v>
      </c>
      <c r="H808" t="s">
        <v>74</v>
      </c>
      <c r="I808" t="s">
        <v>15209</v>
      </c>
      <c r="J808" t="s">
        <v>5817</v>
      </c>
      <c r="K808" t="s">
        <v>74</v>
      </c>
      <c r="L808" t="s">
        <v>74</v>
      </c>
      <c r="M808" t="s">
        <v>78</v>
      </c>
      <c r="N808" t="s">
        <v>79</v>
      </c>
      <c r="O808" t="s">
        <v>74</v>
      </c>
      <c r="P808" t="s">
        <v>74</v>
      </c>
      <c r="Q808" t="s">
        <v>74</v>
      </c>
      <c r="R808" t="s">
        <v>74</v>
      </c>
      <c r="S808" t="s">
        <v>74</v>
      </c>
      <c r="T808" t="s">
        <v>15210</v>
      </c>
      <c r="U808" t="s">
        <v>15211</v>
      </c>
      <c r="V808" t="s">
        <v>15212</v>
      </c>
      <c r="W808" t="s">
        <v>15213</v>
      </c>
      <c r="X808" t="s">
        <v>15214</v>
      </c>
      <c r="Y808" t="s">
        <v>15215</v>
      </c>
      <c r="Z808" t="s">
        <v>15216</v>
      </c>
      <c r="AA808" t="s">
        <v>74</v>
      </c>
      <c r="AB808" t="s">
        <v>15217</v>
      </c>
      <c r="AC808" t="s">
        <v>74</v>
      </c>
      <c r="AD808" t="s">
        <v>74</v>
      </c>
      <c r="AE808" t="s">
        <v>74</v>
      </c>
      <c r="AF808" t="s">
        <v>74</v>
      </c>
      <c r="AG808">
        <v>38</v>
      </c>
      <c r="AH808">
        <v>0</v>
      </c>
      <c r="AI808">
        <v>0</v>
      </c>
      <c r="AJ808">
        <v>0</v>
      </c>
      <c r="AK808">
        <v>0</v>
      </c>
      <c r="AL808" t="s">
        <v>87</v>
      </c>
      <c r="AM808" t="s">
        <v>88</v>
      </c>
      <c r="AN808" t="s">
        <v>89</v>
      </c>
      <c r="AO808" t="s">
        <v>5826</v>
      </c>
      <c r="AP808" t="s">
        <v>5827</v>
      </c>
      <c r="AQ808" t="s">
        <v>74</v>
      </c>
      <c r="AR808" t="s">
        <v>5828</v>
      </c>
      <c r="AS808" t="s">
        <v>5829</v>
      </c>
      <c r="AT808" t="s">
        <v>6725</v>
      </c>
      <c r="AU808">
        <v>2023</v>
      </c>
      <c r="AV808">
        <v>93</v>
      </c>
      <c r="AW808">
        <v>9</v>
      </c>
      <c r="AX808" t="s">
        <v>74</v>
      </c>
      <c r="AY808" t="s">
        <v>74</v>
      </c>
      <c r="AZ808" t="s">
        <v>74</v>
      </c>
      <c r="BA808" t="s">
        <v>74</v>
      </c>
      <c r="BB808">
        <v>2132</v>
      </c>
      <c r="BC808">
        <v>2137</v>
      </c>
      <c r="BD808" t="s">
        <v>74</v>
      </c>
      <c r="BE808" t="s">
        <v>15218</v>
      </c>
      <c r="BF808" t="str">
        <f>HYPERLINK("http://dx.doi.org/10.1111/ans.18649","http://dx.doi.org/10.1111/ans.18649")</f>
        <v>http://dx.doi.org/10.1111/ans.18649</v>
      </c>
      <c r="BG808" t="s">
        <v>74</v>
      </c>
      <c r="BH808" t="s">
        <v>7524</v>
      </c>
      <c r="BI808">
        <v>6</v>
      </c>
      <c r="BJ808" t="s">
        <v>2374</v>
      </c>
      <c r="BK808" t="s">
        <v>119</v>
      </c>
      <c r="BL808" t="s">
        <v>2374</v>
      </c>
      <c r="BM808" t="s">
        <v>14199</v>
      </c>
      <c r="BN808">
        <v>37530170</v>
      </c>
      <c r="BO808" t="s">
        <v>74</v>
      </c>
      <c r="BP808" t="s">
        <v>74</v>
      </c>
      <c r="BQ808" t="s">
        <v>74</v>
      </c>
      <c r="BR808" t="s">
        <v>99</v>
      </c>
      <c r="BS808" t="s">
        <v>15219</v>
      </c>
      <c r="BT808" t="str">
        <f>HYPERLINK("https%3A%2F%2Fwww.webofscience.com%2Fwos%2Fwoscc%2Ffull-record%2FWOS:001041417200001","View Full Record in Web of Science")</f>
        <v>View Full Record in Web of Science</v>
      </c>
    </row>
    <row r="809" spans="1:72" x14ac:dyDescent="0.15">
      <c r="A809" t="s">
        <v>72</v>
      </c>
      <c r="B809" t="s">
        <v>15220</v>
      </c>
      <c r="C809" t="s">
        <v>74</v>
      </c>
      <c r="D809" t="s">
        <v>74</v>
      </c>
      <c r="E809" t="s">
        <v>74</v>
      </c>
      <c r="F809" t="s">
        <v>15221</v>
      </c>
      <c r="G809" t="s">
        <v>74</v>
      </c>
      <c r="H809" t="s">
        <v>74</v>
      </c>
      <c r="I809" t="s">
        <v>15222</v>
      </c>
      <c r="J809" t="s">
        <v>15223</v>
      </c>
      <c r="K809" t="s">
        <v>74</v>
      </c>
      <c r="L809" t="s">
        <v>74</v>
      </c>
      <c r="M809" t="s">
        <v>78</v>
      </c>
      <c r="N809" t="s">
        <v>338</v>
      </c>
      <c r="O809" t="s">
        <v>74</v>
      </c>
      <c r="P809" t="s">
        <v>74</v>
      </c>
      <c r="Q809" t="s">
        <v>74</v>
      </c>
      <c r="R809" t="s">
        <v>74</v>
      </c>
      <c r="S809" t="s">
        <v>74</v>
      </c>
      <c r="T809" t="s">
        <v>15224</v>
      </c>
      <c r="U809" t="s">
        <v>15225</v>
      </c>
      <c r="V809" t="s">
        <v>15226</v>
      </c>
      <c r="W809" t="s">
        <v>15227</v>
      </c>
      <c r="X809" t="s">
        <v>15228</v>
      </c>
      <c r="Y809" t="s">
        <v>15229</v>
      </c>
      <c r="Z809" t="s">
        <v>15230</v>
      </c>
      <c r="AA809" t="s">
        <v>74</v>
      </c>
      <c r="AB809" t="s">
        <v>15231</v>
      </c>
      <c r="AC809" t="s">
        <v>15232</v>
      </c>
      <c r="AD809" t="s">
        <v>15233</v>
      </c>
      <c r="AE809" t="s">
        <v>15234</v>
      </c>
      <c r="AF809" t="s">
        <v>74</v>
      </c>
      <c r="AG809">
        <v>110</v>
      </c>
      <c r="AH809">
        <v>1</v>
      </c>
      <c r="AI809">
        <v>1</v>
      </c>
      <c r="AJ809">
        <v>0</v>
      </c>
      <c r="AK809">
        <v>0</v>
      </c>
      <c r="AL809" t="s">
        <v>87</v>
      </c>
      <c r="AM809" t="s">
        <v>88</v>
      </c>
      <c r="AN809" t="s">
        <v>89</v>
      </c>
      <c r="AO809" t="s">
        <v>15235</v>
      </c>
      <c r="AP809" t="s">
        <v>15236</v>
      </c>
      <c r="AQ809" t="s">
        <v>74</v>
      </c>
      <c r="AR809" t="s">
        <v>15237</v>
      </c>
      <c r="AS809" t="s">
        <v>15238</v>
      </c>
      <c r="AT809" t="s">
        <v>14884</v>
      </c>
      <c r="AU809">
        <v>2023</v>
      </c>
      <c r="AV809" t="s">
        <v>74</v>
      </c>
      <c r="AW809" t="s">
        <v>74</v>
      </c>
      <c r="AX809" t="s">
        <v>74</v>
      </c>
      <c r="AY809" t="s">
        <v>74</v>
      </c>
      <c r="AZ809" t="s">
        <v>74</v>
      </c>
      <c r="BA809" t="s">
        <v>74</v>
      </c>
      <c r="BB809" t="s">
        <v>74</v>
      </c>
      <c r="BC809" t="s">
        <v>74</v>
      </c>
      <c r="BD809" t="s">
        <v>74</v>
      </c>
      <c r="BE809" t="s">
        <v>15239</v>
      </c>
      <c r="BF809" t="str">
        <f>HYPERLINK("http://dx.doi.org/10.1111/ede.12452","http://dx.doi.org/10.1111/ede.12452")</f>
        <v>http://dx.doi.org/10.1111/ede.12452</v>
      </c>
      <c r="BG809" t="s">
        <v>74</v>
      </c>
      <c r="BH809" t="s">
        <v>7524</v>
      </c>
      <c r="BI809">
        <v>19</v>
      </c>
      <c r="BJ809" t="s">
        <v>15240</v>
      </c>
      <c r="BK809" t="s">
        <v>119</v>
      </c>
      <c r="BL809" t="s">
        <v>15240</v>
      </c>
      <c r="BM809" t="s">
        <v>15241</v>
      </c>
      <c r="BN809">
        <v>37530093</v>
      </c>
      <c r="BO809" t="s">
        <v>74</v>
      </c>
      <c r="BP809" t="s">
        <v>74</v>
      </c>
      <c r="BQ809" t="s">
        <v>74</v>
      </c>
      <c r="BR809" t="s">
        <v>99</v>
      </c>
      <c r="BS809" t="s">
        <v>15242</v>
      </c>
      <c r="BT809" t="str">
        <f>HYPERLINK("https%3A%2F%2Fwww.webofscience.com%2Fwos%2Fwoscc%2Ffull-record%2FWOS:001041019500001","View Full Record in Web of Science")</f>
        <v>View Full Record in Web of Science</v>
      </c>
    </row>
    <row r="810" spans="1:72" x14ac:dyDescent="0.15">
      <c r="A810" t="s">
        <v>72</v>
      </c>
      <c r="B810" t="s">
        <v>15243</v>
      </c>
      <c r="C810" t="s">
        <v>74</v>
      </c>
      <c r="D810" t="s">
        <v>74</v>
      </c>
      <c r="E810" t="s">
        <v>74</v>
      </c>
      <c r="F810" t="s">
        <v>15244</v>
      </c>
      <c r="G810" t="s">
        <v>74</v>
      </c>
      <c r="H810" t="s">
        <v>74</v>
      </c>
      <c r="I810" t="s">
        <v>15245</v>
      </c>
      <c r="J810" t="s">
        <v>15246</v>
      </c>
      <c r="K810" t="s">
        <v>74</v>
      </c>
      <c r="L810" t="s">
        <v>74</v>
      </c>
      <c r="M810" t="s">
        <v>78</v>
      </c>
      <c r="N810" t="s">
        <v>1297</v>
      </c>
      <c r="O810" t="s">
        <v>74</v>
      </c>
      <c r="P810" t="s">
        <v>74</v>
      </c>
      <c r="Q810" t="s">
        <v>74</v>
      </c>
      <c r="R810" t="s">
        <v>74</v>
      </c>
      <c r="S810" t="s">
        <v>74</v>
      </c>
      <c r="T810" t="s">
        <v>74</v>
      </c>
      <c r="U810" t="s">
        <v>15247</v>
      </c>
      <c r="V810" t="s">
        <v>74</v>
      </c>
      <c r="W810" t="s">
        <v>15248</v>
      </c>
      <c r="X810" t="s">
        <v>15249</v>
      </c>
      <c r="Y810" t="s">
        <v>15250</v>
      </c>
      <c r="Z810" t="s">
        <v>15251</v>
      </c>
      <c r="AA810" t="s">
        <v>74</v>
      </c>
      <c r="AB810" t="s">
        <v>15252</v>
      </c>
      <c r="AC810" t="s">
        <v>15253</v>
      </c>
      <c r="AD810" t="s">
        <v>15254</v>
      </c>
      <c r="AE810" t="s">
        <v>15255</v>
      </c>
      <c r="AF810" t="s">
        <v>74</v>
      </c>
      <c r="AG810">
        <v>31</v>
      </c>
      <c r="AH810">
        <v>0</v>
      </c>
      <c r="AI810">
        <v>0</v>
      </c>
      <c r="AJ810">
        <v>1</v>
      </c>
      <c r="AK810">
        <v>1</v>
      </c>
      <c r="AL810" t="s">
        <v>87</v>
      </c>
      <c r="AM810" t="s">
        <v>88</v>
      </c>
      <c r="AN810" t="s">
        <v>89</v>
      </c>
      <c r="AO810" t="s">
        <v>15256</v>
      </c>
      <c r="AP810" t="s">
        <v>15257</v>
      </c>
      <c r="AQ810" t="s">
        <v>74</v>
      </c>
      <c r="AR810" t="s">
        <v>15258</v>
      </c>
      <c r="AS810" t="s">
        <v>15259</v>
      </c>
      <c r="AT810" t="s">
        <v>14884</v>
      </c>
      <c r="AU810">
        <v>2023</v>
      </c>
      <c r="AV810" t="s">
        <v>74</v>
      </c>
      <c r="AW810" t="s">
        <v>74</v>
      </c>
      <c r="AX810" t="s">
        <v>74</v>
      </c>
      <c r="AY810" t="s">
        <v>74</v>
      </c>
      <c r="AZ810" t="s">
        <v>74</v>
      </c>
      <c r="BA810" t="s">
        <v>74</v>
      </c>
      <c r="BB810" t="s">
        <v>74</v>
      </c>
      <c r="BC810" t="s">
        <v>74</v>
      </c>
      <c r="BD810" t="s">
        <v>74</v>
      </c>
      <c r="BE810" t="s">
        <v>15260</v>
      </c>
      <c r="BF810" t="str">
        <f>HYPERLINK("http://dx.doi.org/10.1111/jmwh.13555","http://dx.doi.org/10.1111/jmwh.13555")</f>
        <v>http://dx.doi.org/10.1111/jmwh.13555</v>
      </c>
      <c r="BG810" t="s">
        <v>74</v>
      </c>
      <c r="BH810" t="s">
        <v>7524</v>
      </c>
      <c r="BI810">
        <v>5</v>
      </c>
      <c r="BJ810" t="s">
        <v>5811</v>
      </c>
      <c r="BK810" t="s">
        <v>409</v>
      </c>
      <c r="BL810" t="s">
        <v>5811</v>
      </c>
      <c r="BM810" t="s">
        <v>15261</v>
      </c>
      <c r="BN810">
        <v>37531176</v>
      </c>
      <c r="BO810" t="s">
        <v>74</v>
      </c>
      <c r="BP810" t="s">
        <v>74</v>
      </c>
      <c r="BQ810" t="s">
        <v>74</v>
      </c>
      <c r="BR810" t="s">
        <v>99</v>
      </c>
      <c r="BS810" t="s">
        <v>15262</v>
      </c>
      <c r="BT810" t="str">
        <f>HYPERLINK("https%3A%2F%2Fwww.webofscience.com%2Fwos%2Fwoscc%2Ffull-record%2FWOS:001039692200001","View Full Record in Web of Science")</f>
        <v>View Full Record in Web of Science</v>
      </c>
    </row>
    <row r="811" spans="1:72" x14ac:dyDescent="0.15">
      <c r="A811" t="s">
        <v>72</v>
      </c>
      <c r="B811" t="s">
        <v>15263</v>
      </c>
      <c r="C811" t="s">
        <v>74</v>
      </c>
      <c r="D811" t="s">
        <v>74</v>
      </c>
      <c r="E811" t="s">
        <v>74</v>
      </c>
      <c r="F811" t="s">
        <v>15264</v>
      </c>
      <c r="G811" t="s">
        <v>74</v>
      </c>
      <c r="H811" t="s">
        <v>74</v>
      </c>
      <c r="I811" t="s">
        <v>15265</v>
      </c>
      <c r="J811" t="s">
        <v>7509</v>
      </c>
      <c r="K811" t="s">
        <v>74</v>
      </c>
      <c r="L811" t="s">
        <v>74</v>
      </c>
      <c r="M811" t="s">
        <v>78</v>
      </c>
      <c r="N811" t="s">
        <v>338</v>
      </c>
      <c r="O811" t="s">
        <v>74</v>
      </c>
      <c r="P811" t="s">
        <v>74</v>
      </c>
      <c r="Q811" t="s">
        <v>74</v>
      </c>
      <c r="R811" t="s">
        <v>74</v>
      </c>
      <c r="S811" t="s">
        <v>74</v>
      </c>
      <c r="T811" t="s">
        <v>15266</v>
      </c>
      <c r="U811" t="s">
        <v>15267</v>
      </c>
      <c r="V811" t="s">
        <v>15268</v>
      </c>
      <c r="W811" t="s">
        <v>15269</v>
      </c>
      <c r="X811" t="s">
        <v>15270</v>
      </c>
      <c r="Y811" t="s">
        <v>15271</v>
      </c>
      <c r="Z811" t="s">
        <v>15272</v>
      </c>
      <c r="AA811" t="s">
        <v>15273</v>
      </c>
      <c r="AB811" t="s">
        <v>15274</v>
      </c>
      <c r="AC811" t="s">
        <v>74</v>
      </c>
      <c r="AD811" t="s">
        <v>74</v>
      </c>
      <c r="AE811" t="s">
        <v>74</v>
      </c>
      <c r="AF811" t="s">
        <v>74</v>
      </c>
      <c r="AG811">
        <v>42</v>
      </c>
      <c r="AH811">
        <v>0</v>
      </c>
      <c r="AI811">
        <v>0</v>
      </c>
      <c r="AJ811">
        <v>0</v>
      </c>
      <c r="AK811">
        <v>0</v>
      </c>
      <c r="AL811" t="s">
        <v>87</v>
      </c>
      <c r="AM811" t="s">
        <v>88</v>
      </c>
      <c r="AN811" t="s">
        <v>89</v>
      </c>
      <c r="AO811" t="s">
        <v>7518</v>
      </c>
      <c r="AP811" t="s">
        <v>7519</v>
      </c>
      <c r="AQ811" t="s">
        <v>74</v>
      </c>
      <c r="AR811" t="s">
        <v>7520</v>
      </c>
      <c r="AS811" t="s">
        <v>7521</v>
      </c>
      <c r="AT811" t="s">
        <v>14884</v>
      </c>
      <c r="AU811">
        <v>2023</v>
      </c>
      <c r="AV811" t="s">
        <v>74</v>
      </c>
      <c r="AW811" t="s">
        <v>74</v>
      </c>
      <c r="AX811" t="s">
        <v>74</v>
      </c>
      <c r="AY811" t="s">
        <v>74</v>
      </c>
      <c r="AZ811" t="s">
        <v>74</v>
      </c>
      <c r="BA811" t="s">
        <v>74</v>
      </c>
      <c r="BB811" t="s">
        <v>74</v>
      </c>
      <c r="BC811" t="s">
        <v>74</v>
      </c>
      <c r="BD811" t="s">
        <v>74</v>
      </c>
      <c r="BE811" t="s">
        <v>15275</v>
      </c>
      <c r="BF811" t="str">
        <f>HYPERLINK("http://dx.doi.org/10.1002/jso.27413","http://dx.doi.org/10.1002/jso.27413")</f>
        <v>http://dx.doi.org/10.1002/jso.27413</v>
      </c>
      <c r="BG811" t="s">
        <v>74</v>
      </c>
      <c r="BH811" t="s">
        <v>7524</v>
      </c>
      <c r="BI811">
        <v>8</v>
      </c>
      <c r="BJ811" t="s">
        <v>7525</v>
      </c>
      <c r="BK811" t="s">
        <v>119</v>
      </c>
      <c r="BL811" t="s">
        <v>7525</v>
      </c>
      <c r="BM811" t="s">
        <v>15276</v>
      </c>
      <c r="BN811">
        <v>37529970</v>
      </c>
      <c r="BO811" t="s">
        <v>301</v>
      </c>
      <c r="BP811" t="s">
        <v>74</v>
      </c>
      <c r="BQ811" t="s">
        <v>74</v>
      </c>
      <c r="BR811" t="s">
        <v>99</v>
      </c>
      <c r="BS811" t="s">
        <v>15277</v>
      </c>
      <c r="BT811" t="str">
        <f>HYPERLINK("https%3A%2F%2Fwww.webofscience.com%2Fwos%2Fwoscc%2Ffull-record%2FWOS:001040994000001","View Full Record in Web of Science")</f>
        <v>View Full Record in Web of Science</v>
      </c>
    </row>
    <row r="812" spans="1:72" x14ac:dyDescent="0.15">
      <c r="A812" t="s">
        <v>72</v>
      </c>
      <c r="B812" t="s">
        <v>15278</v>
      </c>
      <c r="C812" t="s">
        <v>74</v>
      </c>
      <c r="D812" t="s">
        <v>74</v>
      </c>
      <c r="E812" t="s">
        <v>74</v>
      </c>
      <c r="F812" t="s">
        <v>15279</v>
      </c>
      <c r="G812" t="s">
        <v>74</v>
      </c>
      <c r="H812" t="s">
        <v>74</v>
      </c>
      <c r="I812" t="s">
        <v>15280</v>
      </c>
      <c r="J812" t="s">
        <v>3936</v>
      </c>
      <c r="K812" t="s">
        <v>74</v>
      </c>
      <c r="L812" t="s">
        <v>74</v>
      </c>
      <c r="M812" t="s">
        <v>78</v>
      </c>
      <c r="N812" t="s">
        <v>338</v>
      </c>
      <c r="O812" t="s">
        <v>74</v>
      </c>
      <c r="P812" t="s">
        <v>74</v>
      </c>
      <c r="Q812" t="s">
        <v>74</v>
      </c>
      <c r="R812" t="s">
        <v>74</v>
      </c>
      <c r="S812" t="s">
        <v>74</v>
      </c>
      <c r="T812" t="s">
        <v>15281</v>
      </c>
      <c r="U812" t="s">
        <v>15282</v>
      </c>
      <c r="V812" t="s">
        <v>15283</v>
      </c>
      <c r="W812" t="s">
        <v>15284</v>
      </c>
      <c r="X812" t="s">
        <v>15285</v>
      </c>
      <c r="Y812" t="s">
        <v>15286</v>
      </c>
      <c r="Z812" t="s">
        <v>15287</v>
      </c>
      <c r="AA812" t="s">
        <v>74</v>
      </c>
      <c r="AB812" t="s">
        <v>15288</v>
      </c>
      <c r="AC812" t="s">
        <v>15289</v>
      </c>
      <c r="AD812" t="s">
        <v>15290</v>
      </c>
      <c r="AE812" t="s">
        <v>15291</v>
      </c>
      <c r="AF812" t="s">
        <v>74</v>
      </c>
      <c r="AG812">
        <v>43</v>
      </c>
      <c r="AH812">
        <v>0</v>
      </c>
      <c r="AI812">
        <v>0</v>
      </c>
      <c r="AJ812">
        <v>2</v>
      </c>
      <c r="AK812">
        <v>2</v>
      </c>
      <c r="AL812" t="s">
        <v>87</v>
      </c>
      <c r="AM812" t="s">
        <v>88</v>
      </c>
      <c r="AN812" t="s">
        <v>89</v>
      </c>
      <c r="AO812" t="s">
        <v>3947</v>
      </c>
      <c r="AP812" t="s">
        <v>3948</v>
      </c>
      <c r="AQ812" t="s">
        <v>74</v>
      </c>
      <c r="AR812" t="s">
        <v>3949</v>
      </c>
      <c r="AS812" t="s">
        <v>3950</v>
      </c>
      <c r="AT812" t="s">
        <v>15292</v>
      </c>
      <c r="AU812">
        <v>2023</v>
      </c>
      <c r="AV812" t="s">
        <v>74</v>
      </c>
      <c r="AW812" t="s">
        <v>74</v>
      </c>
      <c r="AX812" t="s">
        <v>74</v>
      </c>
      <c r="AY812" t="s">
        <v>74</v>
      </c>
      <c r="AZ812" t="s">
        <v>74</v>
      </c>
      <c r="BA812" t="s">
        <v>74</v>
      </c>
      <c r="BB812" t="s">
        <v>74</v>
      </c>
      <c r="BC812" t="s">
        <v>74</v>
      </c>
      <c r="BD812" t="s">
        <v>74</v>
      </c>
      <c r="BE812" t="s">
        <v>15293</v>
      </c>
      <c r="BF812" t="str">
        <f>HYPERLINK("http://dx.doi.org/10.1002/pc.27597","http://dx.doi.org/10.1002/pc.27597")</f>
        <v>http://dx.doi.org/10.1002/pc.27597</v>
      </c>
      <c r="BG812" t="s">
        <v>74</v>
      </c>
      <c r="BH812" t="s">
        <v>7524</v>
      </c>
      <c r="BI812">
        <v>10</v>
      </c>
      <c r="BJ812" t="s">
        <v>3952</v>
      </c>
      <c r="BK812" t="s">
        <v>119</v>
      </c>
      <c r="BL812" t="s">
        <v>3953</v>
      </c>
      <c r="BM812" t="s">
        <v>15294</v>
      </c>
      <c r="BN812" t="s">
        <v>74</v>
      </c>
      <c r="BO812" t="s">
        <v>301</v>
      </c>
      <c r="BP812" t="s">
        <v>74</v>
      </c>
      <c r="BQ812" t="s">
        <v>74</v>
      </c>
      <c r="BR812" t="s">
        <v>99</v>
      </c>
      <c r="BS812" t="s">
        <v>15295</v>
      </c>
      <c r="BT812" t="str">
        <f>HYPERLINK("https%3A%2F%2Fwww.webofscience.com%2Fwos%2Fwoscc%2Ffull-record%2FWOS:001039121900001","View Full Record in Web of Science")</f>
        <v>View Full Record in Web of Science</v>
      </c>
    </row>
    <row r="813" spans="1:72" x14ac:dyDescent="0.15">
      <c r="A813" t="s">
        <v>72</v>
      </c>
      <c r="B813" t="s">
        <v>15296</v>
      </c>
      <c r="C813" t="s">
        <v>74</v>
      </c>
      <c r="D813" t="s">
        <v>74</v>
      </c>
      <c r="E813" t="s">
        <v>74</v>
      </c>
      <c r="F813" t="s">
        <v>15297</v>
      </c>
      <c r="G813" t="s">
        <v>74</v>
      </c>
      <c r="H813" t="s">
        <v>74</v>
      </c>
      <c r="I813" t="s">
        <v>15298</v>
      </c>
      <c r="J813" t="s">
        <v>15299</v>
      </c>
      <c r="K813" t="s">
        <v>74</v>
      </c>
      <c r="L813" t="s">
        <v>74</v>
      </c>
      <c r="M813" t="s">
        <v>78</v>
      </c>
      <c r="N813" t="s">
        <v>79</v>
      </c>
      <c r="O813" t="s">
        <v>74</v>
      </c>
      <c r="P813" t="s">
        <v>74</v>
      </c>
      <c r="Q813" t="s">
        <v>74</v>
      </c>
      <c r="R813" t="s">
        <v>74</v>
      </c>
      <c r="S813" t="s">
        <v>74</v>
      </c>
      <c r="T813" t="s">
        <v>15300</v>
      </c>
      <c r="U813" t="s">
        <v>15301</v>
      </c>
      <c r="V813" t="s">
        <v>15302</v>
      </c>
      <c r="W813" t="s">
        <v>15303</v>
      </c>
      <c r="X813" t="s">
        <v>15304</v>
      </c>
      <c r="Y813" t="s">
        <v>15305</v>
      </c>
      <c r="Z813" t="s">
        <v>15306</v>
      </c>
      <c r="AA813" t="s">
        <v>74</v>
      </c>
      <c r="AB813" t="s">
        <v>15307</v>
      </c>
      <c r="AC813" t="s">
        <v>15308</v>
      </c>
      <c r="AD813" t="s">
        <v>15309</v>
      </c>
      <c r="AE813" t="s">
        <v>15310</v>
      </c>
      <c r="AF813" t="s">
        <v>74</v>
      </c>
      <c r="AG813">
        <v>41</v>
      </c>
      <c r="AH813">
        <v>0</v>
      </c>
      <c r="AI813">
        <v>0</v>
      </c>
      <c r="AJ813">
        <v>1</v>
      </c>
      <c r="AK813">
        <v>1</v>
      </c>
      <c r="AL813" t="s">
        <v>87</v>
      </c>
      <c r="AM813" t="s">
        <v>88</v>
      </c>
      <c r="AN813" t="s">
        <v>89</v>
      </c>
      <c r="AO813" t="s">
        <v>74</v>
      </c>
      <c r="AP813" t="s">
        <v>15311</v>
      </c>
      <c r="AQ813" t="s">
        <v>74</v>
      </c>
      <c r="AR813" t="s">
        <v>15312</v>
      </c>
      <c r="AS813" t="s">
        <v>15313</v>
      </c>
      <c r="AT813" t="s">
        <v>11302</v>
      </c>
      <c r="AU813">
        <v>2023</v>
      </c>
      <c r="AV813">
        <v>13</v>
      </c>
      <c r="AW813">
        <v>8</v>
      </c>
      <c r="AX813" t="s">
        <v>74</v>
      </c>
      <c r="AY813" t="s">
        <v>74</v>
      </c>
      <c r="AZ813" t="s">
        <v>74</v>
      </c>
      <c r="BA813" t="s">
        <v>74</v>
      </c>
      <c r="BB813" t="s">
        <v>74</v>
      </c>
      <c r="BC813" t="s">
        <v>74</v>
      </c>
      <c r="BD813" t="s">
        <v>15314</v>
      </c>
      <c r="BE813" t="s">
        <v>15315</v>
      </c>
      <c r="BF813" t="str">
        <f>HYPERLINK("http://dx.doi.org/10.1002/clt2.12291","http://dx.doi.org/10.1002/clt2.12291")</f>
        <v>http://dx.doi.org/10.1002/clt2.12291</v>
      </c>
      <c r="BG813" t="s">
        <v>74</v>
      </c>
      <c r="BH813" t="s">
        <v>74</v>
      </c>
      <c r="BI813">
        <v>13</v>
      </c>
      <c r="BJ813" t="s">
        <v>5180</v>
      </c>
      <c r="BK813" t="s">
        <v>119</v>
      </c>
      <c r="BL813" t="s">
        <v>5180</v>
      </c>
      <c r="BM813" t="s">
        <v>15316</v>
      </c>
      <c r="BN813">
        <v>37632244</v>
      </c>
      <c r="BO813" t="s">
        <v>6877</v>
      </c>
      <c r="BP813" t="s">
        <v>74</v>
      </c>
      <c r="BQ813" t="s">
        <v>74</v>
      </c>
      <c r="BR813" t="s">
        <v>99</v>
      </c>
      <c r="BS813" t="s">
        <v>15317</v>
      </c>
      <c r="BT813" t="str">
        <f>HYPERLINK("https%3A%2F%2Fwww.webofscience.com%2Fwos%2Fwoscc%2Ffull-record%2FWOS:001043954700001","View Full Record in Web of Science")</f>
        <v>View Full Record in Web of Science</v>
      </c>
    </row>
    <row r="814" spans="1:72" x14ac:dyDescent="0.15">
      <c r="A814" t="s">
        <v>72</v>
      </c>
      <c r="B814" t="s">
        <v>15318</v>
      </c>
      <c r="C814" t="s">
        <v>74</v>
      </c>
      <c r="D814" t="s">
        <v>74</v>
      </c>
      <c r="E814" t="s">
        <v>74</v>
      </c>
      <c r="F814" t="s">
        <v>15319</v>
      </c>
      <c r="G814" t="s">
        <v>74</v>
      </c>
      <c r="H814" t="s">
        <v>74</v>
      </c>
      <c r="I814" t="s">
        <v>15320</v>
      </c>
      <c r="J814" t="s">
        <v>1216</v>
      </c>
      <c r="K814" t="s">
        <v>74</v>
      </c>
      <c r="L814" t="s">
        <v>74</v>
      </c>
      <c r="M814" t="s">
        <v>78</v>
      </c>
      <c r="N814" t="s">
        <v>79</v>
      </c>
      <c r="O814" t="s">
        <v>74</v>
      </c>
      <c r="P814" t="s">
        <v>74</v>
      </c>
      <c r="Q814" t="s">
        <v>74</v>
      </c>
      <c r="R814" t="s">
        <v>74</v>
      </c>
      <c r="S814" t="s">
        <v>74</v>
      </c>
      <c r="T814" t="s">
        <v>15321</v>
      </c>
      <c r="U814" t="s">
        <v>15322</v>
      </c>
      <c r="V814" t="s">
        <v>15323</v>
      </c>
      <c r="W814" t="s">
        <v>15324</v>
      </c>
      <c r="X814" t="s">
        <v>15325</v>
      </c>
      <c r="Y814" t="s">
        <v>15326</v>
      </c>
      <c r="Z814" t="s">
        <v>15327</v>
      </c>
      <c r="AA814" t="s">
        <v>74</v>
      </c>
      <c r="AB814" t="s">
        <v>74</v>
      </c>
      <c r="AC814" t="s">
        <v>74</v>
      </c>
      <c r="AD814" t="s">
        <v>74</v>
      </c>
      <c r="AE814" t="s">
        <v>74</v>
      </c>
      <c r="AF814" t="s">
        <v>74</v>
      </c>
      <c r="AG814">
        <v>61</v>
      </c>
      <c r="AH814">
        <v>4</v>
      </c>
      <c r="AI814">
        <v>4</v>
      </c>
      <c r="AJ814">
        <v>0</v>
      </c>
      <c r="AK814">
        <v>0</v>
      </c>
      <c r="AL814" t="s">
        <v>87</v>
      </c>
      <c r="AM814" t="s">
        <v>88</v>
      </c>
      <c r="AN814" t="s">
        <v>89</v>
      </c>
      <c r="AO814" t="s">
        <v>1224</v>
      </c>
      <c r="AP814" t="s">
        <v>1225</v>
      </c>
      <c r="AQ814" t="s">
        <v>74</v>
      </c>
      <c r="AR814" t="s">
        <v>1226</v>
      </c>
      <c r="AS814" t="s">
        <v>1227</v>
      </c>
      <c r="AT814" t="s">
        <v>11302</v>
      </c>
      <c r="AU814">
        <v>2023</v>
      </c>
      <c r="AV814">
        <v>162</v>
      </c>
      <c r="AW814" t="s">
        <v>74</v>
      </c>
      <c r="AX814" t="s">
        <v>74</v>
      </c>
      <c r="AY814">
        <v>2</v>
      </c>
      <c r="AZ814" t="s">
        <v>9665</v>
      </c>
      <c r="BA814" t="s">
        <v>74</v>
      </c>
      <c r="BB814">
        <v>68</v>
      </c>
      <c r="BC814">
        <v>77</v>
      </c>
      <c r="BD814" t="s">
        <v>74</v>
      </c>
      <c r="BE814" t="s">
        <v>15328</v>
      </c>
      <c r="BF814" t="str">
        <f>HYPERLINK("http://dx.doi.org/10.1002/ijgo.14949","http://dx.doi.org/10.1002/ijgo.14949")</f>
        <v>http://dx.doi.org/10.1002/ijgo.14949</v>
      </c>
      <c r="BG814" t="s">
        <v>74</v>
      </c>
      <c r="BH814" t="s">
        <v>74</v>
      </c>
      <c r="BI814">
        <v>10</v>
      </c>
      <c r="BJ814" t="s">
        <v>1229</v>
      </c>
      <c r="BK814" t="s">
        <v>119</v>
      </c>
      <c r="BL814" t="s">
        <v>1229</v>
      </c>
      <c r="BM814" t="s">
        <v>15329</v>
      </c>
      <c r="BN814">
        <v>37538014</v>
      </c>
      <c r="BO814" t="s">
        <v>122</v>
      </c>
      <c r="BP814" t="s">
        <v>74</v>
      </c>
      <c r="BQ814" t="s">
        <v>74</v>
      </c>
      <c r="BR814" t="s">
        <v>99</v>
      </c>
      <c r="BS814" t="s">
        <v>15330</v>
      </c>
      <c r="BT814" t="str">
        <f>HYPERLINK("https%3A%2F%2Fwww.webofscience.com%2Fwos%2Fwoscc%2Ffull-record%2FWOS:001042802400008","View Full Record in Web of Science")</f>
        <v>View Full Record in Web of Science</v>
      </c>
    </row>
    <row r="815" spans="1:72" x14ac:dyDescent="0.15">
      <c r="A815" t="s">
        <v>72</v>
      </c>
      <c r="B815" t="s">
        <v>15331</v>
      </c>
      <c r="C815" t="s">
        <v>74</v>
      </c>
      <c r="D815" t="s">
        <v>74</v>
      </c>
      <c r="E815" t="s">
        <v>74</v>
      </c>
      <c r="F815" t="s">
        <v>15332</v>
      </c>
      <c r="G815" t="s">
        <v>74</v>
      </c>
      <c r="H815" t="s">
        <v>74</v>
      </c>
      <c r="I815" t="s">
        <v>15333</v>
      </c>
      <c r="J815" t="s">
        <v>1587</v>
      </c>
      <c r="K815" t="s">
        <v>74</v>
      </c>
      <c r="L815" t="s">
        <v>74</v>
      </c>
      <c r="M815" t="s">
        <v>78</v>
      </c>
      <c r="N815" t="s">
        <v>307</v>
      </c>
      <c r="O815" t="s">
        <v>74</v>
      </c>
      <c r="P815" t="s">
        <v>74</v>
      </c>
      <c r="Q815" t="s">
        <v>74</v>
      </c>
      <c r="R815" t="s">
        <v>74</v>
      </c>
      <c r="S815" t="s">
        <v>74</v>
      </c>
      <c r="T815" t="s">
        <v>74</v>
      </c>
      <c r="U815" t="s">
        <v>74</v>
      </c>
      <c r="V815" t="s">
        <v>74</v>
      </c>
      <c r="W815" t="s">
        <v>15334</v>
      </c>
      <c r="X815" t="s">
        <v>15335</v>
      </c>
      <c r="Y815" t="s">
        <v>15336</v>
      </c>
      <c r="Z815" t="s">
        <v>15337</v>
      </c>
      <c r="AA815" t="s">
        <v>15338</v>
      </c>
      <c r="AB815" t="s">
        <v>15339</v>
      </c>
      <c r="AC815" t="s">
        <v>74</v>
      </c>
      <c r="AD815" t="s">
        <v>74</v>
      </c>
      <c r="AE815" t="s">
        <v>74</v>
      </c>
      <c r="AF815" t="s">
        <v>74</v>
      </c>
      <c r="AG815">
        <v>33</v>
      </c>
      <c r="AH815">
        <v>0</v>
      </c>
      <c r="AI815">
        <v>0</v>
      </c>
      <c r="AJ815">
        <v>3</v>
      </c>
      <c r="AK815">
        <v>3</v>
      </c>
      <c r="AL815" t="s">
        <v>87</v>
      </c>
      <c r="AM815" t="s">
        <v>88</v>
      </c>
      <c r="AN815" t="s">
        <v>89</v>
      </c>
      <c r="AO815" t="s">
        <v>1599</v>
      </c>
      <c r="AP815" t="s">
        <v>1600</v>
      </c>
      <c r="AQ815" t="s">
        <v>74</v>
      </c>
      <c r="AR815" t="s">
        <v>1601</v>
      </c>
      <c r="AS815" t="s">
        <v>1602</v>
      </c>
      <c r="AT815" t="s">
        <v>11302</v>
      </c>
      <c r="AU815">
        <v>2023</v>
      </c>
      <c r="AV815">
        <v>26</v>
      </c>
      <c r="AW815">
        <v>8</v>
      </c>
      <c r="AX815" t="s">
        <v>74</v>
      </c>
      <c r="AY815" t="s">
        <v>74</v>
      </c>
      <c r="AZ815" t="s">
        <v>74</v>
      </c>
      <c r="BA815" t="s">
        <v>74</v>
      </c>
      <c r="BB815">
        <v>1435</v>
      </c>
      <c r="BC815">
        <v>1439</v>
      </c>
      <c r="BD815" t="s">
        <v>74</v>
      </c>
      <c r="BE815" t="s">
        <v>15340</v>
      </c>
      <c r="BF815" t="str">
        <f>HYPERLINK("http://dx.doi.org/10.1111/1756-185X.14766","http://dx.doi.org/10.1111/1756-185X.14766")</f>
        <v>http://dx.doi.org/10.1111/1756-185X.14766</v>
      </c>
      <c r="BG815" t="s">
        <v>74</v>
      </c>
      <c r="BH815" t="s">
        <v>74</v>
      </c>
      <c r="BI815">
        <v>5</v>
      </c>
      <c r="BJ815" t="s">
        <v>1604</v>
      </c>
      <c r="BK815" t="s">
        <v>119</v>
      </c>
      <c r="BL815" t="s">
        <v>1604</v>
      </c>
      <c r="BM815" t="s">
        <v>15341</v>
      </c>
      <c r="BN815">
        <v>37527023</v>
      </c>
      <c r="BO815" t="s">
        <v>301</v>
      </c>
      <c r="BP815" t="s">
        <v>74</v>
      </c>
      <c r="BQ815" t="s">
        <v>74</v>
      </c>
      <c r="BR815" t="s">
        <v>99</v>
      </c>
      <c r="BS815" t="s">
        <v>15342</v>
      </c>
      <c r="BT815" t="str">
        <f>HYPERLINK("https%3A%2F%2Fwww.webofscience.com%2Fwos%2Fwoscc%2Ffull-record%2FWOS:001041142000004","View Full Record in Web of Science")</f>
        <v>View Full Record in Web of Science</v>
      </c>
    </row>
    <row r="816" spans="1:72" x14ac:dyDescent="0.15">
      <c r="A816" t="s">
        <v>72</v>
      </c>
      <c r="B816" t="s">
        <v>15343</v>
      </c>
      <c r="C816" t="s">
        <v>74</v>
      </c>
      <c r="D816" t="s">
        <v>74</v>
      </c>
      <c r="E816" t="s">
        <v>74</v>
      </c>
      <c r="F816" t="s">
        <v>15344</v>
      </c>
      <c r="G816" t="s">
        <v>74</v>
      </c>
      <c r="H816" t="s">
        <v>74</v>
      </c>
      <c r="I816" t="s">
        <v>15345</v>
      </c>
      <c r="J816" t="s">
        <v>15346</v>
      </c>
      <c r="K816" t="s">
        <v>74</v>
      </c>
      <c r="L816" t="s">
        <v>74</v>
      </c>
      <c r="M816" t="s">
        <v>78</v>
      </c>
      <c r="N816" t="s">
        <v>79</v>
      </c>
      <c r="O816" t="s">
        <v>74</v>
      </c>
      <c r="P816" t="s">
        <v>74</v>
      </c>
      <c r="Q816" t="s">
        <v>74</v>
      </c>
      <c r="R816" t="s">
        <v>74</v>
      </c>
      <c r="S816" t="s">
        <v>74</v>
      </c>
      <c r="T816" t="s">
        <v>15347</v>
      </c>
      <c r="U816" t="s">
        <v>74</v>
      </c>
      <c r="V816" t="s">
        <v>15348</v>
      </c>
      <c r="W816" t="s">
        <v>74</v>
      </c>
      <c r="X816" t="s">
        <v>74</v>
      </c>
      <c r="Y816" t="s">
        <v>74</v>
      </c>
      <c r="Z816" t="s">
        <v>15349</v>
      </c>
      <c r="AA816" t="s">
        <v>15350</v>
      </c>
      <c r="AB816" t="s">
        <v>74</v>
      </c>
      <c r="AC816" t="s">
        <v>74</v>
      </c>
      <c r="AD816" t="s">
        <v>74</v>
      </c>
      <c r="AE816" t="s">
        <v>74</v>
      </c>
      <c r="AF816" t="s">
        <v>74</v>
      </c>
      <c r="AG816">
        <v>28</v>
      </c>
      <c r="AH816">
        <v>0</v>
      </c>
      <c r="AI816">
        <v>0</v>
      </c>
      <c r="AJ816">
        <v>0</v>
      </c>
      <c r="AK816">
        <v>0</v>
      </c>
      <c r="AL816" t="s">
        <v>87</v>
      </c>
      <c r="AM816" t="s">
        <v>88</v>
      </c>
      <c r="AN816" t="s">
        <v>1412</v>
      </c>
      <c r="AO816" t="s">
        <v>74</v>
      </c>
      <c r="AP816" t="s">
        <v>15351</v>
      </c>
      <c r="AQ816" t="s">
        <v>74</v>
      </c>
      <c r="AR816" t="s">
        <v>15352</v>
      </c>
      <c r="AS816" t="s">
        <v>15353</v>
      </c>
      <c r="AT816" t="s">
        <v>11302</v>
      </c>
      <c r="AU816">
        <v>2023</v>
      </c>
      <c r="AV816">
        <v>21</v>
      </c>
      <c r="AW816">
        <v>8</v>
      </c>
      <c r="AX816" t="s">
        <v>74</v>
      </c>
      <c r="AY816" t="s">
        <v>74</v>
      </c>
      <c r="AZ816" t="s">
        <v>74</v>
      </c>
      <c r="BA816" t="s">
        <v>74</v>
      </c>
      <c r="BB816" t="s">
        <v>74</v>
      </c>
      <c r="BC816" t="s">
        <v>74</v>
      </c>
      <c r="BD816" t="s">
        <v>15354</v>
      </c>
      <c r="BE816" t="s">
        <v>15355</v>
      </c>
      <c r="BF816" t="str">
        <f>HYPERLINK("http://dx.doi.org/10.2903/j.efsa.2023.8189","http://dx.doi.org/10.2903/j.efsa.2023.8189")</f>
        <v>http://dx.doi.org/10.2903/j.efsa.2023.8189</v>
      </c>
      <c r="BG816" t="s">
        <v>74</v>
      </c>
      <c r="BH816" t="s">
        <v>74</v>
      </c>
      <c r="BI816">
        <v>33</v>
      </c>
      <c r="BJ816" t="s">
        <v>433</v>
      </c>
      <c r="BK816" t="s">
        <v>119</v>
      </c>
      <c r="BL816" t="s">
        <v>433</v>
      </c>
      <c r="BM816" t="s">
        <v>15356</v>
      </c>
      <c r="BN816">
        <v>37560438</v>
      </c>
      <c r="BO816" t="s">
        <v>98</v>
      </c>
      <c r="BP816" t="s">
        <v>74</v>
      </c>
      <c r="BQ816" t="s">
        <v>74</v>
      </c>
      <c r="BR816" t="s">
        <v>99</v>
      </c>
      <c r="BS816" t="s">
        <v>15357</v>
      </c>
      <c r="BT816" t="str">
        <f>HYPERLINK("https%3A%2F%2Fwww.webofscience.com%2Fwos%2Fwoscc%2Ffull-record%2FWOS:001043741800001","View Full Record in Web of Science")</f>
        <v>View Full Record in Web of Science</v>
      </c>
    </row>
    <row r="817" spans="1:72" x14ac:dyDescent="0.15">
      <c r="A817" t="s">
        <v>72</v>
      </c>
      <c r="B817" t="s">
        <v>15358</v>
      </c>
      <c r="C817" t="s">
        <v>74</v>
      </c>
      <c r="D817" t="s">
        <v>74</v>
      </c>
      <c r="E817" t="s">
        <v>74</v>
      </c>
      <c r="F817" t="s">
        <v>15359</v>
      </c>
      <c r="G817" t="s">
        <v>74</v>
      </c>
      <c r="H817" t="s">
        <v>74</v>
      </c>
      <c r="I817" t="s">
        <v>15360</v>
      </c>
      <c r="J817" t="s">
        <v>4074</v>
      </c>
      <c r="K817" t="s">
        <v>74</v>
      </c>
      <c r="L817" t="s">
        <v>74</v>
      </c>
      <c r="M817" t="s">
        <v>78</v>
      </c>
      <c r="N817" t="s">
        <v>307</v>
      </c>
      <c r="O817" t="s">
        <v>74</v>
      </c>
      <c r="P817" t="s">
        <v>74</v>
      </c>
      <c r="Q817" t="s">
        <v>74</v>
      </c>
      <c r="R817" t="s">
        <v>74</v>
      </c>
      <c r="S817" t="s">
        <v>74</v>
      </c>
      <c r="T817" t="s">
        <v>15361</v>
      </c>
      <c r="U817" t="s">
        <v>74</v>
      </c>
      <c r="V817" t="s">
        <v>15362</v>
      </c>
      <c r="W817" t="s">
        <v>15363</v>
      </c>
      <c r="X817" t="s">
        <v>15364</v>
      </c>
      <c r="Y817" t="s">
        <v>15365</v>
      </c>
      <c r="Z817" t="s">
        <v>15366</v>
      </c>
      <c r="AA817" t="s">
        <v>74</v>
      </c>
      <c r="AB817" t="s">
        <v>15367</v>
      </c>
      <c r="AC817" t="s">
        <v>74</v>
      </c>
      <c r="AD817" t="s">
        <v>74</v>
      </c>
      <c r="AE817" t="s">
        <v>74</v>
      </c>
      <c r="AF817" t="s">
        <v>74</v>
      </c>
      <c r="AG817">
        <v>6</v>
      </c>
      <c r="AH817">
        <v>0</v>
      </c>
      <c r="AI817">
        <v>0</v>
      </c>
      <c r="AJ817">
        <v>0</v>
      </c>
      <c r="AK817">
        <v>0</v>
      </c>
      <c r="AL817" t="s">
        <v>87</v>
      </c>
      <c r="AM817" t="s">
        <v>88</v>
      </c>
      <c r="AN817" t="s">
        <v>89</v>
      </c>
      <c r="AO817" t="s">
        <v>4083</v>
      </c>
      <c r="AP817" t="s">
        <v>4084</v>
      </c>
      <c r="AQ817" t="s">
        <v>74</v>
      </c>
      <c r="AR817" t="s">
        <v>4074</v>
      </c>
      <c r="AS817" t="s">
        <v>4074</v>
      </c>
      <c r="AT817" t="s">
        <v>185</v>
      </c>
      <c r="AU817">
        <v>2023</v>
      </c>
      <c r="AV817">
        <v>102</v>
      </c>
      <c r="AW817">
        <v>4</v>
      </c>
      <c r="AX817" t="s">
        <v>74</v>
      </c>
      <c r="AY817" t="s">
        <v>74</v>
      </c>
      <c r="AZ817" t="s">
        <v>74</v>
      </c>
      <c r="BA817" t="s">
        <v>74</v>
      </c>
      <c r="BB817">
        <v>529</v>
      </c>
      <c r="BC817">
        <v>531</v>
      </c>
      <c r="BD817" t="s">
        <v>74</v>
      </c>
      <c r="BE817" t="s">
        <v>15368</v>
      </c>
      <c r="BF817" t="str">
        <f>HYPERLINK("http://dx.doi.org/10.1111/tan.15168","http://dx.doi.org/10.1111/tan.15168")</f>
        <v>http://dx.doi.org/10.1111/tan.15168</v>
      </c>
      <c r="BG817" t="s">
        <v>74</v>
      </c>
      <c r="BH817" t="s">
        <v>7524</v>
      </c>
      <c r="BI817">
        <v>3</v>
      </c>
      <c r="BJ817" t="s">
        <v>4086</v>
      </c>
      <c r="BK817" t="s">
        <v>119</v>
      </c>
      <c r="BL817" t="s">
        <v>4086</v>
      </c>
      <c r="BM817" t="s">
        <v>15369</v>
      </c>
      <c r="BN817">
        <v>37528668</v>
      </c>
      <c r="BO817" t="s">
        <v>74</v>
      </c>
      <c r="BP817" t="s">
        <v>74</v>
      </c>
      <c r="BQ817" t="s">
        <v>74</v>
      </c>
      <c r="BR817" t="s">
        <v>99</v>
      </c>
      <c r="BS817" t="s">
        <v>15370</v>
      </c>
      <c r="BT817" t="str">
        <f>HYPERLINK("https%3A%2F%2Fwww.webofscience.com%2Fwos%2Fwoscc%2Ffull-record%2FWOS:001038693700001","View Full Record in Web of Science")</f>
        <v>View Full Record in Web of Science</v>
      </c>
    </row>
    <row r="818" spans="1:72" x14ac:dyDescent="0.15">
      <c r="A818" t="s">
        <v>72</v>
      </c>
      <c r="B818" t="s">
        <v>15371</v>
      </c>
      <c r="C818" t="s">
        <v>74</v>
      </c>
      <c r="D818" t="s">
        <v>74</v>
      </c>
      <c r="E818" t="s">
        <v>74</v>
      </c>
      <c r="F818" t="s">
        <v>15372</v>
      </c>
      <c r="G818" t="s">
        <v>74</v>
      </c>
      <c r="H818" t="s">
        <v>74</v>
      </c>
      <c r="I818" t="s">
        <v>15373</v>
      </c>
      <c r="J818" t="s">
        <v>896</v>
      </c>
      <c r="K818" t="s">
        <v>74</v>
      </c>
      <c r="L818" t="s">
        <v>74</v>
      </c>
      <c r="M818" t="s">
        <v>78</v>
      </c>
      <c r="N818" t="s">
        <v>79</v>
      </c>
      <c r="O818" t="s">
        <v>74</v>
      </c>
      <c r="P818" t="s">
        <v>74</v>
      </c>
      <c r="Q818" t="s">
        <v>74</v>
      </c>
      <c r="R818" t="s">
        <v>74</v>
      </c>
      <c r="S818" t="s">
        <v>74</v>
      </c>
      <c r="T818" t="s">
        <v>15374</v>
      </c>
      <c r="U818" t="s">
        <v>15375</v>
      </c>
      <c r="V818" t="s">
        <v>15376</v>
      </c>
      <c r="W818" t="s">
        <v>15377</v>
      </c>
      <c r="X818" t="s">
        <v>15378</v>
      </c>
      <c r="Y818" t="s">
        <v>15379</v>
      </c>
      <c r="Z818" t="s">
        <v>15380</v>
      </c>
      <c r="AA818" t="s">
        <v>74</v>
      </c>
      <c r="AB818" t="s">
        <v>15381</v>
      </c>
      <c r="AC818" t="s">
        <v>15382</v>
      </c>
      <c r="AD818" t="s">
        <v>15383</v>
      </c>
      <c r="AE818" t="s">
        <v>15384</v>
      </c>
      <c r="AF818" t="s">
        <v>74</v>
      </c>
      <c r="AG818">
        <v>94</v>
      </c>
      <c r="AH818">
        <v>0</v>
      </c>
      <c r="AI818">
        <v>0</v>
      </c>
      <c r="AJ818">
        <v>6</v>
      </c>
      <c r="AK818">
        <v>6</v>
      </c>
      <c r="AL818" t="s">
        <v>87</v>
      </c>
      <c r="AM818" t="s">
        <v>88</v>
      </c>
      <c r="AN818" t="s">
        <v>89</v>
      </c>
      <c r="AO818" t="s">
        <v>908</v>
      </c>
      <c r="AP818" t="s">
        <v>909</v>
      </c>
      <c r="AQ818" t="s">
        <v>74</v>
      </c>
      <c r="AR818" t="s">
        <v>910</v>
      </c>
      <c r="AS818" t="s">
        <v>911</v>
      </c>
      <c r="AT818" t="s">
        <v>6725</v>
      </c>
      <c r="AU818">
        <v>2023</v>
      </c>
      <c r="AV818">
        <v>32</v>
      </c>
      <c r="AW818">
        <v>18</v>
      </c>
      <c r="AX818" t="s">
        <v>74</v>
      </c>
      <c r="AY818" t="s">
        <v>74</v>
      </c>
      <c r="AZ818" t="s">
        <v>74</v>
      </c>
      <c r="BA818" t="s">
        <v>74</v>
      </c>
      <c r="BB818">
        <v>5089</v>
      </c>
      <c r="BC818">
        <v>5109</v>
      </c>
      <c r="BD818" t="s">
        <v>74</v>
      </c>
      <c r="BE818" t="s">
        <v>15385</v>
      </c>
      <c r="BF818" t="str">
        <f>HYPERLINK("http://dx.doi.org/10.1111/mec.17089","http://dx.doi.org/10.1111/mec.17089")</f>
        <v>http://dx.doi.org/10.1111/mec.17089</v>
      </c>
      <c r="BG818" t="s">
        <v>74</v>
      </c>
      <c r="BH818" t="s">
        <v>7524</v>
      </c>
      <c r="BI818">
        <v>21</v>
      </c>
      <c r="BJ818" t="s">
        <v>914</v>
      </c>
      <c r="BK818" t="s">
        <v>119</v>
      </c>
      <c r="BL818" t="s">
        <v>915</v>
      </c>
      <c r="BM818" t="s">
        <v>15386</v>
      </c>
      <c r="BN818">
        <v>37526137</v>
      </c>
      <c r="BO818" t="s">
        <v>15387</v>
      </c>
      <c r="BP818" t="s">
        <v>74</v>
      </c>
      <c r="BQ818" t="s">
        <v>74</v>
      </c>
      <c r="BR818" t="s">
        <v>99</v>
      </c>
      <c r="BS818" t="s">
        <v>15388</v>
      </c>
      <c r="BT818" t="str">
        <f>HYPERLINK("https%3A%2F%2Fwww.webofscience.com%2Fwos%2Fwoscc%2Ffull-record%2FWOS:001040992800001","View Full Record in Web of Science")</f>
        <v>View Full Record in Web of Science</v>
      </c>
    </row>
    <row r="819" spans="1:72" x14ac:dyDescent="0.15">
      <c r="A819" t="s">
        <v>72</v>
      </c>
      <c r="B819" t="s">
        <v>15389</v>
      </c>
      <c r="C819" t="s">
        <v>74</v>
      </c>
      <c r="D819" t="s">
        <v>74</v>
      </c>
      <c r="E819" t="s">
        <v>74</v>
      </c>
      <c r="F819" t="s">
        <v>15390</v>
      </c>
      <c r="G819" t="s">
        <v>74</v>
      </c>
      <c r="H819" t="s">
        <v>74</v>
      </c>
      <c r="I819" t="s">
        <v>15391</v>
      </c>
      <c r="J819" t="s">
        <v>14746</v>
      </c>
      <c r="K819" t="s">
        <v>74</v>
      </c>
      <c r="L819" t="s">
        <v>74</v>
      </c>
      <c r="M819" t="s">
        <v>78</v>
      </c>
      <c r="N819" t="s">
        <v>52</v>
      </c>
      <c r="O819" t="s">
        <v>74</v>
      </c>
      <c r="P819" t="s">
        <v>74</v>
      </c>
      <c r="Q819" t="s">
        <v>74</v>
      </c>
      <c r="R819" t="s">
        <v>74</v>
      </c>
      <c r="S819" t="s">
        <v>74</v>
      </c>
      <c r="T819" t="s">
        <v>74</v>
      </c>
      <c r="U819" t="s">
        <v>74</v>
      </c>
      <c r="V819" t="s">
        <v>74</v>
      </c>
      <c r="W819" t="s">
        <v>15392</v>
      </c>
      <c r="X819" t="s">
        <v>15393</v>
      </c>
      <c r="Y819" t="s">
        <v>74</v>
      </c>
      <c r="Z819" t="s">
        <v>74</v>
      </c>
      <c r="AA819" t="s">
        <v>74</v>
      </c>
      <c r="AB819" t="s">
        <v>74</v>
      </c>
      <c r="AC819" t="s">
        <v>74</v>
      </c>
      <c r="AD819" t="s">
        <v>74</v>
      </c>
      <c r="AE819" t="s">
        <v>74</v>
      </c>
      <c r="AF819" t="s">
        <v>74</v>
      </c>
      <c r="AG819">
        <v>0</v>
      </c>
      <c r="AH819">
        <v>0</v>
      </c>
      <c r="AI819">
        <v>0</v>
      </c>
      <c r="AJ819">
        <v>0</v>
      </c>
      <c r="AK819">
        <v>0</v>
      </c>
      <c r="AL819" t="s">
        <v>87</v>
      </c>
      <c r="AM819" t="s">
        <v>88</v>
      </c>
      <c r="AN819" t="s">
        <v>89</v>
      </c>
      <c r="AO819" t="s">
        <v>14757</v>
      </c>
      <c r="AP819" t="s">
        <v>14758</v>
      </c>
      <c r="AQ819" t="s">
        <v>74</v>
      </c>
      <c r="AR819" t="s">
        <v>14759</v>
      </c>
      <c r="AS819" t="s">
        <v>14760</v>
      </c>
      <c r="AT819" t="s">
        <v>11302</v>
      </c>
      <c r="AU819">
        <v>2023</v>
      </c>
      <c r="AV819">
        <v>35</v>
      </c>
      <c r="AW819" t="s">
        <v>74</v>
      </c>
      <c r="AX819" t="s">
        <v>74</v>
      </c>
      <c r="AY819">
        <v>1</v>
      </c>
      <c r="AZ819" t="s">
        <v>9665</v>
      </c>
      <c r="BA819">
        <v>30</v>
      </c>
      <c r="BB819" t="s">
        <v>74</v>
      </c>
      <c r="BC819" t="s">
        <v>74</v>
      </c>
      <c r="BD819" t="s">
        <v>74</v>
      </c>
      <c r="BE819" t="s">
        <v>74</v>
      </c>
      <c r="BF819" t="s">
        <v>74</v>
      </c>
      <c r="BG819" t="s">
        <v>74</v>
      </c>
      <c r="BH819" t="s">
        <v>74</v>
      </c>
      <c r="BI819">
        <v>2</v>
      </c>
      <c r="BJ819" t="s">
        <v>14762</v>
      </c>
      <c r="BK819" t="s">
        <v>119</v>
      </c>
      <c r="BL819" t="s">
        <v>14763</v>
      </c>
      <c r="BM819" t="s">
        <v>15394</v>
      </c>
      <c r="BN819" t="s">
        <v>74</v>
      </c>
      <c r="BO819" t="s">
        <v>74</v>
      </c>
      <c r="BP819" t="s">
        <v>74</v>
      </c>
      <c r="BQ819" t="s">
        <v>74</v>
      </c>
      <c r="BR819" t="s">
        <v>99</v>
      </c>
      <c r="BS819" t="s">
        <v>15395</v>
      </c>
      <c r="BT819" t="str">
        <f>HYPERLINK("https%3A%2F%2Fwww.webofscience.com%2Fwos%2Fwoscc%2Ffull-record%2FWOS:001058869800032","View Full Record in Web of Science")</f>
        <v>View Full Record in Web of Science</v>
      </c>
    </row>
    <row r="820" spans="1:72" x14ac:dyDescent="0.15">
      <c r="A820" t="s">
        <v>72</v>
      </c>
      <c r="B820" t="s">
        <v>15396</v>
      </c>
      <c r="C820" t="s">
        <v>74</v>
      </c>
      <c r="D820" t="s">
        <v>74</v>
      </c>
      <c r="E820" t="s">
        <v>74</v>
      </c>
      <c r="F820" t="s">
        <v>15397</v>
      </c>
      <c r="G820" t="s">
        <v>74</v>
      </c>
      <c r="H820" t="s">
        <v>74</v>
      </c>
      <c r="I820" t="s">
        <v>15398</v>
      </c>
      <c r="J820" t="s">
        <v>14362</v>
      </c>
      <c r="K820" t="s">
        <v>74</v>
      </c>
      <c r="L820" t="s">
        <v>74</v>
      </c>
      <c r="M820" t="s">
        <v>78</v>
      </c>
      <c r="N820" t="s">
        <v>338</v>
      </c>
      <c r="O820" t="s">
        <v>74</v>
      </c>
      <c r="P820" t="s">
        <v>74</v>
      </c>
      <c r="Q820" t="s">
        <v>74</v>
      </c>
      <c r="R820" t="s">
        <v>74</v>
      </c>
      <c r="S820" t="s">
        <v>74</v>
      </c>
      <c r="T820" t="s">
        <v>15399</v>
      </c>
      <c r="U820" t="s">
        <v>15400</v>
      </c>
      <c r="V820" t="s">
        <v>15401</v>
      </c>
      <c r="W820" t="s">
        <v>15402</v>
      </c>
      <c r="X820" t="s">
        <v>15403</v>
      </c>
      <c r="Y820" t="s">
        <v>15404</v>
      </c>
      <c r="Z820" t="s">
        <v>15405</v>
      </c>
      <c r="AA820" t="s">
        <v>15406</v>
      </c>
      <c r="AB820" t="s">
        <v>15407</v>
      </c>
      <c r="AC820" t="s">
        <v>15408</v>
      </c>
      <c r="AD820" t="s">
        <v>15409</v>
      </c>
      <c r="AE820" t="s">
        <v>15410</v>
      </c>
      <c r="AF820" t="s">
        <v>74</v>
      </c>
      <c r="AG820">
        <v>45</v>
      </c>
      <c r="AH820">
        <v>0</v>
      </c>
      <c r="AI820">
        <v>0</v>
      </c>
      <c r="AJ820">
        <v>17</v>
      </c>
      <c r="AK820">
        <v>17</v>
      </c>
      <c r="AL820" t="s">
        <v>426</v>
      </c>
      <c r="AM820" t="s">
        <v>427</v>
      </c>
      <c r="AN820" t="s">
        <v>428</v>
      </c>
      <c r="AO820" t="s">
        <v>14371</v>
      </c>
      <c r="AP820" t="s">
        <v>14372</v>
      </c>
      <c r="AQ820" t="s">
        <v>74</v>
      </c>
      <c r="AR820" t="s">
        <v>14373</v>
      </c>
      <c r="AS820" t="s">
        <v>14374</v>
      </c>
      <c r="AT820" t="s">
        <v>15292</v>
      </c>
      <c r="AU820">
        <v>2023</v>
      </c>
      <c r="AV820" t="s">
        <v>74</v>
      </c>
      <c r="AW820" t="s">
        <v>74</v>
      </c>
      <c r="AX820" t="s">
        <v>74</v>
      </c>
      <c r="AY820" t="s">
        <v>74</v>
      </c>
      <c r="AZ820" t="s">
        <v>74</v>
      </c>
      <c r="BA820" t="s">
        <v>74</v>
      </c>
      <c r="BB820" t="s">
        <v>74</v>
      </c>
      <c r="BC820" t="s">
        <v>74</v>
      </c>
      <c r="BD820" t="s">
        <v>74</v>
      </c>
      <c r="BE820" t="s">
        <v>15411</v>
      </c>
      <c r="BF820" t="str">
        <f>HYPERLINK("http://dx.doi.org/10.1002/ceat.202300137","http://dx.doi.org/10.1002/ceat.202300137")</f>
        <v>http://dx.doi.org/10.1002/ceat.202300137</v>
      </c>
      <c r="BG820" t="s">
        <v>74</v>
      </c>
      <c r="BH820" t="s">
        <v>7524</v>
      </c>
      <c r="BI820">
        <v>10</v>
      </c>
      <c r="BJ820" t="s">
        <v>8702</v>
      </c>
      <c r="BK820" t="s">
        <v>119</v>
      </c>
      <c r="BL820" t="s">
        <v>1250</v>
      </c>
      <c r="BM820" t="s">
        <v>15412</v>
      </c>
      <c r="BN820" t="s">
        <v>74</v>
      </c>
      <c r="BO820" t="s">
        <v>74</v>
      </c>
      <c r="BP820" t="s">
        <v>74</v>
      </c>
      <c r="BQ820" t="s">
        <v>74</v>
      </c>
      <c r="BR820" t="s">
        <v>99</v>
      </c>
      <c r="BS820" t="s">
        <v>15413</v>
      </c>
      <c r="BT820" t="str">
        <f>HYPERLINK("https%3A%2F%2Fwww.webofscience.com%2Fwos%2Fwoscc%2Ffull-record%2FWOS:001040523300001","View Full Record in Web of Science")</f>
        <v>View Full Record in Web of Science</v>
      </c>
    </row>
    <row r="821" spans="1:72" x14ac:dyDescent="0.15">
      <c r="A821" t="s">
        <v>72</v>
      </c>
      <c r="B821" t="s">
        <v>15414</v>
      </c>
      <c r="C821" t="s">
        <v>74</v>
      </c>
      <c r="D821" t="s">
        <v>74</v>
      </c>
      <c r="E821" t="s">
        <v>74</v>
      </c>
      <c r="F821" t="s">
        <v>15415</v>
      </c>
      <c r="G821" t="s">
        <v>74</v>
      </c>
      <c r="H821" t="s">
        <v>74</v>
      </c>
      <c r="I821" t="s">
        <v>15416</v>
      </c>
      <c r="J821" t="s">
        <v>15417</v>
      </c>
      <c r="K821" t="s">
        <v>74</v>
      </c>
      <c r="L821" t="s">
        <v>74</v>
      </c>
      <c r="M821" t="s">
        <v>78</v>
      </c>
      <c r="N821" t="s">
        <v>79</v>
      </c>
      <c r="O821" t="s">
        <v>74</v>
      </c>
      <c r="P821" t="s">
        <v>74</v>
      </c>
      <c r="Q821" t="s">
        <v>74</v>
      </c>
      <c r="R821" t="s">
        <v>74</v>
      </c>
      <c r="S821" t="s">
        <v>74</v>
      </c>
      <c r="T821" t="s">
        <v>15418</v>
      </c>
      <c r="U821" t="s">
        <v>15419</v>
      </c>
      <c r="V821" t="s">
        <v>15420</v>
      </c>
      <c r="W821" t="s">
        <v>15421</v>
      </c>
      <c r="X821" t="s">
        <v>15422</v>
      </c>
      <c r="Y821" t="s">
        <v>15423</v>
      </c>
      <c r="Z821" t="s">
        <v>15424</v>
      </c>
      <c r="AA821" t="s">
        <v>74</v>
      </c>
      <c r="AB821" t="s">
        <v>74</v>
      </c>
      <c r="AC821" t="s">
        <v>15425</v>
      </c>
      <c r="AD821" t="s">
        <v>15425</v>
      </c>
      <c r="AE821" t="s">
        <v>15426</v>
      </c>
      <c r="AF821" t="s">
        <v>74</v>
      </c>
      <c r="AG821">
        <v>13</v>
      </c>
      <c r="AH821">
        <v>0</v>
      </c>
      <c r="AI821">
        <v>0</v>
      </c>
      <c r="AJ821">
        <v>1</v>
      </c>
      <c r="AK821">
        <v>1</v>
      </c>
      <c r="AL821" t="s">
        <v>87</v>
      </c>
      <c r="AM821" t="s">
        <v>88</v>
      </c>
      <c r="AN821" t="s">
        <v>89</v>
      </c>
      <c r="AO821" t="s">
        <v>74</v>
      </c>
      <c r="AP821" t="s">
        <v>15427</v>
      </c>
      <c r="AQ821" t="s">
        <v>74</v>
      </c>
      <c r="AR821" t="s">
        <v>15428</v>
      </c>
      <c r="AS821" t="s">
        <v>15429</v>
      </c>
      <c r="AT821" t="s">
        <v>11302</v>
      </c>
      <c r="AU821">
        <v>2023</v>
      </c>
      <c r="AV821">
        <v>11</v>
      </c>
      <c r="AW821">
        <v>8</v>
      </c>
      <c r="AX821" t="s">
        <v>74</v>
      </c>
      <c r="AY821" t="s">
        <v>74</v>
      </c>
      <c r="AZ821" t="s">
        <v>74</v>
      </c>
      <c r="BA821" t="s">
        <v>74</v>
      </c>
      <c r="BB821" t="s">
        <v>74</v>
      </c>
      <c r="BC821" t="s">
        <v>74</v>
      </c>
      <c r="BD821" t="s">
        <v>15430</v>
      </c>
      <c r="BE821" t="s">
        <v>15431</v>
      </c>
      <c r="BF821" t="str">
        <f>HYPERLINK("http://dx.doi.org/10.1002/iid3.962","http://dx.doi.org/10.1002/iid3.962")</f>
        <v>http://dx.doi.org/10.1002/iid3.962</v>
      </c>
      <c r="BG821" t="s">
        <v>74</v>
      </c>
      <c r="BH821" t="s">
        <v>74</v>
      </c>
      <c r="BI821">
        <v>7</v>
      </c>
      <c r="BJ821" t="s">
        <v>5234</v>
      </c>
      <c r="BK821" t="s">
        <v>119</v>
      </c>
      <c r="BL821" t="s">
        <v>5234</v>
      </c>
      <c r="BM821" t="s">
        <v>15432</v>
      </c>
      <c r="BN821">
        <v>37647452</v>
      </c>
      <c r="BO821" t="s">
        <v>234</v>
      </c>
      <c r="BP821" t="s">
        <v>74</v>
      </c>
      <c r="BQ821" t="s">
        <v>74</v>
      </c>
      <c r="BR821" t="s">
        <v>99</v>
      </c>
      <c r="BS821" t="s">
        <v>15433</v>
      </c>
      <c r="BT821" t="str">
        <f>HYPERLINK("https%3A%2F%2Fwww.webofscience.com%2Fwos%2Fwoscc%2Ffull-record%2FWOS:001058350400005","View Full Record in Web of Science")</f>
        <v>View Full Record in Web of Science</v>
      </c>
    </row>
    <row r="822" spans="1:72" x14ac:dyDescent="0.15">
      <c r="A822" t="s">
        <v>72</v>
      </c>
      <c r="B822" t="s">
        <v>15434</v>
      </c>
      <c r="C822" t="s">
        <v>74</v>
      </c>
      <c r="D822" t="s">
        <v>74</v>
      </c>
      <c r="E822" t="s">
        <v>74</v>
      </c>
      <c r="F822" t="s">
        <v>15435</v>
      </c>
      <c r="G822" t="s">
        <v>74</v>
      </c>
      <c r="H822" t="s">
        <v>74</v>
      </c>
      <c r="I822" t="s">
        <v>15436</v>
      </c>
      <c r="J822" t="s">
        <v>6732</v>
      </c>
      <c r="K822" t="s">
        <v>74</v>
      </c>
      <c r="L822" t="s">
        <v>74</v>
      </c>
      <c r="M822" t="s">
        <v>78</v>
      </c>
      <c r="N822" t="s">
        <v>79</v>
      </c>
      <c r="O822" t="s">
        <v>74</v>
      </c>
      <c r="P822" t="s">
        <v>74</v>
      </c>
      <c r="Q822" t="s">
        <v>74</v>
      </c>
      <c r="R822" t="s">
        <v>74</v>
      </c>
      <c r="S822" t="s">
        <v>74</v>
      </c>
      <c r="T822" t="s">
        <v>15437</v>
      </c>
      <c r="U822" t="s">
        <v>15438</v>
      </c>
      <c r="V822" t="s">
        <v>15439</v>
      </c>
      <c r="W822" t="s">
        <v>15440</v>
      </c>
      <c r="X822" t="s">
        <v>15441</v>
      </c>
      <c r="Y822" t="s">
        <v>15442</v>
      </c>
      <c r="Z822" t="s">
        <v>15443</v>
      </c>
      <c r="AA822" t="s">
        <v>15444</v>
      </c>
      <c r="AB822" t="s">
        <v>15445</v>
      </c>
      <c r="AC822" t="s">
        <v>15446</v>
      </c>
      <c r="AD822" t="s">
        <v>15447</v>
      </c>
      <c r="AE822" t="s">
        <v>15448</v>
      </c>
      <c r="AF822" t="s">
        <v>74</v>
      </c>
      <c r="AG822">
        <v>125</v>
      </c>
      <c r="AH822">
        <v>0</v>
      </c>
      <c r="AI822">
        <v>0</v>
      </c>
      <c r="AJ822">
        <v>2</v>
      </c>
      <c r="AK822">
        <v>2</v>
      </c>
      <c r="AL822" t="s">
        <v>87</v>
      </c>
      <c r="AM822" t="s">
        <v>88</v>
      </c>
      <c r="AN822" t="s">
        <v>89</v>
      </c>
      <c r="AO822" t="s">
        <v>6742</v>
      </c>
      <c r="AP822" t="s">
        <v>74</v>
      </c>
      <c r="AQ822" t="s">
        <v>74</v>
      </c>
      <c r="AR822" t="s">
        <v>6743</v>
      </c>
      <c r="AS822" t="s">
        <v>6744</v>
      </c>
      <c r="AT822" t="s">
        <v>11302</v>
      </c>
      <c r="AU822">
        <v>2023</v>
      </c>
      <c r="AV822">
        <v>13</v>
      </c>
      <c r="AW822">
        <v>8</v>
      </c>
      <c r="AX822" t="s">
        <v>74</v>
      </c>
      <c r="AY822" t="s">
        <v>74</v>
      </c>
      <c r="AZ822" t="s">
        <v>74</v>
      </c>
      <c r="BA822" t="s">
        <v>74</v>
      </c>
      <c r="BB822" t="s">
        <v>74</v>
      </c>
      <c r="BC822" t="s">
        <v>74</v>
      </c>
      <c r="BD822" t="s">
        <v>15449</v>
      </c>
      <c r="BE822" t="s">
        <v>15450</v>
      </c>
      <c r="BF822" t="str">
        <f>HYPERLINK("http://dx.doi.org/10.1002/ece3.10383","http://dx.doi.org/10.1002/ece3.10383")</f>
        <v>http://dx.doi.org/10.1002/ece3.10383</v>
      </c>
      <c r="BG822" t="s">
        <v>74</v>
      </c>
      <c r="BH822" t="s">
        <v>74</v>
      </c>
      <c r="BI822">
        <v>18</v>
      </c>
      <c r="BJ822" t="s">
        <v>6747</v>
      </c>
      <c r="BK822" t="s">
        <v>119</v>
      </c>
      <c r="BL822" t="s">
        <v>6748</v>
      </c>
      <c r="BM822" t="s">
        <v>15451</v>
      </c>
      <c r="BN822">
        <v>37546570</v>
      </c>
      <c r="BO822" t="s">
        <v>6877</v>
      </c>
      <c r="BP822" t="s">
        <v>74</v>
      </c>
      <c r="BQ822" t="s">
        <v>74</v>
      </c>
      <c r="BR822" t="s">
        <v>99</v>
      </c>
      <c r="BS822" t="s">
        <v>15452</v>
      </c>
      <c r="BT822" t="str">
        <f>HYPERLINK("https%3A%2F%2Fwww.webofscience.com%2Fwos%2Fwoscc%2Ffull-record%2FWOS:001042815300001","View Full Record in Web of Science")</f>
        <v>View Full Record in Web of Science</v>
      </c>
    </row>
    <row r="823" spans="1:72" x14ac:dyDescent="0.15">
      <c r="A823" t="s">
        <v>72</v>
      </c>
      <c r="B823" t="s">
        <v>15453</v>
      </c>
      <c r="C823" t="s">
        <v>74</v>
      </c>
      <c r="D823" t="s">
        <v>74</v>
      </c>
      <c r="E823" t="s">
        <v>74</v>
      </c>
      <c r="F823" t="s">
        <v>15454</v>
      </c>
      <c r="G823" t="s">
        <v>74</v>
      </c>
      <c r="H823" t="s">
        <v>74</v>
      </c>
      <c r="I823" t="s">
        <v>15455</v>
      </c>
      <c r="J823" t="s">
        <v>7356</v>
      </c>
      <c r="K823" t="s">
        <v>74</v>
      </c>
      <c r="L823" t="s">
        <v>74</v>
      </c>
      <c r="M823" t="s">
        <v>78</v>
      </c>
      <c r="N823" t="s">
        <v>79</v>
      </c>
      <c r="O823" t="s">
        <v>74</v>
      </c>
      <c r="P823" t="s">
        <v>74</v>
      </c>
      <c r="Q823" t="s">
        <v>74</v>
      </c>
      <c r="R823" t="s">
        <v>74</v>
      </c>
      <c r="S823" t="s">
        <v>74</v>
      </c>
      <c r="T823" t="s">
        <v>15456</v>
      </c>
      <c r="U823" t="s">
        <v>15457</v>
      </c>
      <c r="V823" t="s">
        <v>15458</v>
      </c>
      <c r="W823" t="s">
        <v>15459</v>
      </c>
      <c r="X823" t="s">
        <v>15460</v>
      </c>
      <c r="Y823" t="s">
        <v>15461</v>
      </c>
      <c r="Z823" t="s">
        <v>15462</v>
      </c>
      <c r="AA823" t="s">
        <v>15463</v>
      </c>
      <c r="AB823" t="s">
        <v>15464</v>
      </c>
      <c r="AC823" t="s">
        <v>74</v>
      </c>
      <c r="AD823" t="s">
        <v>74</v>
      </c>
      <c r="AE823" t="s">
        <v>74</v>
      </c>
      <c r="AF823" t="s">
        <v>74</v>
      </c>
      <c r="AG823">
        <v>86</v>
      </c>
      <c r="AH823">
        <v>0</v>
      </c>
      <c r="AI823">
        <v>0</v>
      </c>
      <c r="AJ823">
        <v>2</v>
      </c>
      <c r="AK823">
        <v>2</v>
      </c>
      <c r="AL823" t="s">
        <v>87</v>
      </c>
      <c r="AM823" t="s">
        <v>88</v>
      </c>
      <c r="AN823" t="s">
        <v>89</v>
      </c>
      <c r="AO823" t="s">
        <v>74</v>
      </c>
      <c r="AP823" t="s">
        <v>7369</v>
      </c>
      <c r="AQ823" t="s">
        <v>74</v>
      </c>
      <c r="AR823" t="s">
        <v>7370</v>
      </c>
      <c r="AS823" t="s">
        <v>7371</v>
      </c>
      <c r="AT823" t="s">
        <v>11302</v>
      </c>
      <c r="AU823">
        <v>2023</v>
      </c>
      <c r="AV823">
        <v>6</v>
      </c>
      <c r="AW823">
        <v>8</v>
      </c>
      <c r="AX823" t="s">
        <v>74</v>
      </c>
      <c r="AY823" t="s">
        <v>74</v>
      </c>
      <c r="AZ823" t="s">
        <v>74</v>
      </c>
      <c r="BA823" t="s">
        <v>74</v>
      </c>
      <c r="BB823" t="s">
        <v>74</v>
      </c>
      <c r="BC823" t="s">
        <v>74</v>
      </c>
      <c r="BD823" t="s">
        <v>15465</v>
      </c>
      <c r="BE823" t="s">
        <v>15466</v>
      </c>
      <c r="BF823" t="str">
        <f>HYPERLINK("http://dx.doi.org/10.1002/hsr2.1525","http://dx.doi.org/10.1002/hsr2.1525")</f>
        <v>http://dx.doi.org/10.1002/hsr2.1525</v>
      </c>
      <c r="BG823" t="s">
        <v>74</v>
      </c>
      <c r="BH823" t="s">
        <v>74</v>
      </c>
      <c r="BI823">
        <v>15</v>
      </c>
      <c r="BJ823" t="s">
        <v>7374</v>
      </c>
      <c r="BK823" t="s">
        <v>96</v>
      </c>
      <c r="BL823" t="s">
        <v>7375</v>
      </c>
      <c r="BM823" t="s">
        <v>15467</v>
      </c>
      <c r="BN823">
        <v>37621383</v>
      </c>
      <c r="BO823" t="s">
        <v>74</v>
      </c>
      <c r="BP823" t="s">
        <v>74</v>
      </c>
      <c r="BQ823" t="s">
        <v>74</v>
      </c>
      <c r="BR823" t="s">
        <v>99</v>
      </c>
      <c r="BS823" t="s">
        <v>15468</v>
      </c>
      <c r="BT823" t="str">
        <f>HYPERLINK("https%3A%2F%2Fwww.webofscience.com%2Fwos%2Fwoscc%2Ffull-record%2FWOS:001052342200001","View Full Record in Web of Science")</f>
        <v>View Full Record in Web of Science</v>
      </c>
    </row>
    <row r="824" spans="1:72" x14ac:dyDescent="0.15">
      <c r="A824" t="s">
        <v>72</v>
      </c>
      <c r="B824" t="s">
        <v>15469</v>
      </c>
      <c r="C824" t="s">
        <v>74</v>
      </c>
      <c r="D824" t="s">
        <v>74</v>
      </c>
      <c r="E824" t="s">
        <v>74</v>
      </c>
      <c r="F824" t="s">
        <v>15470</v>
      </c>
      <c r="G824" t="s">
        <v>74</v>
      </c>
      <c r="H824" t="s">
        <v>74</v>
      </c>
      <c r="I824" t="s">
        <v>15471</v>
      </c>
      <c r="J824" t="s">
        <v>14746</v>
      </c>
      <c r="K824" t="s">
        <v>74</v>
      </c>
      <c r="L824" t="s">
        <v>74</v>
      </c>
      <c r="M824" t="s">
        <v>78</v>
      </c>
      <c r="N824" t="s">
        <v>52</v>
      </c>
      <c r="O824" t="s">
        <v>74</v>
      </c>
      <c r="P824" t="s">
        <v>74</v>
      </c>
      <c r="Q824" t="s">
        <v>74</v>
      </c>
      <c r="R824" t="s">
        <v>74</v>
      </c>
      <c r="S824" t="s">
        <v>74</v>
      </c>
      <c r="T824" t="s">
        <v>74</v>
      </c>
      <c r="U824" t="s">
        <v>74</v>
      </c>
      <c r="V824" t="s">
        <v>74</v>
      </c>
      <c r="W824" t="s">
        <v>15472</v>
      </c>
      <c r="X824" t="s">
        <v>15473</v>
      </c>
      <c r="Y824" t="s">
        <v>74</v>
      </c>
      <c r="Z824" t="s">
        <v>74</v>
      </c>
      <c r="AA824" t="s">
        <v>74</v>
      </c>
      <c r="AB824" t="s">
        <v>74</v>
      </c>
      <c r="AC824" t="s">
        <v>74</v>
      </c>
      <c r="AD824" t="s">
        <v>74</v>
      </c>
      <c r="AE824" t="s">
        <v>74</v>
      </c>
      <c r="AF824" t="s">
        <v>74</v>
      </c>
      <c r="AG824">
        <v>0</v>
      </c>
      <c r="AH824">
        <v>0</v>
      </c>
      <c r="AI824">
        <v>0</v>
      </c>
      <c r="AJ824">
        <v>0</v>
      </c>
      <c r="AK824">
        <v>0</v>
      </c>
      <c r="AL824" t="s">
        <v>87</v>
      </c>
      <c r="AM824" t="s">
        <v>88</v>
      </c>
      <c r="AN824" t="s">
        <v>89</v>
      </c>
      <c r="AO824" t="s">
        <v>14757</v>
      </c>
      <c r="AP824" t="s">
        <v>14758</v>
      </c>
      <c r="AQ824" t="s">
        <v>74</v>
      </c>
      <c r="AR824" t="s">
        <v>14759</v>
      </c>
      <c r="AS824" t="s">
        <v>14760</v>
      </c>
      <c r="AT824" t="s">
        <v>11302</v>
      </c>
      <c r="AU824">
        <v>2023</v>
      </c>
      <c r="AV824">
        <v>35</v>
      </c>
      <c r="AW824" t="s">
        <v>74</v>
      </c>
      <c r="AX824" t="s">
        <v>74</v>
      </c>
      <c r="AY824">
        <v>1</v>
      </c>
      <c r="AZ824" t="s">
        <v>9665</v>
      </c>
      <c r="BA824">
        <v>79</v>
      </c>
      <c r="BB824" t="s">
        <v>74</v>
      </c>
      <c r="BC824" t="s">
        <v>74</v>
      </c>
      <c r="BD824" t="s">
        <v>74</v>
      </c>
      <c r="BE824" t="s">
        <v>74</v>
      </c>
      <c r="BF824" t="s">
        <v>74</v>
      </c>
      <c r="BG824" t="s">
        <v>74</v>
      </c>
      <c r="BH824" t="s">
        <v>74</v>
      </c>
      <c r="BI824">
        <v>2</v>
      </c>
      <c r="BJ824" t="s">
        <v>14762</v>
      </c>
      <c r="BK824" t="s">
        <v>119</v>
      </c>
      <c r="BL824" t="s">
        <v>14763</v>
      </c>
      <c r="BM824" t="s">
        <v>15394</v>
      </c>
      <c r="BN824" t="s">
        <v>74</v>
      </c>
      <c r="BO824" t="s">
        <v>74</v>
      </c>
      <c r="BP824" t="s">
        <v>74</v>
      </c>
      <c r="BQ824" t="s">
        <v>74</v>
      </c>
      <c r="BR824" t="s">
        <v>99</v>
      </c>
      <c r="BS824" t="s">
        <v>15474</v>
      </c>
      <c r="BT824" t="str">
        <f>HYPERLINK("https%3A%2F%2Fwww.webofscience.com%2Fwos%2Fwoscc%2Ffull-record%2FWOS:001058869800081","View Full Record in Web of Science")</f>
        <v>View Full Record in Web of Science</v>
      </c>
    </row>
    <row r="825" spans="1:72" x14ac:dyDescent="0.15">
      <c r="A825" t="s">
        <v>72</v>
      </c>
      <c r="B825" t="s">
        <v>15475</v>
      </c>
      <c r="C825" t="s">
        <v>74</v>
      </c>
      <c r="D825" t="s">
        <v>74</v>
      </c>
      <c r="E825" t="s">
        <v>74</v>
      </c>
      <c r="F825" t="s">
        <v>15476</v>
      </c>
      <c r="G825" t="s">
        <v>74</v>
      </c>
      <c r="H825" t="s">
        <v>74</v>
      </c>
      <c r="I825" t="s">
        <v>15477</v>
      </c>
      <c r="J825" t="s">
        <v>15478</v>
      </c>
      <c r="K825" t="s">
        <v>74</v>
      </c>
      <c r="L825" t="s">
        <v>74</v>
      </c>
      <c r="M825" t="s">
        <v>78</v>
      </c>
      <c r="N825" t="s">
        <v>338</v>
      </c>
      <c r="O825" t="s">
        <v>74</v>
      </c>
      <c r="P825" t="s">
        <v>74</v>
      </c>
      <c r="Q825" t="s">
        <v>74</v>
      </c>
      <c r="R825" t="s">
        <v>74</v>
      </c>
      <c r="S825" t="s">
        <v>74</v>
      </c>
      <c r="T825" t="s">
        <v>15479</v>
      </c>
      <c r="U825" t="s">
        <v>15480</v>
      </c>
      <c r="V825" t="s">
        <v>15481</v>
      </c>
      <c r="W825" t="s">
        <v>15482</v>
      </c>
      <c r="X825" t="s">
        <v>15483</v>
      </c>
      <c r="Y825" t="s">
        <v>15484</v>
      </c>
      <c r="Z825" t="s">
        <v>15485</v>
      </c>
      <c r="AA825" t="s">
        <v>74</v>
      </c>
      <c r="AB825" t="s">
        <v>15486</v>
      </c>
      <c r="AC825" t="s">
        <v>74</v>
      </c>
      <c r="AD825" t="s">
        <v>74</v>
      </c>
      <c r="AE825" t="s">
        <v>74</v>
      </c>
      <c r="AF825" t="s">
        <v>74</v>
      </c>
      <c r="AG825">
        <v>38</v>
      </c>
      <c r="AH825">
        <v>0</v>
      </c>
      <c r="AI825">
        <v>0</v>
      </c>
      <c r="AJ825">
        <v>1</v>
      </c>
      <c r="AK825">
        <v>1</v>
      </c>
      <c r="AL825" t="s">
        <v>87</v>
      </c>
      <c r="AM825" t="s">
        <v>88</v>
      </c>
      <c r="AN825" t="s">
        <v>89</v>
      </c>
      <c r="AO825" t="s">
        <v>15487</v>
      </c>
      <c r="AP825" t="s">
        <v>15488</v>
      </c>
      <c r="AQ825" t="s">
        <v>74</v>
      </c>
      <c r="AR825" t="s">
        <v>15489</v>
      </c>
      <c r="AS825" t="s">
        <v>15490</v>
      </c>
      <c r="AT825" t="s">
        <v>15292</v>
      </c>
      <c r="AU825">
        <v>2023</v>
      </c>
      <c r="AV825" t="s">
        <v>74</v>
      </c>
      <c r="AW825" t="s">
        <v>74</v>
      </c>
      <c r="AX825" t="s">
        <v>74</v>
      </c>
      <c r="AY825" t="s">
        <v>74</v>
      </c>
      <c r="AZ825" t="s">
        <v>74</v>
      </c>
      <c r="BA825" t="s">
        <v>74</v>
      </c>
      <c r="BB825" t="s">
        <v>74</v>
      </c>
      <c r="BC825" t="s">
        <v>74</v>
      </c>
      <c r="BD825" t="s">
        <v>74</v>
      </c>
      <c r="BE825" t="s">
        <v>15491</v>
      </c>
      <c r="BF825" t="str">
        <f>HYPERLINK("http://dx.doi.org/10.1002/spe.3246","http://dx.doi.org/10.1002/spe.3246")</f>
        <v>http://dx.doi.org/10.1002/spe.3246</v>
      </c>
      <c r="BG825" t="s">
        <v>74</v>
      </c>
      <c r="BH825" t="s">
        <v>7524</v>
      </c>
      <c r="BI825">
        <v>41</v>
      </c>
      <c r="BJ825" t="s">
        <v>11427</v>
      </c>
      <c r="BK825" t="s">
        <v>119</v>
      </c>
      <c r="BL825" t="s">
        <v>1875</v>
      </c>
      <c r="BM825" t="s">
        <v>15492</v>
      </c>
      <c r="BN825" t="s">
        <v>74</v>
      </c>
      <c r="BO825" t="s">
        <v>122</v>
      </c>
      <c r="BP825" t="s">
        <v>74</v>
      </c>
      <c r="BQ825" t="s">
        <v>74</v>
      </c>
      <c r="BR825" t="s">
        <v>99</v>
      </c>
      <c r="BS825" t="s">
        <v>15493</v>
      </c>
      <c r="BT825" t="str">
        <f>HYPERLINK("https%3A%2F%2Fwww.webofscience.com%2Fwos%2Fwoscc%2Ffull-record%2FWOS:001041210000001","View Full Record in Web of Science")</f>
        <v>View Full Record in Web of Science</v>
      </c>
    </row>
    <row r="826" spans="1:72" x14ac:dyDescent="0.15">
      <c r="A826" t="s">
        <v>72</v>
      </c>
      <c r="B826" t="s">
        <v>15494</v>
      </c>
      <c r="C826" t="s">
        <v>74</v>
      </c>
      <c r="D826" t="s">
        <v>74</v>
      </c>
      <c r="E826" t="s">
        <v>74</v>
      </c>
      <c r="F826" t="s">
        <v>15495</v>
      </c>
      <c r="G826" t="s">
        <v>74</v>
      </c>
      <c r="H826" t="s">
        <v>74</v>
      </c>
      <c r="I826" t="s">
        <v>15496</v>
      </c>
      <c r="J826" t="s">
        <v>5957</v>
      </c>
      <c r="K826" t="s">
        <v>74</v>
      </c>
      <c r="L826" t="s">
        <v>74</v>
      </c>
      <c r="M826" t="s">
        <v>78</v>
      </c>
      <c r="N826" t="s">
        <v>338</v>
      </c>
      <c r="O826" t="s">
        <v>74</v>
      </c>
      <c r="P826" t="s">
        <v>74</v>
      </c>
      <c r="Q826" t="s">
        <v>74</v>
      </c>
      <c r="R826" t="s">
        <v>74</v>
      </c>
      <c r="S826" t="s">
        <v>74</v>
      </c>
      <c r="T826" t="s">
        <v>15497</v>
      </c>
      <c r="U826" t="s">
        <v>15498</v>
      </c>
      <c r="V826" t="s">
        <v>15499</v>
      </c>
      <c r="W826" t="s">
        <v>15500</v>
      </c>
      <c r="X826" t="s">
        <v>15501</v>
      </c>
      <c r="Y826" t="s">
        <v>15502</v>
      </c>
      <c r="Z826" t="s">
        <v>15503</v>
      </c>
      <c r="AA826" t="s">
        <v>15504</v>
      </c>
      <c r="AB826" t="s">
        <v>15505</v>
      </c>
      <c r="AC826" t="s">
        <v>15506</v>
      </c>
      <c r="AD826" t="s">
        <v>15507</v>
      </c>
      <c r="AE826" t="s">
        <v>15508</v>
      </c>
      <c r="AF826" t="s">
        <v>74</v>
      </c>
      <c r="AG826">
        <v>61</v>
      </c>
      <c r="AH826">
        <v>0</v>
      </c>
      <c r="AI826">
        <v>0</v>
      </c>
      <c r="AJ826">
        <v>2</v>
      </c>
      <c r="AK826">
        <v>2</v>
      </c>
      <c r="AL826" t="s">
        <v>426</v>
      </c>
      <c r="AM826" t="s">
        <v>427</v>
      </c>
      <c r="AN826" t="s">
        <v>428</v>
      </c>
      <c r="AO826" t="s">
        <v>5967</v>
      </c>
      <c r="AP826" t="s">
        <v>5968</v>
      </c>
      <c r="AQ826" t="s">
        <v>74</v>
      </c>
      <c r="AR826" t="s">
        <v>5957</v>
      </c>
      <c r="AS826" t="s">
        <v>5969</v>
      </c>
      <c r="AT826" t="s">
        <v>15292</v>
      </c>
      <c r="AU826">
        <v>2023</v>
      </c>
      <c r="AV826" t="s">
        <v>74</v>
      </c>
      <c r="AW826" t="s">
        <v>74</v>
      </c>
      <c r="AX826" t="s">
        <v>74</v>
      </c>
      <c r="AY826" t="s">
        <v>74</v>
      </c>
      <c r="AZ826" t="s">
        <v>74</v>
      </c>
      <c r="BA826" t="s">
        <v>74</v>
      </c>
      <c r="BB826" t="s">
        <v>74</v>
      </c>
      <c r="BC826" t="s">
        <v>74</v>
      </c>
      <c r="BD826" t="s">
        <v>74</v>
      </c>
      <c r="BE826" t="s">
        <v>15509</v>
      </c>
      <c r="BF826" t="str">
        <f>HYPERLINK("http://dx.doi.org/10.1002/cctc.202300744","http://dx.doi.org/10.1002/cctc.202300744")</f>
        <v>http://dx.doi.org/10.1002/cctc.202300744</v>
      </c>
      <c r="BG826" t="s">
        <v>74</v>
      </c>
      <c r="BH826" t="s">
        <v>7524</v>
      </c>
      <c r="BI826">
        <v>8</v>
      </c>
      <c r="BJ826" t="s">
        <v>5972</v>
      </c>
      <c r="BK826" t="s">
        <v>119</v>
      </c>
      <c r="BL826" t="s">
        <v>524</v>
      </c>
      <c r="BM826" t="s">
        <v>15510</v>
      </c>
      <c r="BN826" t="s">
        <v>74</v>
      </c>
      <c r="BO826" t="s">
        <v>122</v>
      </c>
      <c r="BP826" t="s">
        <v>74</v>
      </c>
      <c r="BQ826" t="s">
        <v>74</v>
      </c>
      <c r="BR826" t="s">
        <v>99</v>
      </c>
      <c r="BS826" t="s">
        <v>15511</v>
      </c>
      <c r="BT826" t="str">
        <f>HYPERLINK("https%3A%2F%2Fwww.webofscience.com%2Fwos%2Fwoscc%2Ffull-record%2FWOS:001038378000001","View Full Record in Web of Science")</f>
        <v>View Full Record in Web of Science</v>
      </c>
    </row>
    <row r="827" spans="1:72" x14ac:dyDescent="0.15">
      <c r="A827" t="s">
        <v>72</v>
      </c>
      <c r="B827" t="s">
        <v>15512</v>
      </c>
      <c r="C827" t="s">
        <v>74</v>
      </c>
      <c r="D827" t="s">
        <v>74</v>
      </c>
      <c r="E827" t="s">
        <v>74</v>
      </c>
      <c r="F827" t="s">
        <v>15513</v>
      </c>
      <c r="G827" t="s">
        <v>74</v>
      </c>
      <c r="H827" t="s">
        <v>74</v>
      </c>
      <c r="I827" t="s">
        <v>15514</v>
      </c>
      <c r="J827" t="s">
        <v>194</v>
      </c>
      <c r="K827" t="s">
        <v>74</v>
      </c>
      <c r="L827" t="s">
        <v>74</v>
      </c>
      <c r="M827" t="s">
        <v>78</v>
      </c>
      <c r="N827" t="s">
        <v>79</v>
      </c>
      <c r="O827" t="s">
        <v>74</v>
      </c>
      <c r="P827" t="s">
        <v>74</v>
      </c>
      <c r="Q827" t="s">
        <v>74</v>
      </c>
      <c r="R827" t="s">
        <v>74</v>
      </c>
      <c r="S827" t="s">
        <v>74</v>
      </c>
      <c r="T827" t="s">
        <v>15515</v>
      </c>
      <c r="U827" t="s">
        <v>15516</v>
      </c>
      <c r="V827" t="s">
        <v>15517</v>
      </c>
      <c r="W827" t="s">
        <v>15518</v>
      </c>
      <c r="X827" t="s">
        <v>15519</v>
      </c>
      <c r="Y827" t="s">
        <v>15520</v>
      </c>
      <c r="Z827" t="s">
        <v>15521</v>
      </c>
      <c r="AA827" t="s">
        <v>74</v>
      </c>
      <c r="AB827" t="s">
        <v>74</v>
      </c>
      <c r="AC827" t="s">
        <v>15522</v>
      </c>
      <c r="AD827" t="s">
        <v>15523</v>
      </c>
      <c r="AE827" t="s">
        <v>15524</v>
      </c>
      <c r="AF827" t="s">
        <v>74</v>
      </c>
      <c r="AG827">
        <v>108</v>
      </c>
      <c r="AH827">
        <v>0</v>
      </c>
      <c r="AI827">
        <v>0</v>
      </c>
      <c r="AJ827">
        <v>5</v>
      </c>
      <c r="AK827">
        <v>5</v>
      </c>
      <c r="AL827" t="s">
        <v>87</v>
      </c>
      <c r="AM827" t="s">
        <v>88</v>
      </c>
      <c r="AN827" t="s">
        <v>89</v>
      </c>
      <c r="AO827" t="s">
        <v>206</v>
      </c>
      <c r="AP827" t="s">
        <v>207</v>
      </c>
      <c r="AQ827" t="s">
        <v>74</v>
      </c>
      <c r="AR827" t="s">
        <v>208</v>
      </c>
      <c r="AS827" t="s">
        <v>209</v>
      </c>
      <c r="AT827" t="s">
        <v>11302</v>
      </c>
      <c r="AU827">
        <v>2023</v>
      </c>
      <c r="AV827">
        <v>32</v>
      </c>
      <c r="AW827">
        <v>8</v>
      </c>
      <c r="AX827" t="s">
        <v>74</v>
      </c>
      <c r="AY827" t="s">
        <v>74</v>
      </c>
      <c r="AZ827" t="s">
        <v>74</v>
      </c>
      <c r="BA827" t="s">
        <v>74</v>
      </c>
      <c r="BB827" t="s">
        <v>74</v>
      </c>
      <c r="BC827" t="s">
        <v>74</v>
      </c>
      <c r="BD827" t="s">
        <v>15525</v>
      </c>
      <c r="BE827" t="s">
        <v>15526</v>
      </c>
      <c r="BF827" t="str">
        <f>HYPERLINK("http://dx.doi.org/10.1002/pro.4712","http://dx.doi.org/10.1002/pro.4712")</f>
        <v>http://dx.doi.org/10.1002/pro.4712</v>
      </c>
      <c r="BG827" t="s">
        <v>74</v>
      </c>
      <c r="BH827" t="s">
        <v>74</v>
      </c>
      <c r="BI827">
        <v>24</v>
      </c>
      <c r="BJ827" t="s">
        <v>212</v>
      </c>
      <c r="BK827" t="s">
        <v>119</v>
      </c>
      <c r="BL827" t="s">
        <v>212</v>
      </c>
      <c r="BM827" t="s">
        <v>15527</v>
      </c>
      <c r="BN827">
        <v>37354015</v>
      </c>
      <c r="BO827" t="s">
        <v>5713</v>
      </c>
      <c r="BP827" t="s">
        <v>74</v>
      </c>
      <c r="BQ827" t="s">
        <v>74</v>
      </c>
      <c r="BR827" t="s">
        <v>99</v>
      </c>
      <c r="BS827" t="s">
        <v>15528</v>
      </c>
      <c r="BT827" t="str">
        <f>HYPERLINK("https%3A%2F%2Fwww.webofscience.com%2Fwos%2Fwoscc%2Ffull-record%2FWOS:001035259600001","View Full Record in Web of Science")</f>
        <v>View Full Record in Web of Science</v>
      </c>
    </row>
    <row r="828" spans="1:72" x14ac:dyDescent="0.15">
      <c r="A828" t="s">
        <v>72</v>
      </c>
      <c r="B828" t="s">
        <v>15529</v>
      </c>
      <c r="C828" t="s">
        <v>74</v>
      </c>
      <c r="D828" t="s">
        <v>74</v>
      </c>
      <c r="E828" t="s">
        <v>74</v>
      </c>
      <c r="F828" t="s">
        <v>15530</v>
      </c>
      <c r="G828" t="s">
        <v>74</v>
      </c>
      <c r="H828" t="s">
        <v>74</v>
      </c>
      <c r="I828" t="s">
        <v>15531</v>
      </c>
      <c r="J828" t="s">
        <v>15532</v>
      </c>
      <c r="K828" t="s">
        <v>74</v>
      </c>
      <c r="L828" t="s">
        <v>74</v>
      </c>
      <c r="M828" t="s">
        <v>78</v>
      </c>
      <c r="N828" t="s">
        <v>79</v>
      </c>
      <c r="O828" t="s">
        <v>74</v>
      </c>
      <c r="P828" t="s">
        <v>74</v>
      </c>
      <c r="Q828" t="s">
        <v>74</v>
      </c>
      <c r="R828" t="s">
        <v>74</v>
      </c>
      <c r="S828" t="s">
        <v>74</v>
      </c>
      <c r="T828" t="s">
        <v>15533</v>
      </c>
      <c r="U828" t="s">
        <v>74</v>
      </c>
      <c r="V828" t="s">
        <v>15534</v>
      </c>
      <c r="W828" t="s">
        <v>15535</v>
      </c>
      <c r="X828" t="s">
        <v>15536</v>
      </c>
      <c r="Y828" t="s">
        <v>15537</v>
      </c>
      <c r="Z828" t="s">
        <v>15538</v>
      </c>
      <c r="AA828" t="s">
        <v>74</v>
      </c>
      <c r="AB828" t="s">
        <v>15539</v>
      </c>
      <c r="AC828" t="s">
        <v>15540</v>
      </c>
      <c r="AD828" t="s">
        <v>15540</v>
      </c>
      <c r="AE828" t="s">
        <v>15541</v>
      </c>
      <c r="AF828" t="s">
        <v>74</v>
      </c>
      <c r="AG828">
        <v>17</v>
      </c>
      <c r="AH828">
        <v>0</v>
      </c>
      <c r="AI828">
        <v>0</v>
      </c>
      <c r="AJ828">
        <v>0</v>
      </c>
      <c r="AK828">
        <v>0</v>
      </c>
      <c r="AL828" t="s">
        <v>87</v>
      </c>
      <c r="AM828" t="s">
        <v>88</v>
      </c>
      <c r="AN828" t="s">
        <v>89</v>
      </c>
      <c r="AO828" t="s">
        <v>74</v>
      </c>
      <c r="AP828" t="s">
        <v>15542</v>
      </c>
      <c r="AQ828" t="s">
        <v>74</v>
      </c>
      <c r="AR828" t="s">
        <v>15543</v>
      </c>
      <c r="AS828" t="s">
        <v>15544</v>
      </c>
      <c r="AT828" t="s">
        <v>11302</v>
      </c>
      <c r="AU828">
        <v>2023</v>
      </c>
      <c r="AV828">
        <v>4</v>
      </c>
      <c r="AW828">
        <v>4</v>
      </c>
      <c r="AX828" t="s">
        <v>74</v>
      </c>
      <c r="AY828" t="s">
        <v>74</v>
      </c>
      <c r="AZ828" t="s">
        <v>74</v>
      </c>
      <c r="BA828" t="s">
        <v>74</v>
      </c>
      <c r="BB828" t="s">
        <v>74</v>
      </c>
      <c r="BC828" t="s">
        <v>74</v>
      </c>
      <c r="BD828" t="s">
        <v>15545</v>
      </c>
      <c r="BE828" t="s">
        <v>15546</v>
      </c>
      <c r="BF828" t="str">
        <f>HYPERLINK("http://dx.doi.org/10.1002/emp2.13016","http://dx.doi.org/10.1002/emp2.13016")</f>
        <v>http://dx.doi.org/10.1002/emp2.13016</v>
      </c>
      <c r="BG828" t="s">
        <v>74</v>
      </c>
      <c r="BH828" t="s">
        <v>74</v>
      </c>
      <c r="BI828">
        <v>6</v>
      </c>
      <c r="BJ828" t="s">
        <v>15547</v>
      </c>
      <c r="BK828" t="s">
        <v>96</v>
      </c>
      <c r="BL828" t="s">
        <v>15547</v>
      </c>
      <c r="BM828" t="s">
        <v>15548</v>
      </c>
      <c r="BN828">
        <v>37600903</v>
      </c>
      <c r="BO828" t="s">
        <v>6786</v>
      </c>
      <c r="BP828" t="s">
        <v>74</v>
      </c>
      <c r="BQ828" t="s">
        <v>74</v>
      </c>
      <c r="BR828" t="s">
        <v>99</v>
      </c>
      <c r="BS828" t="s">
        <v>15549</v>
      </c>
      <c r="BT828" t="str">
        <f>HYPERLINK("https%3A%2F%2Fwww.webofscience.com%2Fwos%2Fwoscc%2Ffull-record%2FWOS:001049086700001","View Full Record in Web of Science")</f>
        <v>View Full Record in Web of Science</v>
      </c>
    </row>
    <row r="829" spans="1:72" x14ac:dyDescent="0.15">
      <c r="A829" t="s">
        <v>72</v>
      </c>
      <c r="B829" t="s">
        <v>15550</v>
      </c>
      <c r="C829" t="s">
        <v>74</v>
      </c>
      <c r="D829" t="s">
        <v>74</v>
      </c>
      <c r="E829" t="s">
        <v>74</v>
      </c>
      <c r="F829" t="s">
        <v>15551</v>
      </c>
      <c r="G829" t="s">
        <v>74</v>
      </c>
      <c r="H829" t="s">
        <v>74</v>
      </c>
      <c r="I829" t="s">
        <v>15552</v>
      </c>
      <c r="J829" t="s">
        <v>15532</v>
      </c>
      <c r="K829" t="s">
        <v>74</v>
      </c>
      <c r="L829" t="s">
        <v>74</v>
      </c>
      <c r="M829" t="s">
        <v>78</v>
      </c>
      <c r="N829" t="s">
        <v>79</v>
      </c>
      <c r="O829" t="s">
        <v>74</v>
      </c>
      <c r="P829" t="s">
        <v>74</v>
      </c>
      <c r="Q829" t="s">
        <v>74</v>
      </c>
      <c r="R829" t="s">
        <v>74</v>
      </c>
      <c r="S829" t="s">
        <v>74</v>
      </c>
      <c r="T829" t="s">
        <v>15553</v>
      </c>
      <c r="U829" t="s">
        <v>15554</v>
      </c>
      <c r="V829" t="s">
        <v>15555</v>
      </c>
      <c r="W829" t="s">
        <v>15556</v>
      </c>
      <c r="X829" t="s">
        <v>15557</v>
      </c>
      <c r="Y829" t="s">
        <v>15558</v>
      </c>
      <c r="Z829" t="s">
        <v>15559</v>
      </c>
      <c r="AA829" t="s">
        <v>74</v>
      </c>
      <c r="AB829" t="s">
        <v>15560</v>
      </c>
      <c r="AC829" t="s">
        <v>15561</v>
      </c>
      <c r="AD829" t="s">
        <v>15562</v>
      </c>
      <c r="AE829" t="s">
        <v>15563</v>
      </c>
      <c r="AF829" t="s">
        <v>74</v>
      </c>
      <c r="AG829">
        <v>34</v>
      </c>
      <c r="AH829">
        <v>0</v>
      </c>
      <c r="AI829">
        <v>0</v>
      </c>
      <c r="AJ829">
        <v>1</v>
      </c>
      <c r="AK829">
        <v>1</v>
      </c>
      <c r="AL829" t="s">
        <v>87</v>
      </c>
      <c r="AM829" t="s">
        <v>88</v>
      </c>
      <c r="AN829" t="s">
        <v>89</v>
      </c>
      <c r="AO829" t="s">
        <v>74</v>
      </c>
      <c r="AP829" t="s">
        <v>15542</v>
      </c>
      <c r="AQ829" t="s">
        <v>74</v>
      </c>
      <c r="AR829" t="s">
        <v>15543</v>
      </c>
      <c r="AS829" t="s">
        <v>15544</v>
      </c>
      <c r="AT829" t="s">
        <v>11302</v>
      </c>
      <c r="AU829">
        <v>2023</v>
      </c>
      <c r="AV829">
        <v>4</v>
      </c>
      <c r="AW829">
        <v>4</v>
      </c>
      <c r="AX829" t="s">
        <v>74</v>
      </c>
      <c r="AY829" t="s">
        <v>74</v>
      </c>
      <c r="AZ829" t="s">
        <v>74</v>
      </c>
      <c r="BA829" t="s">
        <v>74</v>
      </c>
      <c r="BB829" t="s">
        <v>74</v>
      </c>
      <c r="BC829" t="s">
        <v>74</v>
      </c>
      <c r="BD829" t="s">
        <v>15564</v>
      </c>
      <c r="BE829" t="s">
        <v>15565</v>
      </c>
      <c r="BF829" t="str">
        <f>HYPERLINK("http://dx.doi.org/10.1002/emp2.13006","http://dx.doi.org/10.1002/emp2.13006")</f>
        <v>http://dx.doi.org/10.1002/emp2.13006</v>
      </c>
      <c r="BG829" t="s">
        <v>74</v>
      </c>
      <c r="BH829" t="s">
        <v>74</v>
      </c>
      <c r="BI829">
        <v>10</v>
      </c>
      <c r="BJ829" t="s">
        <v>15547</v>
      </c>
      <c r="BK829" t="s">
        <v>96</v>
      </c>
      <c r="BL829" t="s">
        <v>15547</v>
      </c>
      <c r="BM829" t="s">
        <v>15566</v>
      </c>
      <c r="BN829">
        <v>37469489</v>
      </c>
      <c r="BO829" t="s">
        <v>6877</v>
      </c>
      <c r="BP829" t="s">
        <v>74</v>
      </c>
      <c r="BQ829" t="s">
        <v>74</v>
      </c>
      <c r="BR829" t="s">
        <v>99</v>
      </c>
      <c r="BS829" t="s">
        <v>15567</v>
      </c>
      <c r="BT829" t="str">
        <f>HYPERLINK("https%3A%2F%2Fwww.webofscience.com%2Fwos%2Fwoscc%2Ffull-record%2FWOS:001030531100001","View Full Record in Web of Science")</f>
        <v>View Full Record in Web of Science</v>
      </c>
    </row>
    <row r="830" spans="1:72" x14ac:dyDescent="0.15">
      <c r="A830" t="s">
        <v>72</v>
      </c>
      <c r="B830" t="s">
        <v>15568</v>
      </c>
      <c r="C830" t="s">
        <v>74</v>
      </c>
      <c r="D830" t="s">
        <v>74</v>
      </c>
      <c r="E830" t="s">
        <v>74</v>
      </c>
      <c r="F830" t="s">
        <v>15569</v>
      </c>
      <c r="G830" t="s">
        <v>74</v>
      </c>
      <c r="H830" t="s">
        <v>74</v>
      </c>
      <c r="I830" t="s">
        <v>15570</v>
      </c>
      <c r="J830" t="s">
        <v>15571</v>
      </c>
      <c r="K830" t="s">
        <v>74</v>
      </c>
      <c r="L830" t="s">
        <v>74</v>
      </c>
      <c r="M830" t="s">
        <v>78</v>
      </c>
      <c r="N830" t="s">
        <v>79</v>
      </c>
      <c r="O830" t="s">
        <v>74</v>
      </c>
      <c r="P830" t="s">
        <v>74</v>
      </c>
      <c r="Q830" t="s">
        <v>74</v>
      </c>
      <c r="R830" t="s">
        <v>74</v>
      </c>
      <c r="S830" t="s">
        <v>74</v>
      </c>
      <c r="T830" t="s">
        <v>15572</v>
      </c>
      <c r="U830" t="s">
        <v>15573</v>
      </c>
      <c r="V830" t="s">
        <v>15574</v>
      </c>
      <c r="W830" t="s">
        <v>15575</v>
      </c>
      <c r="X830" t="s">
        <v>15576</v>
      </c>
      <c r="Y830" t="s">
        <v>15577</v>
      </c>
      <c r="Z830" t="s">
        <v>15578</v>
      </c>
      <c r="AA830" t="s">
        <v>74</v>
      </c>
      <c r="AB830" t="s">
        <v>74</v>
      </c>
      <c r="AC830" t="s">
        <v>15579</v>
      </c>
      <c r="AD830" t="s">
        <v>15580</v>
      </c>
      <c r="AE830" t="s">
        <v>15581</v>
      </c>
      <c r="AF830" t="s">
        <v>74</v>
      </c>
      <c r="AG830">
        <v>32</v>
      </c>
      <c r="AH830">
        <v>0</v>
      </c>
      <c r="AI830">
        <v>0</v>
      </c>
      <c r="AJ830">
        <v>0</v>
      </c>
      <c r="AK830">
        <v>0</v>
      </c>
      <c r="AL830" t="s">
        <v>87</v>
      </c>
      <c r="AM830" t="s">
        <v>88</v>
      </c>
      <c r="AN830" t="s">
        <v>89</v>
      </c>
      <c r="AO830" t="s">
        <v>15582</v>
      </c>
      <c r="AP830" t="s">
        <v>15583</v>
      </c>
      <c r="AQ830" t="s">
        <v>74</v>
      </c>
      <c r="AR830" t="s">
        <v>15584</v>
      </c>
      <c r="AS830" t="s">
        <v>15585</v>
      </c>
      <c r="AT830" t="s">
        <v>11302</v>
      </c>
      <c r="AU830">
        <v>2023</v>
      </c>
      <c r="AV830">
        <v>97</v>
      </c>
      <c r="AW830">
        <v>4</v>
      </c>
      <c r="AX830" t="s">
        <v>74</v>
      </c>
      <c r="AY830" t="s">
        <v>74</v>
      </c>
      <c r="AZ830" t="s">
        <v>74</v>
      </c>
      <c r="BA830" t="s">
        <v>74</v>
      </c>
      <c r="BB830">
        <v>1014</v>
      </c>
      <c r="BC830">
        <v>1025</v>
      </c>
      <c r="BD830" t="s">
        <v>74</v>
      </c>
      <c r="BE830" t="s">
        <v>15586</v>
      </c>
      <c r="BF830" t="str">
        <f>HYPERLINK("http://dx.doi.org/10.1111/1755-6724.15088","http://dx.doi.org/10.1111/1755-6724.15088")</f>
        <v>http://dx.doi.org/10.1111/1755-6724.15088</v>
      </c>
      <c r="BG830" t="s">
        <v>74</v>
      </c>
      <c r="BH830" t="s">
        <v>74</v>
      </c>
      <c r="BI830">
        <v>12</v>
      </c>
      <c r="BJ830" t="s">
        <v>13058</v>
      </c>
      <c r="BK830" t="s">
        <v>119</v>
      </c>
      <c r="BL830" t="s">
        <v>13059</v>
      </c>
      <c r="BM830" t="s">
        <v>15587</v>
      </c>
      <c r="BN830" t="s">
        <v>74</v>
      </c>
      <c r="BO830" t="s">
        <v>301</v>
      </c>
      <c r="BP830" t="s">
        <v>74</v>
      </c>
      <c r="BQ830" t="s">
        <v>74</v>
      </c>
      <c r="BR830" t="s">
        <v>99</v>
      </c>
      <c r="BS830" t="s">
        <v>15588</v>
      </c>
      <c r="BT830" t="str">
        <f>HYPERLINK("https%3A%2F%2Fwww.webofscience.com%2Fwos%2Fwoscc%2Ffull-record%2FWOS:001057477600002","View Full Record in Web of Science")</f>
        <v>View Full Record in Web of Science</v>
      </c>
    </row>
    <row r="831" spans="1:72" x14ac:dyDescent="0.15">
      <c r="A831" t="s">
        <v>72</v>
      </c>
      <c r="B831" t="s">
        <v>15589</v>
      </c>
      <c r="C831" t="s">
        <v>74</v>
      </c>
      <c r="D831" t="s">
        <v>74</v>
      </c>
      <c r="E831" t="s">
        <v>74</v>
      </c>
      <c r="F831" t="s">
        <v>15590</v>
      </c>
      <c r="G831" t="s">
        <v>74</v>
      </c>
      <c r="H831" t="s">
        <v>74</v>
      </c>
      <c r="I831" t="s">
        <v>15591</v>
      </c>
      <c r="J831" t="s">
        <v>218</v>
      </c>
      <c r="K831" t="s">
        <v>74</v>
      </c>
      <c r="L831" t="s">
        <v>74</v>
      </c>
      <c r="M831" t="s">
        <v>78</v>
      </c>
      <c r="N831" t="s">
        <v>3392</v>
      </c>
      <c r="O831" t="s">
        <v>74</v>
      </c>
      <c r="P831" t="s">
        <v>74</v>
      </c>
      <c r="Q831" t="s">
        <v>74</v>
      </c>
      <c r="R831" t="s">
        <v>74</v>
      </c>
      <c r="S831" t="s">
        <v>74</v>
      </c>
      <c r="T831" t="s">
        <v>15592</v>
      </c>
      <c r="U831" t="s">
        <v>15593</v>
      </c>
      <c r="V831" t="s">
        <v>15594</v>
      </c>
      <c r="W831" t="s">
        <v>15595</v>
      </c>
      <c r="X831" t="s">
        <v>8021</v>
      </c>
      <c r="Y831" t="s">
        <v>15596</v>
      </c>
      <c r="Z831" t="s">
        <v>15597</v>
      </c>
      <c r="AA831" t="s">
        <v>74</v>
      </c>
      <c r="AB831" t="s">
        <v>74</v>
      </c>
      <c r="AC831" t="s">
        <v>74</v>
      </c>
      <c r="AD831" t="s">
        <v>74</v>
      </c>
      <c r="AE831" t="s">
        <v>74</v>
      </c>
      <c r="AF831" t="s">
        <v>74</v>
      </c>
      <c r="AG831">
        <v>188</v>
      </c>
      <c r="AH831">
        <v>0</v>
      </c>
      <c r="AI831">
        <v>0</v>
      </c>
      <c r="AJ831">
        <v>5</v>
      </c>
      <c r="AK831">
        <v>5</v>
      </c>
      <c r="AL831" t="s">
        <v>87</v>
      </c>
      <c r="AM831" t="s">
        <v>88</v>
      </c>
      <c r="AN831" t="s">
        <v>89</v>
      </c>
      <c r="AO831" t="s">
        <v>74</v>
      </c>
      <c r="AP831" t="s">
        <v>227</v>
      </c>
      <c r="AQ831" t="s">
        <v>74</v>
      </c>
      <c r="AR831" t="s">
        <v>218</v>
      </c>
      <c r="AS831" t="s">
        <v>228</v>
      </c>
      <c r="AT831" t="s">
        <v>11302</v>
      </c>
      <c r="AU831">
        <v>2023</v>
      </c>
      <c r="AV831">
        <v>4</v>
      </c>
      <c r="AW831">
        <v>4</v>
      </c>
      <c r="AX831" t="s">
        <v>74</v>
      </c>
      <c r="AY831" t="s">
        <v>74</v>
      </c>
      <c r="AZ831" t="s">
        <v>74</v>
      </c>
      <c r="BA831" t="s">
        <v>74</v>
      </c>
      <c r="BB831" t="s">
        <v>74</v>
      </c>
      <c r="BC831" t="s">
        <v>74</v>
      </c>
      <c r="BD831" t="s">
        <v>15598</v>
      </c>
      <c r="BE831" t="s">
        <v>15599</v>
      </c>
      <c r="BF831" t="str">
        <f>HYPERLINK("http://dx.doi.org/10.1002/mco2.311","http://dx.doi.org/10.1002/mco2.311")</f>
        <v>http://dx.doi.org/10.1002/mco2.311</v>
      </c>
      <c r="BG831" t="s">
        <v>74</v>
      </c>
      <c r="BH831" t="s">
        <v>74</v>
      </c>
      <c r="BI831">
        <v>32</v>
      </c>
      <c r="BJ831" t="s">
        <v>231</v>
      </c>
      <c r="BK831" t="s">
        <v>96</v>
      </c>
      <c r="BL831" t="s">
        <v>232</v>
      </c>
      <c r="BM831" t="s">
        <v>15600</v>
      </c>
      <c r="BN831">
        <v>37405276</v>
      </c>
      <c r="BO831" t="s">
        <v>6877</v>
      </c>
      <c r="BP831" t="s">
        <v>74</v>
      </c>
      <c r="BQ831" t="s">
        <v>74</v>
      </c>
      <c r="BR831" t="s">
        <v>99</v>
      </c>
      <c r="BS831" t="s">
        <v>15601</v>
      </c>
      <c r="BT831" t="str">
        <f>HYPERLINK("https%3A%2F%2Fwww.webofscience.com%2Fwos%2Fwoscc%2Ffull-record%2FWOS:001017570800001","View Full Record in Web of Science")</f>
        <v>View Full Record in Web of Science</v>
      </c>
    </row>
    <row r="832" spans="1:72" x14ac:dyDescent="0.15">
      <c r="A832" t="s">
        <v>72</v>
      </c>
      <c r="B832" t="s">
        <v>15602</v>
      </c>
      <c r="C832" t="s">
        <v>74</v>
      </c>
      <c r="D832" t="s">
        <v>74</v>
      </c>
      <c r="E832" t="s">
        <v>74</v>
      </c>
      <c r="F832" t="s">
        <v>15603</v>
      </c>
      <c r="G832" t="s">
        <v>74</v>
      </c>
      <c r="H832" t="s">
        <v>74</v>
      </c>
      <c r="I832" t="s">
        <v>15604</v>
      </c>
      <c r="J832" t="s">
        <v>6754</v>
      </c>
      <c r="K832" t="s">
        <v>74</v>
      </c>
      <c r="L832" t="s">
        <v>74</v>
      </c>
      <c r="M832" t="s">
        <v>78</v>
      </c>
      <c r="N832" t="s">
        <v>79</v>
      </c>
      <c r="O832" t="s">
        <v>74</v>
      </c>
      <c r="P832" t="s">
        <v>74</v>
      </c>
      <c r="Q832" t="s">
        <v>74</v>
      </c>
      <c r="R832" t="s">
        <v>74</v>
      </c>
      <c r="S832" t="s">
        <v>74</v>
      </c>
      <c r="T832" t="s">
        <v>15605</v>
      </c>
      <c r="U832" t="s">
        <v>74</v>
      </c>
      <c r="V832" t="s">
        <v>15606</v>
      </c>
      <c r="W832" t="s">
        <v>15607</v>
      </c>
      <c r="X832" t="s">
        <v>15608</v>
      </c>
      <c r="Y832" t="s">
        <v>15609</v>
      </c>
      <c r="Z832" t="s">
        <v>15610</v>
      </c>
      <c r="AA832" t="s">
        <v>15611</v>
      </c>
      <c r="AB832" t="s">
        <v>15612</v>
      </c>
      <c r="AC832" t="s">
        <v>74</v>
      </c>
      <c r="AD832" t="s">
        <v>74</v>
      </c>
      <c r="AE832" t="s">
        <v>74</v>
      </c>
      <c r="AF832" t="s">
        <v>74</v>
      </c>
      <c r="AG832">
        <v>6</v>
      </c>
      <c r="AH832">
        <v>0</v>
      </c>
      <c r="AI832">
        <v>0</v>
      </c>
      <c r="AJ832">
        <v>1</v>
      </c>
      <c r="AK832">
        <v>1</v>
      </c>
      <c r="AL832" t="s">
        <v>87</v>
      </c>
      <c r="AM832" t="s">
        <v>88</v>
      </c>
      <c r="AN832" t="s">
        <v>89</v>
      </c>
      <c r="AO832" t="s">
        <v>6763</v>
      </c>
      <c r="AP832" t="s">
        <v>74</v>
      </c>
      <c r="AQ832" t="s">
        <v>74</v>
      </c>
      <c r="AR832" t="s">
        <v>6764</v>
      </c>
      <c r="AS832" t="s">
        <v>6765</v>
      </c>
      <c r="AT832" t="s">
        <v>11302</v>
      </c>
      <c r="AU832">
        <v>2023</v>
      </c>
      <c r="AV832">
        <v>11</v>
      </c>
      <c r="AW832">
        <v>8</v>
      </c>
      <c r="AX832" t="s">
        <v>74</v>
      </c>
      <c r="AY832" t="s">
        <v>74</v>
      </c>
      <c r="AZ832" t="s">
        <v>74</v>
      </c>
      <c r="BA832" t="s">
        <v>74</v>
      </c>
      <c r="BB832" t="s">
        <v>74</v>
      </c>
      <c r="BC832" t="s">
        <v>74</v>
      </c>
      <c r="BD832" t="s">
        <v>15613</v>
      </c>
      <c r="BE832" t="s">
        <v>15614</v>
      </c>
      <c r="BF832" t="str">
        <f>HYPERLINK("http://dx.doi.org/10.1002/ccr3.7777","http://dx.doi.org/10.1002/ccr3.7777")</f>
        <v>http://dx.doi.org/10.1002/ccr3.7777</v>
      </c>
      <c r="BG832" t="s">
        <v>74</v>
      </c>
      <c r="BH832" t="s">
        <v>74</v>
      </c>
      <c r="BI832">
        <v>5</v>
      </c>
      <c r="BJ832" t="s">
        <v>4689</v>
      </c>
      <c r="BK832" t="s">
        <v>96</v>
      </c>
      <c r="BL832" t="s">
        <v>4690</v>
      </c>
      <c r="BM832" t="s">
        <v>15615</v>
      </c>
      <c r="BN832">
        <v>37554573</v>
      </c>
      <c r="BO832" t="s">
        <v>98</v>
      </c>
      <c r="BP832" t="s">
        <v>74</v>
      </c>
      <c r="BQ832" t="s">
        <v>74</v>
      </c>
      <c r="BR832" t="s">
        <v>99</v>
      </c>
      <c r="BS832" t="s">
        <v>15616</v>
      </c>
      <c r="BT832" t="str">
        <f>HYPERLINK("https%3A%2F%2Fwww.webofscience.com%2Fwos%2Fwoscc%2Ffull-record%2FWOS:001041837800001","View Full Record in Web of Science")</f>
        <v>View Full Record in Web of Science</v>
      </c>
    </row>
    <row r="833" spans="1:72" x14ac:dyDescent="0.15">
      <c r="A833" t="s">
        <v>72</v>
      </c>
      <c r="B833" t="s">
        <v>15617</v>
      </c>
      <c r="C833" t="s">
        <v>74</v>
      </c>
      <c r="D833" t="s">
        <v>74</v>
      </c>
      <c r="E833" t="s">
        <v>74</v>
      </c>
      <c r="F833" t="s">
        <v>15618</v>
      </c>
      <c r="G833" t="s">
        <v>74</v>
      </c>
      <c r="H833" t="s">
        <v>74</v>
      </c>
      <c r="I833" t="s">
        <v>15619</v>
      </c>
      <c r="J833" t="s">
        <v>15620</v>
      </c>
      <c r="K833" t="s">
        <v>74</v>
      </c>
      <c r="L833" t="s">
        <v>74</v>
      </c>
      <c r="M833" t="s">
        <v>78</v>
      </c>
      <c r="N833" t="s">
        <v>338</v>
      </c>
      <c r="O833" t="s">
        <v>74</v>
      </c>
      <c r="P833" t="s">
        <v>74</v>
      </c>
      <c r="Q833" t="s">
        <v>74</v>
      </c>
      <c r="R833" t="s">
        <v>74</v>
      </c>
      <c r="S833" t="s">
        <v>74</v>
      </c>
      <c r="T833" t="s">
        <v>15621</v>
      </c>
      <c r="U833" t="s">
        <v>15622</v>
      </c>
      <c r="V833" t="s">
        <v>15623</v>
      </c>
      <c r="W833" t="s">
        <v>15624</v>
      </c>
      <c r="X833" t="s">
        <v>15625</v>
      </c>
      <c r="Y833" t="s">
        <v>15626</v>
      </c>
      <c r="Z833" t="s">
        <v>15627</v>
      </c>
      <c r="AA833" t="s">
        <v>74</v>
      </c>
      <c r="AB833" t="s">
        <v>74</v>
      </c>
      <c r="AC833" t="s">
        <v>15628</v>
      </c>
      <c r="AD833" t="s">
        <v>15629</v>
      </c>
      <c r="AE833" t="s">
        <v>15630</v>
      </c>
      <c r="AF833" t="s">
        <v>74</v>
      </c>
      <c r="AG833">
        <v>70</v>
      </c>
      <c r="AH833">
        <v>0</v>
      </c>
      <c r="AI833">
        <v>0</v>
      </c>
      <c r="AJ833">
        <v>9</v>
      </c>
      <c r="AK833">
        <v>9</v>
      </c>
      <c r="AL833" t="s">
        <v>87</v>
      </c>
      <c r="AM833" t="s">
        <v>88</v>
      </c>
      <c r="AN833" t="s">
        <v>89</v>
      </c>
      <c r="AO833" t="s">
        <v>15631</v>
      </c>
      <c r="AP833" t="s">
        <v>15632</v>
      </c>
      <c r="AQ833" t="s">
        <v>74</v>
      </c>
      <c r="AR833" t="s">
        <v>15633</v>
      </c>
      <c r="AS833" t="s">
        <v>15634</v>
      </c>
      <c r="AT833" t="s">
        <v>15292</v>
      </c>
      <c r="AU833">
        <v>2023</v>
      </c>
      <c r="AV833" t="s">
        <v>74</v>
      </c>
      <c r="AW833" t="s">
        <v>74</v>
      </c>
      <c r="AX833" t="s">
        <v>74</v>
      </c>
      <c r="AY833" t="s">
        <v>74</v>
      </c>
      <c r="AZ833" t="s">
        <v>74</v>
      </c>
      <c r="BA833" t="s">
        <v>74</v>
      </c>
      <c r="BB833" t="s">
        <v>74</v>
      </c>
      <c r="BC833" t="s">
        <v>74</v>
      </c>
      <c r="BD833" t="s">
        <v>74</v>
      </c>
      <c r="BE833" t="s">
        <v>15635</v>
      </c>
      <c r="BF833" t="str">
        <f>HYPERLINK("http://dx.doi.org/10.1002/esp.5667","http://dx.doi.org/10.1002/esp.5667")</f>
        <v>http://dx.doi.org/10.1002/esp.5667</v>
      </c>
      <c r="BG833" t="s">
        <v>74</v>
      </c>
      <c r="BH833" t="s">
        <v>7524</v>
      </c>
      <c r="BI833">
        <v>19</v>
      </c>
      <c r="BJ833" t="s">
        <v>632</v>
      </c>
      <c r="BK833" t="s">
        <v>119</v>
      </c>
      <c r="BL833" t="s">
        <v>633</v>
      </c>
      <c r="BM833" t="s">
        <v>15636</v>
      </c>
      <c r="BN833" t="s">
        <v>74</v>
      </c>
      <c r="BO833" t="s">
        <v>122</v>
      </c>
      <c r="BP833" t="s">
        <v>74</v>
      </c>
      <c r="BQ833" t="s">
        <v>74</v>
      </c>
      <c r="BR833" t="s">
        <v>99</v>
      </c>
      <c r="BS833" t="s">
        <v>15637</v>
      </c>
      <c r="BT833" t="str">
        <f>HYPERLINK("https%3A%2F%2Fwww.webofscience.com%2Fwos%2Fwoscc%2Ffull-record%2FWOS:001040728200001","View Full Record in Web of Science")</f>
        <v>View Full Record in Web of Science</v>
      </c>
    </row>
    <row r="834" spans="1:72" x14ac:dyDescent="0.15">
      <c r="A834" t="s">
        <v>72</v>
      </c>
      <c r="B834" t="s">
        <v>15638</v>
      </c>
      <c r="C834" t="s">
        <v>74</v>
      </c>
      <c r="D834" t="s">
        <v>74</v>
      </c>
      <c r="E834" t="s">
        <v>74</v>
      </c>
      <c r="F834" t="s">
        <v>15639</v>
      </c>
      <c r="G834" t="s">
        <v>74</v>
      </c>
      <c r="H834" t="s">
        <v>74</v>
      </c>
      <c r="I834" t="s">
        <v>15640</v>
      </c>
      <c r="J834" t="s">
        <v>15641</v>
      </c>
      <c r="K834" t="s">
        <v>74</v>
      </c>
      <c r="L834" t="s">
        <v>74</v>
      </c>
      <c r="M834" t="s">
        <v>78</v>
      </c>
      <c r="N834" t="s">
        <v>79</v>
      </c>
      <c r="O834" t="s">
        <v>74</v>
      </c>
      <c r="P834" t="s">
        <v>74</v>
      </c>
      <c r="Q834" t="s">
        <v>74</v>
      </c>
      <c r="R834" t="s">
        <v>74</v>
      </c>
      <c r="S834" t="s">
        <v>74</v>
      </c>
      <c r="T834" t="s">
        <v>15642</v>
      </c>
      <c r="U834" t="s">
        <v>15643</v>
      </c>
      <c r="V834" t="s">
        <v>15644</v>
      </c>
      <c r="W834" t="s">
        <v>15645</v>
      </c>
      <c r="X834" t="s">
        <v>15646</v>
      </c>
      <c r="Y834" t="s">
        <v>15647</v>
      </c>
      <c r="Z834" t="s">
        <v>15648</v>
      </c>
      <c r="AA834" t="s">
        <v>74</v>
      </c>
      <c r="AB834" t="s">
        <v>15649</v>
      </c>
      <c r="AC834" t="s">
        <v>15650</v>
      </c>
      <c r="AD834" t="s">
        <v>15651</v>
      </c>
      <c r="AE834" t="s">
        <v>15652</v>
      </c>
      <c r="AF834" t="s">
        <v>74</v>
      </c>
      <c r="AG834">
        <v>15</v>
      </c>
      <c r="AH834">
        <v>0</v>
      </c>
      <c r="AI834">
        <v>0</v>
      </c>
      <c r="AJ834">
        <v>1</v>
      </c>
      <c r="AK834">
        <v>1</v>
      </c>
      <c r="AL834" t="s">
        <v>87</v>
      </c>
      <c r="AM834" t="s">
        <v>88</v>
      </c>
      <c r="AN834" t="s">
        <v>89</v>
      </c>
      <c r="AO834" t="s">
        <v>15653</v>
      </c>
      <c r="AP834" t="s">
        <v>15654</v>
      </c>
      <c r="AQ834" t="s">
        <v>74</v>
      </c>
      <c r="AR834" t="s">
        <v>15655</v>
      </c>
      <c r="AS834" t="s">
        <v>15656</v>
      </c>
      <c r="AT834" t="s">
        <v>11302</v>
      </c>
      <c r="AU834">
        <v>2023</v>
      </c>
      <c r="AV834">
        <v>59</v>
      </c>
      <c r="AW834">
        <v>15</v>
      </c>
      <c r="AX834" t="s">
        <v>74</v>
      </c>
      <c r="AY834" t="s">
        <v>74</v>
      </c>
      <c r="AZ834" t="s">
        <v>74</v>
      </c>
      <c r="BA834" t="s">
        <v>74</v>
      </c>
      <c r="BB834" t="s">
        <v>74</v>
      </c>
      <c r="BC834" t="s">
        <v>74</v>
      </c>
      <c r="BD834" t="s">
        <v>15657</v>
      </c>
      <c r="BE834" t="s">
        <v>15658</v>
      </c>
      <c r="BF834" t="str">
        <f>HYPERLINK("http://dx.doi.org/10.1049/ell2.12899","http://dx.doi.org/10.1049/ell2.12899")</f>
        <v>http://dx.doi.org/10.1049/ell2.12899</v>
      </c>
      <c r="BG834" t="s">
        <v>74</v>
      </c>
      <c r="BH834" t="s">
        <v>74</v>
      </c>
      <c r="BI834">
        <v>3</v>
      </c>
      <c r="BJ834" t="s">
        <v>1249</v>
      </c>
      <c r="BK834" t="s">
        <v>119</v>
      </c>
      <c r="BL834" t="s">
        <v>1250</v>
      </c>
      <c r="BM834" t="s">
        <v>15659</v>
      </c>
      <c r="BN834" t="s">
        <v>74</v>
      </c>
      <c r="BO834" t="s">
        <v>234</v>
      </c>
      <c r="BP834" t="s">
        <v>74</v>
      </c>
      <c r="BQ834" t="s">
        <v>74</v>
      </c>
      <c r="BR834" t="s">
        <v>99</v>
      </c>
      <c r="BS834" t="s">
        <v>15660</v>
      </c>
      <c r="BT834" t="str">
        <f>HYPERLINK("https%3A%2F%2Fwww.webofscience.com%2Fwos%2Fwoscc%2Ffull-record%2FWOS:001043229800001","View Full Record in Web of Science")</f>
        <v>View Full Record in Web of Science</v>
      </c>
    </row>
    <row r="835" spans="1:72" x14ac:dyDescent="0.15">
      <c r="A835" t="s">
        <v>72</v>
      </c>
      <c r="B835" t="s">
        <v>15661</v>
      </c>
      <c r="C835" t="s">
        <v>74</v>
      </c>
      <c r="D835" t="s">
        <v>74</v>
      </c>
      <c r="E835" t="s">
        <v>74</v>
      </c>
      <c r="F835" t="s">
        <v>15662</v>
      </c>
      <c r="G835" t="s">
        <v>74</v>
      </c>
      <c r="H835" t="s">
        <v>74</v>
      </c>
      <c r="I835" t="s">
        <v>15663</v>
      </c>
      <c r="J835" t="s">
        <v>6732</v>
      </c>
      <c r="K835" t="s">
        <v>74</v>
      </c>
      <c r="L835" t="s">
        <v>74</v>
      </c>
      <c r="M835" t="s">
        <v>78</v>
      </c>
      <c r="N835" t="s">
        <v>79</v>
      </c>
      <c r="O835" t="s">
        <v>74</v>
      </c>
      <c r="P835" t="s">
        <v>74</v>
      </c>
      <c r="Q835" t="s">
        <v>74</v>
      </c>
      <c r="R835" t="s">
        <v>74</v>
      </c>
      <c r="S835" t="s">
        <v>74</v>
      </c>
      <c r="T835" t="s">
        <v>15664</v>
      </c>
      <c r="U835" t="s">
        <v>15665</v>
      </c>
      <c r="V835" t="s">
        <v>15666</v>
      </c>
      <c r="W835" t="s">
        <v>15667</v>
      </c>
      <c r="X835" t="s">
        <v>15668</v>
      </c>
      <c r="Y835" t="s">
        <v>15669</v>
      </c>
      <c r="Z835" t="s">
        <v>15670</v>
      </c>
      <c r="AA835" t="s">
        <v>15671</v>
      </c>
      <c r="AB835" t="s">
        <v>15672</v>
      </c>
      <c r="AC835" t="s">
        <v>15673</v>
      </c>
      <c r="AD835" t="s">
        <v>15674</v>
      </c>
      <c r="AE835" t="s">
        <v>15675</v>
      </c>
      <c r="AF835" t="s">
        <v>74</v>
      </c>
      <c r="AG835">
        <v>71</v>
      </c>
      <c r="AH835">
        <v>0</v>
      </c>
      <c r="AI835">
        <v>0</v>
      </c>
      <c r="AJ835">
        <v>1</v>
      </c>
      <c r="AK835">
        <v>1</v>
      </c>
      <c r="AL835" t="s">
        <v>87</v>
      </c>
      <c r="AM835" t="s">
        <v>88</v>
      </c>
      <c r="AN835" t="s">
        <v>89</v>
      </c>
      <c r="AO835" t="s">
        <v>6742</v>
      </c>
      <c r="AP835" t="s">
        <v>74</v>
      </c>
      <c r="AQ835" t="s">
        <v>74</v>
      </c>
      <c r="AR835" t="s">
        <v>6743</v>
      </c>
      <c r="AS835" t="s">
        <v>6744</v>
      </c>
      <c r="AT835" t="s">
        <v>11302</v>
      </c>
      <c r="AU835">
        <v>2023</v>
      </c>
      <c r="AV835">
        <v>13</v>
      </c>
      <c r="AW835">
        <v>8</v>
      </c>
      <c r="AX835" t="s">
        <v>74</v>
      </c>
      <c r="AY835" t="s">
        <v>74</v>
      </c>
      <c r="AZ835" t="s">
        <v>74</v>
      </c>
      <c r="BA835" t="s">
        <v>74</v>
      </c>
      <c r="BB835" t="s">
        <v>74</v>
      </c>
      <c r="BC835" t="s">
        <v>74</v>
      </c>
      <c r="BD835" t="s">
        <v>15676</v>
      </c>
      <c r="BE835" t="s">
        <v>15677</v>
      </c>
      <c r="BF835" t="str">
        <f>HYPERLINK("http://dx.doi.org/10.1002/ece3.10358","http://dx.doi.org/10.1002/ece3.10358")</f>
        <v>http://dx.doi.org/10.1002/ece3.10358</v>
      </c>
      <c r="BG835" t="s">
        <v>74</v>
      </c>
      <c r="BH835" t="s">
        <v>74</v>
      </c>
      <c r="BI835">
        <v>25</v>
      </c>
      <c r="BJ835" t="s">
        <v>6747</v>
      </c>
      <c r="BK835" t="s">
        <v>119</v>
      </c>
      <c r="BL835" t="s">
        <v>6748</v>
      </c>
      <c r="BM835" t="s">
        <v>15678</v>
      </c>
      <c r="BN835">
        <v>37539069</v>
      </c>
      <c r="BO835" t="s">
        <v>98</v>
      </c>
      <c r="BP835" t="s">
        <v>74</v>
      </c>
      <c r="BQ835" t="s">
        <v>74</v>
      </c>
      <c r="BR835" t="s">
        <v>99</v>
      </c>
      <c r="BS835" t="s">
        <v>15679</v>
      </c>
      <c r="BT835" t="str">
        <f>HYPERLINK("https%3A%2F%2Fwww.webofscience.com%2Fwos%2Fwoscc%2Ffull-record%2FWOS:001041588000001","View Full Record in Web of Science")</f>
        <v>View Full Record in Web of Science</v>
      </c>
    </row>
    <row r="836" spans="1:72" x14ac:dyDescent="0.15">
      <c r="A836" t="s">
        <v>72</v>
      </c>
      <c r="B836" t="s">
        <v>15680</v>
      </c>
      <c r="C836" t="s">
        <v>74</v>
      </c>
      <c r="D836" t="s">
        <v>74</v>
      </c>
      <c r="E836" t="s">
        <v>74</v>
      </c>
      <c r="F836" t="s">
        <v>15681</v>
      </c>
      <c r="G836" t="s">
        <v>74</v>
      </c>
      <c r="H836" t="s">
        <v>74</v>
      </c>
      <c r="I836" t="s">
        <v>15682</v>
      </c>
      <c r="J836" t="s">
        <v>7259</v>
      </c>
      <c r="K836" t="s">
        <v>74</v>
      </c>
      <c r="L836" t="s">
        <v>74</v>
      </c>
      <c r="M836" t="s">
        <v>78</v>
      </c>
      <c r="N836" t="s">
        <v>2743</v>
      </c>
      <c r="O836" t="s">
        <v>74</v>
      </c>
      <c r="P836" t="s">
        <v>74</v>
      </c>
      <c r="Q836" t="s">
        <v>74</v>
      </c>
      <c r="R836" t="s">
        <v>74</v>
      </c>
      <c r="S836" t="s">
        <v>74</v>
      </c>
      <c r="T836" t="s">
        <v>74</v>
      </c>
      <c r="U836" t="s">
        <v>74</v>
      </c>
      <c r="V836" t="s">
        <v>74</v>
      </c>
      <c r="W836" t="s">
        <v>15683</v>
      </c>
      <c r="X836" t="s">
        <v>15684</v>
      </c>
      <c r="Y836" t="s">
        <v>15685</v>
      </c>
      <c r="Z836" t="s">
        <v>15686</v>
      </c>
      <c r="AA836" t="s">
        <v>74</v>
      </c>
      <c r="AB836" t="s">
        <v>15687</v>
      </c>
      <c r="AC836" t="s">
        <v>74</v>
      </c>
      <c r="AD836" t="s">
        <v>74</v>
      </c>
      <c r="AE836" t="s">
        <v>74</v>
      </c>
      <c r="AF836" t="s">
        <v>74</v>
      </c>
      <c r="AG836">
        <v>6</v>
      </c>
      <c r="AH836">
        <v>0</v>
      </c>
      <c r="AI836">
        <v>0</v>
      </c>
      <c r="AJ836">
        <v>1</v>
      </c>
      <c r="AK836">
        <v>1</v>
      </c>
      <c r="AL836" t="s">
        <v>87</v>
      </c>
      <c r="AM836" t="s">
        <v>88</v>
      </c>
      <c r="AN836" t="s">
        <v>89</v>
      </c>
      <c r="AO836" t="s">
        <v>7264</v>
      </c>
      <c r="AP836" t="s">
        <v>7265</v>
      </c>
      <c r="AQ836" t="s">
        <v>74</v>
      </c>
      <c r="AR836" t="s">
        <v>7266</v>
      </c>
      <c r="AS836" t="s">
        <v>7267</v>
      </c>
      <c r="AT836" t="s">
        <v>15292</v>
      </c>
      <c r="AU836">
        <v>2023</v>
      </c>
      <c r="AV836" t="s">
        <v>74</v>
      </c>
      <c r="AW836" t="s">
        <v>74</v>
      </c>
      <c r="AX836" t="s">
        <v>74</v>
      </c>
      <c r="AY836" t="s">
        <v>74</v>
      </c>
      <c r="AZ836" t="s">
        <v>74</v>
      </c>
      <c r="BA836" t="s">
        <v>74</v>
      </c>
      <c r="BB836" t="s">
        <v>74</v>
      </c>
      <c r="BC836" t="s">
        <v>74</v>
      </c>
      <c r="BD836" t="s">
        <v>74</v>
      </c>
      <c r="BE836" t="s">
        <v>15688</v>
      </c>
      <c r="BF836" t="str">
        <f>HYPERLINK("http://dx.doi.org/10.1111/jdv.19341","http://dx.doi.org/10.1111/jdv.19341")</f>
        <v>http://dx.doi.org/10.1111/jdv.19341</v>
      </c>
      <c r="BG836" t="s">
        <v>74</v>
      </c>
      <c r="BH836" t="s">
        <v>7524</v>
      </c>
      <c r="BI836">
        <v>2</v>
      </c>
      <c r="BJ836" t="s">
        <v>2541</v>
      </c>
      <c r="BK836" t="s">
        <v>119</v>
      </c>
      <c r="BL836" t="s">
        <v>2541</v>
      </c>
      <c r="BM836" t="s">
        <v>15689</v>
      </c>
      <c r="BN836">
        <v>37466363</v>
      </c>
      <c r="BO836" t="s">
        <v>301</v>
      </c>
      <c r="BP836" t="s">
        <v>74</v>
      </c>
      <c r="BQ836" t="s">
        <v>74</v>
      </c>
      <c r="BR836" t="s">
        <v>99</v>
      </c>
      <c r="BS836" t="s">
        <v>15690</v>
      </c>
      <c r="BT836" t="str">
        <f>HYPERLINK("https%3A%2F%2Fwww.webofscience.com%2Fwos%2Fwoscc%2Ffull-record%2FWOS:001041021400001","View Full Record in Web of Science")</f>
        <v>View Full Record in Web of Science</v>
      </c>
    </row>
    <row r="837" spans="1:72" x14ac:dyDescent="0.15">
      <c r="A837" t="s">
        <v>72</v>
      </c>
      <c r="B837" t="s">
        <v>15691</v>
      </c>
      <c r="C837" t="s">
        <v>74</v>
      </c>
      <c r="D837" t="s">
        <v>74</v>
      </c>
      <c r="E837" t="s">
        <v>74</v>
      </c>
      <c r="F837" t="s">
        <v>15692</v>
      </c>
      <c r="G837" t="s">
        <v>74</v>
      </c>
      <c r="H837" t="s">
        <v>74</v>
      </c>
      <c r="I837" t="s">
        <v>15693</v>
      </c>
      <c r="J837" t="s">
        <v>11373</v>
      </c>
      <c r="K837" t="s">
        <v>74</v>
      </c>
      <c r="L837" t="s">
        <v>74</v>
      </c>
      <c r="M837" t="s">
        <v>78</v>
      </c>
      <c r="N837" t="s">
        <v>288</v>
      </c>
      <c r="O837" t="s">
        <v>74</v>
      </c>
      <c r="P837" t="s">
        <v>74</v>
      </c>
      <c r="Q837" t="s">
        <v>74</v>
      </c>
      <c r="R837" t="s">
        <v>74</v>
      </c>
      <c r="S837" t="s">
        <v>74</v>
      </c>
      <c r="T837" t="s">
        <v>15694</v>
      </c>
      <c r="U837" t="s">
        <v>74</v>
      </c>
      <c r="V837" t="s">
        <v>74</v>
      </c>
      <c r="W837" t="s">
        <v>15695</v>
      </c>
      <c r="X837" t="s">
        <v>15696</v>
      </c>
      <c r="Y837" t="s">
        <v>15697</v>
      </c>
      <c r="Z837" t="s">
        <v>15698</v>
      </c>
      <c r="AA837" t="s">
        <v>15699</v>
      </c>
      <c r="AB837" t="s">
        <v>15700</v>
      </c>
      <c r="AC837" t="s">
        <v>15701</v>
      </c>
      <c r="AD837" t="s">
        <v>15702</v>
      </c>
      <c r="AE837" t="s">
        <v>15703</v>
      </c>
      <c r="AF837" t="s">
        <v>74</v>
      </c>
      <c r="AG837">
        <v>5</v>
      </c>
      <c r="AH837">
        <v>0</v>
      </c>
      <c r="AI837">
        <v>0</v>
      </c>
      <c r="AJ837">
        <v>0</v>
      </c>
      <c r="AK837">
        <v>0</v>
      </c>
      <c r="AL837" t="s">
        <v>87</v>
      </c>
      <c r="AM837" t="s">
        <v>88</v>
      </c>
      <c r="AN837" t="s">
        <v>89</v>
      </c>
      <c r="AO837" t="s">
        <v>74</v>
      </c>
      <c r="AP837" t="s">
        <v>11384</v>
      </c>
      <c r="AQ837" t="s">
        <v>74</v>
      </c>
      <c r="AR837" t="s">
        <v>11385</v>
      </c>
      <c r="AS837" t="s">
        <v>11386</v>
      </c>
      <c r="AT837" t="s">
        <v>15704</v>
      </c>
      <c r="AU837">
        <v>2023</v>
      </c>
      <c r="AV837">
        <v>12</v>
      </c>
      <c r="AW837">
        <v>15</v>
      </c>
      <c r="AX837" t="s">
        <v>74</v>
      </c>
      <c r="AY837" t="s">
        <v>74</v>
      </c>
      <c r="AZ837" t="s">
        <v>74</v>
      </c>
      <c r="BA837" t="s">
        <v>74</v>
      </c>
      <c r="BB837" t="s">
        <v>74</v>
      </c>
      <c r="BC837" t="s">
        <v>74</v>
      </c>
      <c r="BD837" t="s">
        <v>15705</v>
      </c>
      <c r="BE837" t="s">
        <v>15706</v>
      </c>
      <c r="BF837" t="str">
        <f>HYPERLINK("http://dx.doi.org/10.1161/JAHA.123.029972","http://dx.doi.org/10.1161/JAHA.123.029972")</f>
        <v>http://dx.doi.org/10.1161/JAHA.123.029972</v>
      </c>
      <c r="BG837" t="s">
        <v>74</v>
      </c>
      <c r="BH837" t="s">
        <v>74</v>
      </c>
      <c r="BI837">
        <v>4</v>
      </c>
      <c r="BJ837" t="s">
        <v>1849</v>
      </c>
      <c r="BK837" t="s">
        <v>119</v>
      </c>
      <c r="BL837" t="s">
        <v>1850</v>
      </c>
      <c r="BM837" t="s">
        <v>15707</v>
      </c>
      <c r="BN837">
        <v>37489743</v>
      </c>
      <c r="BO837" t="s">
        <v>74</v>
      </c>
      <c r="BP837" t="s">
        <v>74</v>
      </c>
      <c r="BQ837" t="s">
        <v>74</v>
      </c>
      <c r="BR837" t="s">
        <v>99</v>
      </c>
      <c r="BS837" t="s">
        <v>15708</v>
      </c>
      <c r="BT837" t="str">
        <f>HYPERLINK("https%3A%2F%2Fwww.webofscience.com%2Fwos%2Fwoscc%2Ffull-record%2FWOS:001041061200021","View Full Record in Web of Science")</f>
        <v>View Full Record in Web of Science</v>
      </c>
    </row>
    <row r="838" spans="1:72" x14ac:dyDescent="0.15">
      <c r="A838" t="s">
        <v>72</v>
      </c>
      <c r="B838" t="s">
        <v>15709</v>
      </c>
      <c r="C838" t="s">
        <v>74</v>
      </c>
      <c r="D838" t="s">
        <v>74</v>
      </c>
      <c r="E838" t="s">
        <v>74</v>
      </c>
      <c r="F838" t="s">
        <v>15710</v>
      </c>
      <c r="G838" t="s">
        <v>74</v>
      </c>
      <c r="H838" t="s">
        <v>74</v>
      </c>
      <c r="I838" t="s">
        <v>15711</v>
      </c>
      <c r="J838" t="s">
        <v>15712</v>
      </c>
      <c r="K838" t="s">
        <v>74</v>
      </c>
      <c r="L838" t="s">
        <v>74</v>
      </c>
      <c r="M838" t="s">
        <v>78</v>
      </c>
      <c r="N838" t="s">
        <v>79</v>
      </c>
      <c r="O838" t="s">
        <v>74</v>
      </c>
      <c r="P838" t="s">
        <v>74</v>
      </c>
      <c r="Q838" t="s">
        <v>74</v>
      </c>
      <c r="R838" t="s">
        <v>74</v>
      </c>
      <c r="S838" t="s">
        <v>74</v>
      </c>
      <c r="T838" t="s">
        <v>15713</v>
      </c>
      <c r="U838" t="s">
        <v>15714</v>
      </c>
      <c r="V838" t="s">
        <v>15715</v>
      </c>
      <c r="W838" t="s">
        <v>15716</v>
      </c>
      <c r="X838" t="s">
        <v>15717</v>
      </c>
      <c r="Y838" t="s">
        <v>15718</v>
      </c>
      <c r="Z838" t="s">
        <v>15719</v>
      </c>
      <c r="AA838" t="s">
        <v>74</v>
      </c>
      <c r="AB838" t="s">
        <v>74</v>
      </c>
      <c r="AC838" t="s">
        <v>74</v>
      </c>
      <c r="AD838" t="s">
        <v>74</v>
      </c>
      <c r="AE838" t="s">
        <v>74</v>
      </c>
      <c r="AF838" t="s">
        <v>74</v>
      </c>
      <c r="AG838">
        <v>48</v>
      </c>
      <c r="AH838">
        <v>0</v>
      </c>
      <c r="AI838">
        <v>0</v>
      </c>
      <c r="AJ838">
        <v>0</v>
      </c>
      <c r="AK838">
        <v>0</v>
      </c>
      <c r="AL838" t="s">
        <v>1100</v>
      </c>
      <c r="AM838" t="s">
        <v>1101</v>
      </c>
      <c r="AN838" t="s">
        <v>1102</v>
      </c>
      <c r="AO838" t="s">
        <v>74</v>
      </c>
      <c r="AP838" t="s">
        <v>15720</v>
      </c>
      <c r="AQ838" t="s">
        <v>74</v>
      </c>
      <c r="AR838" t="s">
        <v>15721</v>
      </c>
      <c r="AS838" t="s">
        <v>15722</v>
      </c>
      <c r="AT838" t="s">
        <v>11302</v>
      </c>
      <c r="AU838">
        <v>2023</v>
      </c>
      <c r="AV838">
        <v>26</v>
      </c>
      <c r="AW838">
        <v>8</v>
      </c>
      <c r="AX838" t="s">
        <v>74</v>
      </c>
      <c r="AY838" t="s">
        <v>74</v>
      </c>
      <c r="AZ838" t="s">
        <v>74</v>
      </c>
      <c r="BA838" t="s">
        <v>74</v>
      </c>
      <c r="BB838" t="s">
        <v>74</v>
      </c>
      <c r="BC838" t="s">
        <v>74</v>
      </c>
      <c r="BD838" t="s">
        <v>15723</v>
      </c>
      <c r="BE838" t="s">
        <v>15724</v>
      </c>
      <c r="BF838" t="str">
        <f>HYPERLINK("http://dx.doi.org/10.1002/jia2.26146","http://dx.doi.org/10.1002/jia2.26146")</f>
        <v>http://dx.doi.org/10.1002/jia2.26146</v>
      </c>
      <c r="BG838" t="s">
        <v>74</v>
      </c>
      <c r="BH838" t="s">
        <v>74</v>
      </c>
      <c r="BI838">
        <v>7</v>
      </c>
      <c r="BJ838" t="s">
        <v>15725</v>
      </c>
      <c r="BK838" t="s">
        <v>119</v>
      </c>
      <c r="BL838" t="s">
        <v>15725</v>
      </c>
      <c r="BM838" t="s">
        <v>15726</v>
      </c>
      <c r="BN838">
        <v>37535441</v>
      </c>
      <c r="BO838" t="s">
        <v>98</v>
      </c>
      <c r="BP838" t="s">
        <v>74</v>
      </c>
      <c r="BQ838" t="s">
        <v>74</v>
      </c>
      <c r="BR838" t="s">
        <v>99</v>
      </c>
      <c r="BS838" t="s">
        <v>15727</v>
      </c>
      <c r="BT838" t="str">
        <f>HYPERLINK("https%3A%2F%2Fwww.webofscience.com%2Fwos%2Fwoscc%2Ffull-record%2FWOS:001044122600001","View Full Record in Web of Science")</f>
        <v>View Full Record in Web of Science</v>
      </c>
    </row>
    <row r="839" spans="1:72" x14ac:dyDescent="0.15">
      <c r="A839" t="s">
        <v>72</v>
      </c>
      <c r="B839" t="s">
        <v>15728</v>
      </c>
      <c r="C839" t="s">
        <v>74</v>
      </c>
      <c r="D839" t="s">
        <v>74</v>
      </c>
      <c r="E839" t="s">
        <v>74</v>
      </c>
      <c r="F839" t="s">
        <v>15729</v>
      </c>
      <c r="G839" t="s">
        <v>74</v>
      </c>
      <c r="H839" t="s">
        <v>74</v>
      </c>
      <c r="I839" t="s">
        <v>15730</v>
      </c>
      <c r="J839" t="s">
        <v>15731</v>
      </c>
      <c r="K839" t="s">
        <v>74</v>
      </c>
      <c r="L839" t="s">
        <v>74</v>
      </c>
      <c r="M839" t="s">
        <v>78</v>
      </c>
      <c r="N839" t="s">
        <v>338</v>
      </c>
      <c r="O839" t="s">
        <v>74</v>
      </c>
      <c r="P839" t="s">
        <v>74</v>
      </c>
      <c r="Q839" t="s">
        <v>74</v>
      </c>
      <c r="R839" t="s">
        <v>74</v>
      </c>
      <c r="S839" t="s">
        <v>74</v>
      </c>
      <c r="T839" t="s">
        <v>74</v>
      </c>
      <c r="U839" t="s">
        <v>15732</v>
      </c>
      <c r="V839" t="s">
        <v>15733</v>
      </c>
      <c r="W839" t="s">
        <v>15734</v>
      </c>
      <c r="X839" t="s">
        <v>15735</v>
      </c>
      <c r="Y839" t="s">
        <v>15736</v>
      </c>
      <c r="Z839" t="s">
        <v>15737</v>
      </c>
      <c r="AA839" t="s">
        <v>74</v>
      </c>
      <c r="AB839" t="s">
        <v>15738</v>
      </c>
      <c r="AC839" t="s">
        <v>74</v>
      </c>
      <c r="AD839" t="s">
        <v>74</v>
      </c>
      <c r="AE839" t="s">
        <v>74</v>
      </c>
      <c r="AF839" t="s">
        <v>74</v>
      </c>
      <c r="AG839">
        <v>53</v>
      </c>
      <c r="AH839">
        <v>0</v>
      </c>
      <c r="AI839">
        <v>0</v>
      </c>
      <c r="AJ839">
        <v>3</v>
      </c>
      <c r="AK839">
        <v>3</v>
      </c>
      <c r="AL839" t="s">
        <v>87</v>
      </c>
      <c r="AM839" t="s">
        <v>88</v>
      </c>
      <c r="AN839" t="s">
        <v>89</v>
      </c>
      <c r="AO839" t="s">
        <v>15739</v>
      </c>
      <c r="AP839" t="s">
        <v>15740</v>
      </c>
      <c r="AQ839" t="s">
        <v>74</v>
      </c>
      <c r="AR839" t="s">
        <v>15741</v>
      </c>
      <c r="AS839" t="s">
        <v>15742</v>
      </c>
      <c r="AT839" t="s">
        <v>15292</v>
      </c>
      <c r="AU839">
        <v>2023</v>
      </c>
      <c r="AV839" t="s">
        <v>74</v>
      </c>
      <c r="AW839" t="s">
        <v>74</v>
      </c>
      <c r="AX839" t="s">
        <v>74</v>
      </c>
      <c r="AY839" t="s">
        <v>74</v>
      </c>
      <c r="AZ839" t="s">
        <v>74</v>
      </c>
      <c r="BA839" t="s">
        <v>74</v>
      </c>
      <c r="BB839" t="s">
        <v>74</v>
      </c>
      <c r="BC839" t="s">
        <v>74</v>
      </c>
      <c r="BD839" t="s">
        <v>74</v>
      </c>
      <c r="BE839" t="s">
        <v>15743</v>
      </c>
      <c r="BF839" t="str">
        <f>HYPERLINK("http://dx.doi.org/10.1002/tesq.3249","http://dx.doi.org/10.1002/tesq.3249")</f>
        <v>http://dx.doi.org/10.1002/tesq.3249</v>
      </c>
      <c r="BG839" t="s">
        <v>74</v>
      </c>
      <c r="BH839" t="s">
        <v>7524</v>
      </c>
      <c r="BI839">
        <v>28</v>
      </c>
      <c r="BJ839" t="s">
        <v>2289</v>
      </c>
      <c r="BK839" t="s">
        <v>546</v>
      </c>
      <c r="BL839" t="s">
        <v>2289</v>
      </c>
      <c r="BM839" t="s">
        <v>15744</v>
      </c>
      <c r="BN839" t="s">
        <v>74</v>
      </c>
      <c r="BO839" t="s">
        <v>122</v>
      </c>
      <c r="BP839" t="s">
        <v>74</v>
      </c>
      <c r="BQ839" t="s">
        <v>74</v>
      </c>
      <c r="BR839" t="s">
        <v>99</v>
      </c>
      <c r="BS839" t="s">
        <v>15745</v>
      </c>
      <c r="BT839" t="str">
        <f>HYPERLINK("https%3A%2F%2Fwww.webofscience.com%2Fwos%2Fwoscc%2Ffull-record%2FWOS:001040109400001","View Full Record in Web of Science")</f>
        <v>View Full Record in Web of Science</v>
      </c>
    </row>
    <row r="840" spans="1:72" x14ac:dyDescent="0.15">
      <c r="A840" t="s">
        <v>72</v>
      </c>
      <c r="B840" t="s">
        <v>15746</v>
      </c>
      <c r="C840" t="s">
        <v>74</v>
      </c>
      <c r="D840" t="s">
        <v>74</v>
      </c>
      <c r="E840" t="s">
        <v>74</v>
      </c>
      <c r="F840" t="s">
        <v>15747</v>
      </c>
      <c r="G840" t="s">
        <v>74</v>
      </c>
      <c r="H840" t="s">
        <v>74</v>
      </c>
      <c r="I840" t="s">
        <v>15748</v>
      </c>
      <c r="J840" t="s">
        <v>15749</v>
      </c>
      <c r="K840" t="s">
        <v>74</v>
      </c>
      <c r="L840" t="s">
        <v>74</v>
      </c>
      <c r="M840" t="s">
        <v>78</v>
      </c>
      <c r="N840" t="s">
        <v>79</v>
      </c>
      <c r="O840" t="s">
        <v>74</v>
      </c>
      <c r="P840" t="s">
        <v>74</v>
      </c>
      <c r="Q840" t="s">
        <v>74</v>
      </c>
      <c r="R840" t="s">
        <v>74</v>
      </c>
      <c r="S840" t="s">
        <v>74</v>
      </c>
      <c r="T840" t="s">
        <v>74</v>
      </c>
      <c r="U840" t="s">
        <v>15750</v>
      </c>
      <c r="V840" t="s">
        <v>15751</v>
      </c>
      <c r="W840" t="s">
        <v>15752</v>
      </c>
      <c r="X840" t="s">
        <v>12852</v>
      </c>
      <c r="Y840" t="s">
        <v>15753</v>
      </c>
      <c r="Z840" t="s">
        <v>15754</v>
      </c>
      <c r="AA840" t="s">
        <v>74</v>
      </c>
      <c r="AB840" t="s">
        <v>15755</v>
      </c>
      <c r="AC840" t="s">
        <v>15756</v>
      </c>
      <c r="AD840" t="s">
        <v>15757</v>
      </c>
      <c r="AE840" t="s">
        <v>15758</v>
      </c>
      <c r="AF840" t="s">
        <v>74</v>
      </c>
      <c r="AG840">
        <v>49</v>
      </c>
      <c r="AH840">
        <v>0</v>
      </c>
      <c r="AI840">
        <v>0</v>
      </c>
      <c r="AJ840">
        <v>2</v>
      </c>
      <c r="AK840">
        <v>2</v>
      </c>
      <c r="AL840" t="s">
        <v>87</v>
      </c>
      <c r="AM840" t="s">
        <v>88</v>
      </c>
      <c r="AN840" t="s">
        <v>89</v>
      </c>
      <c r="AO840" t="s">
        <v>15759</v>
      </c>
      <c r="AP840" t="s">
        <v>15760</v>
      </c>
      <c r="AQ840" t="s">
        <v>74</v>
      </c>
      <c r="AR840" t="s">
        <v>15761</v>
      </c>
      <c r="AS840" t="s">
        <v>15762</v>
      </c>
      <c r="AT840" t="s">
        <v>11302</v>
      </c>
      <c r="AU840">
        <v>2023</v>
      </c>
      <c r="AV840">
        <v>175</v>
      </c>
      <c r="AW840">
        <v>5</v>
      </c>
      <c r="AX840" t="s">
        <v>74</v>
      </c>
      <c r="AY840" t="s">
        <v>74</v>
      </c>
      <c r="AZ840" t="s">
        <v>74</v>
      </c>
      <c r="BA840" t="s">
        <v>74</v>
      </c>
      <c r="BB840" t="s">
        <v>74</v>
      </c>
      <c r="BC840" t="s">
        <v>74</v>
      </c>
      <c r="BD840" t="s">
        <v>15763</v>
      </c>
      <c r="BE840" t="s">
        <v>15764</v>
      </c>
      <c r="BF840" t="str">
        <f>HYPERLINK("http://dx.doi.org/10.1111/ppl.14012","http://dx.doi.org/10.1111/ppl.14012")</f>
        <v>http://dx.doi.org/10.1111/ppl.14012</v>
      </c>
      <c r="BG840" t="s">
        <v>74</v>
      </c>
      <c r="BH840" t="s">
        <v>74</v>
      </c>
      <c r="BI840">
        <v>14</v>
      </c>
      <c r="BJ840" t="s">
        <v>1751</v>
      </c>
      <c r="BK840" t="s">
        <v>119</v>
      </c>
      <c r="BL840" t="s">
        <v>1751</v>
      </c>
      <c r="BM840" t="s">
        <v>15765</v>
      </c>
      <c r="BN840" t="s">
        <v>74</v>
      </c>
      <c r="BO840" t="s">
        <v>74</v>
      </c>
      <c r="BP840" t="s">
        <v>74</v>
      </c>
      <c r="BQ840" t="s">
        <v>74</v>
      </c>
      <c r="BR840" t="s">
        <v>99</v>
      </c>
      <c r="BS840" t="s">
        <v>15766</v>
      </c>
      <c r="BT840" t="str">
        <f>HYPERLINK("https%3A%2F%2Fwww.webofscience.com%2Fwos%2Fwoscc%2Ffull-record%2FWOS:001062390100001","View Full Record in Web of Science")</f>
        <v>View Full Record in Web of Science</v>
      </c>
    </row>
    <row r="841" spans="1:72" x14ac:dyDescent="0.15">
      <c r="A841" t="s">
        <v>72</v>
      </c>
      <c r="B841" t="s">
        <v>15767</v>
      </c>
      <c r="C841" t="s">
        <v>74</v>
      </c>
      <c r="D841" t="s">
        <v>74</v>
      </c>
      <c r="E841" t="s">
        <v>74</v>
      </c>
      <c r="F841" t="s">
        <v>15768</v>
      </c>
      <c r="G841" t="s">
        <v>74</v>
      </c>
      <c r="H841" t="s">
        <v>74</v>
      </c>
      <c r="I841" t="s">
        <v>15769</v>
      </c>
      <c r="J841" t="s">
        <v>7189</v>
      </c>
      <c r="K841" t="s">
        <v>74</v>
      </c>
      <c r="L841" t="s">
        <v>74</v>
      </c>
      <c r="M841" t="s">
        <v>78</v>
      </c>
      <c r="N841" t="s">
        <v>79</v>
      </c>
      <c r="O841" t="s">
        <v>74</v>
      </c>
      <c r="P841" t="s">
        <v>74</v>
      </c>
      <c r="Q841" t="s">
        <v>74</v>
      </c>
      <c r="R841" t="s">
        <v>74</v>
      </c>
      <c r="S841" t="s">
        <v>74</v>
      </c>
      <c r="T841" t="s">
        <v>15770</v>
      </c>
      <c r="U841" t="s">
        <v>15771</v>
      </c>
      <c r="V841" t="s">
        <v>15772</v>
      </c>
      <c r="W841" t="s">
        <v>15773</v>
      </c>
      <c r="X841" t="s">
        <v>12215</v>
      </c>
      <c r="Y841" t="s">
        <v>15774</v>
      </c>
      <c r="Z841" t="s">
        <v>15775</v>
      </c>
      <c r="AA841" t="s">
        <v>74</v>
      </c>
      <c r="AB841" t="s">
        <v>74</v>
      </c>
      <c r="AC841" t="s">
        <v>15776</v>
      </c>
      <c r="AD841" t="s">
        <v>15777</v>
      </c>
      <c r="AE841" t="s">
        <v>15778</v>
      </c>
      <c r="AF841" t="s">
        <v>74</v>
      </c>
      <c r="AG841">
        <v>62</v>
      </c>
      <c r="AH841">
        <v>0</v>
      </c>
      <c r="AI841">
        <v>0</v>
      </c>
      <c r="AJ841">
        <v>3</v>
      </c>
      <c r="AK841">
        <v>3</v>
      </c>
      <c r="AL841" t="s">
        <v>87</v>
      </c>
      <c r="AM841" t="s">
        <v>88</v>
      </c>
      <c r="AN841" t="s">
        <v>89</v>
      </c>
      <c r="AO841" t="s">
        <v>7200</v>
      </c>
      <c r="AP841" t="s">
        <v>7201</v>
      </c>
      <c r="AQ841" t="s">
        <v>74</v>
      </c>
      <c r="AR841" t="s">
        <v>7202</v>
      </c>
      <c r="AS841" t="s">
        <v>7203</v>
      </c>
      <c r="AT841" t="s">
        <v>11302</v>
      </c>
      <c r="AU841">
        <v>2023</v>
      </c>
      <c r="AV841">
        <v>37</v>
      </c>
      <c r="AW841">
        <v>8</v>
      </c>
      <c r="AX841" t="s">
        <v>74</v>
      </c>
      <c r="AY841" t="s">
        <v>74</v>
      </c>
      <c r="AZ841" t="s">
        <v>74</v>
      </c>
      <c r="BA841" t="s">
        <v>74</v>
      </c>
      <c r="BB841" t="s">
        <v>74</v>
      </c>
      <c r="BC841" t="s">
        <v>74</v>
      </c>
      <c r="BD841" t="s">
        <v>15779</v>
      </c>
      <c r="BE841" t="s">
        <v>15780</v>
      </c>
      <c r="BF841" t="str">
        <f>HYPERLINK("http://dx.doi.org/10.1002/hyp.14967","http://dx.doi.org/10.1002/hyp.14967")</f>
        <v>http://dx.doi.org/10.1002/hyp.14967</v>
      </c>
      <c r="BG841" t="s">
        <v>74</v>
      </c>
      <c r="BH841" t="s">
        <v>74</v>
      </c>
      <c r="BI841">
        <v>15</v>
      </c>
      <c r="BJ841" t="s">
        <v>7206</v>
      </c>
      <c r="BK841" t="s">
        <v>119</v>
      </c>
      <c r="BL841" t="s">
        <v>7206</v>
      </c>
      <c r="BM841" t="s">
        <v>15781</v>
      </c>
      <c r="BN841" t="s">
        <v>74</v>
      </c>
      <c r="BO841" t="s">
        <v>74</v>
      </c>
      <c r="BP841" t="s">
        <v>74</v>
      </c>
      <c r="BQ841" t="s">
        <v>74</v>
      </c>
      <c r="BR841" t="s">
        <v>99</v>
      </c>
      <c r="BS841" t="s">
        <v>15782</v>
      </c>
      <c r="BT841" t="str">
        <f>HYPERLINK("https%3A%2F%2Fwww.webofscience.com%2Fwos%2Fwoscc%2Ffull-record%2FWOS:001053879200001","View Full Record in Web of Science")</f>
        <v>View Full Record in Web of Science</v>
      </c>
    </row>
    <row r="842" spans="1:72" x14ac:dyDescent="0.15">
      <c r="A842" t="s">
        <v>72</v>
      </c>
      <c r="B842" t="s">
        <v>15783</v>
      </c>
      <c r="C842" t="s">
        <v>74</v>
      </c>
      <c r="D842" t="s">
        <v>74</v>
      </c>
      <c r="E842" t="s">
        <v>74</v>
      </c>
      <c r="F842" t="s">
        <v>15784</v>
      </c>
      <c r="G842" t="s">
        <v>74</v>
      </c>
      <c r="H842" t="s">
        <v>74</v>
      </c>
      <c r="I842" t="s">
        <v>15785</v>
      </c>
      <c r="J842" t="s">
        <v>7356</v>
      </c>
      <c r="K842" t="s">
        <v>74</v>
      </c>
      <c r="L842" t="s">
        <v>74</v>
      </c>
      <c r="M842" t="s">
        <v>78</v>
      </c>
      <c r="N842" t="s">
        <v>8947</v>
      </c>
      <c r="O842" t="s">
        <v>74</v>
      </c>
      <c r="P842" t="s">
        <v>74</v>
      </c>
      <c r="Q842" t="s">
        <v>74</v>
      </c>
      <c r="R842" t="s">
        <v>74</v>
      </c>
      <c r="S842" t="s">
        <v>74</v>
      </c>
      <c r="T842" t="s">
        <v>74</v>
      </c>
      <c r="U842" t="s">
        <v>74</v>
      </c>
      <c r="V842" t="s">
        <v>15786</v>
      </c>
      <c r="W842" t="s">
        <v>74</v>
      </c>
      <c r="X842" t="s">
        <v>74</v>
      </c>
      <c r="Y842" t="s">
        <v>74</v>
      </c>
      <c r="Z842" t="s">
        <v>74</v>
      </c>
      <c r="AA842" t="s">
        <v>74</v>
      </c>
      <c r="AB842" t="s">
        <v>74</v>
      </c>
      <c r="AC842" t="s">
        <v>74</v>
      </c>
      <c r="AD842" t="s">
        <v>74</v>
      </c>
      <c r="AE842" t="s">
        <v>74</v>
      </c>
      <c r="AF842" t="s">
        <v>74</v>
      </c>
      <c r="AG842">
        <v>1</v>
      </c>
      <c r="AH842">
        <v>0</v>
      </c>
      <c r="AI842">
        <v>0</v>
      </c>
      <c r="AJ842">
        <v>1</v>
      </c>
      <c r="AK842">
        <v>1</v>
      </c>
      <c r="AL842" t="s">
        <v>87</v>
      </c>
      <c r="AM842" t="s">
        <v>88</v>
      </c>
      <c r="AN842" t="s">
        <v>89</v>
      </c>
      <c r="AO842" t="s">
        <v>74</v>
      </c>
      <c r="AP842" t="s">
        <v>7369</v>
      </c>
      <c r="AQ842" t="s">
        <v>74</v>
      </c>
      <c r="AR842" t="s">
        <v>7370</v>
      </c>
      <c r="AS842" t="s">
        <v>7371</v>
      </c>
      <c r="AT842" t="s">
        <v>11302</v>
      </c>
      <c r="AU842">
        <v>2023</v>
      </c>
      <c r="AV842">
        <v>6</v>
      </c>
      <c r="AW842">
        <v>8</v>
      </c>
      <c r="AX842" t="s">
        <v>74</v>
      </c>
      <c r="AY842" t="s">
        <v>74</v>
      </c>
      <c r="AZ842" t="s">
        <v>74</v>
      </c>
      <c r="BA842" t="s">
        <v>74</v>
      </c>
      <c r="BB842" t="s">
        <v>74</v>
      </c>
      <c r="BC842" t="s">
        <v>74</v>
      </c>
      <c r="BD842" t="s">
        <v>15787</v>
      </c>
      <c r="BE842" t="s">
        <v>15788</v>
      </c>
      <c r="BF842" t="str">
        <f>HYPERLINK("http://dx.doi.org/10.1002/hsr2.1529","http://dx.doi.org/10.1002/hsr2.1529")</f>
        <v>http://dx.doi.org/10.1002/hsr2.1529</v>
      </c>
      <c r="BG842" t="s">
        <v>74</v>
      </c>
      <c r="BH842" t="s">
        <v>74</v>
      </c>
      <c r="BI842">
        <v>1</v>
      </c>
      <c r="BJ842" t="s">
        <v>7374</v>
      </c>
      <c r="BK842" t="s">
        <v>96</v>
      </c>
      <c r="BL842" t="s">
        <v>7375</v>
      </c>
      <c r="BM842" t="s">
        <v>15789</v>
      </c>
      <c r="BN842" t="s">
        <v>74</v>
      </c>
      <c r="BO842" t="s">
        <v>234</v>
      </c>
      <c r="BP842" t="s">
        <v>74</v>
      </c>
      <c r="BQ842" t="s">
        <v>74</v>
      </c>
      <c r="BR842" t="s">
        <v>99</v>
      </c>
      <c r="BS842" t="s">
        <v>15790</v>
      </c>
      <c r="BT842" t="str">
        <f>HYPERLINK("https%3A%2F%2Fwww.webofscience.com%2Fwos%2Fwoscc%2Ffull-record%2FWOS:001053770500001","View Full Record in Web of Science")</f>
        <v>View Full Record in Web of Science</v>
      </c>
    </row>
    <row r="843" spans="1:72" x14ac:dyDescent="0.15">
      <c r="A843" t="s">
        <v>72</v>
      </c>
      <c r="B843" t="s">
        <v>15791</v>
      </c>
      <c r="C843" t="s">
        <v>74</v>
      </c>
      <c r="D843" t="s">
        <v>74</v>
      </c>
      <c r="E843" t="s">
        <v>74</v>
      </c>
      <c r="F843" t="s">
        <v>15792</v>
      </c>
      <c r="G843" t="s">
        <v>74</v>
      </c>
      <c r="H843" t="s">
        <v>74</v>
      </c>
      <c r="I843" t="s">
        <v>15793</v>
      </c>
      <c r="J843" t="s">
        <v>4927</v>
      </c>
      <c r="K843" t="s">
        <v>74</v>
      </c>
      <c r="L843" t="s">
        <v>74</v>
      </c>
      <c r="M843" t="s">
        <v>78</v>
      </c>
      <c r="N843" t="s">
        <v>79</v>
      </c>
      <c r="O843" t="s">
        <v>74</v>
      </c>
      <c r="P843" t="s">
        <v>74</v>
      </c>
      <c r="Q843" t="s">
        <v>74</v>
      </c>
      <c r="R843" t="s">
        <v>74</v>
      </c>
      <c r="S843" t="s">
        <v>74</v>
      </c>
      <c r="T843" t="s">
        <v>15794</v>
      </c>
      <c r="U843" t="s">
        <v>15795</v>
      </c>
      <c r="V843" t="s">
        <v>15796</v>
      </c>
      <c r="W843" t="s">
        <v>15797</v>
      </c>
      <c r="X843" t="s">
        <v>15798</v>
      </c>
      <c r="Y843" t="s">
        <v>15799</v>
      </c>
      <c r="Z843" t="s">
        <v>15800</v>
      </c>
      <c r="AA843" t="s">
        <v>74</v>
      </c>
      <c r="AB843" t="s">
        <v>74</v>
      </c>
      <c r="AC843" t="s">
        <v>74</v>
      </c>
      <c r="AD843" t="s">
        <v>74</v>
      </c>
      <c r="AE843" t="s">
        <v>74</v>
      </c>
      <c r="AF843" t="s">
        <v>74</v>
      </c>
      <c r="AG843">
        <v>17</v>
      </c>
      <c r="AH843">
        <v>0</v>
      </c>
      <c r="AI843">
        <v>0</v>
      </c>
      <c r="AJ843">
        <v>0</v>
      </c>
      <c r="AK843">
        <v>0</v>
      </c>
      <c r="AL843" t="s">
        <v>87</v>
      </c>
      <c r="AM843" t="s">
        <v>88</v>
      </c>
      <c r="AN843" t="s">
        <v>89</v>
      </c>
      <c r="AO843" t="s">
        <v>4937</v>
      </c>
      <c r="AP843" t="s">
        <v>4938</v>
      </c>
      <c r="AQ843" t="s">
        <v>74</v>
      </c>
      <c r="AR843" t="s">
        <v>4939</v>
      </c>
      <c r="AS843" t="s">
        <v>4940</v>
      </c>
      <c r="AT843" t="s">
        <v>11302</v>
      </c>
      <c r="AU843">
        <v>2023</v>
      </c>
      <c r="AV843">
        <v>53</v>
      </c>
      <c r="AW843">
        <v>8</v>
      </c>
      <c r="AX843" t="s">
        <v>74</v>
      </c>
      <c r="AY843" t="s">
        <v>74</v>
      </c>
      <c r="AZ843" t="s">
        <v>74</v>
      </c>
      <c r="BA843" t="s">
        <v>74</v>
      </c>
      <c r="BB843">
        <v>1485</v>
      </c>
      <c r="BC843">
        <v>1488</v>
      </c>
      <c r="BD843" t="s">
        <v>74</v>
      </c>
      <c r="BE843" t="s">
        <v>15801</v>
      </c>
      <c r="BF843" t="str">
        <f>HYPERLINK("http://dx.doi.org/10.1111/imj.16194","http://dx.doi.org/10.1111/imj.16194")</f>
        <v>http://dx.doi.org/10.1111/imj.16194</v>
      </c>
      <c r="BG843" t="s">
        <v>74</v>
      </c>
      <c r="BH843" t="s">
        <v>74</v>
      </c>
      <c r="BI843">
        <v>4</v>
      </c>
      <c r="BJ843" t="s">
        <v>4689</v>
      </c>
      <c r="BK843" t="s">
        <v>119</v>
      </c>
      <c r="BL843" t="s">
        <v>4690</v>
      </c>
      <c r="BM843" t="s">
        <v>15802</v>
      </c>
      <c r="BN843">
        <v>37599225</v>
      </c>
      <c r="BO843" t="s">
        <v>122</v>
      </c>
      <c r="BP843" t="s">
        <v>74</v>
      </c>
      <c r="BQ843" t="s">
        <v>74</v>
      </c>
      <c r="BR843" t="s">
        <v>99</v>
      </c>
      <c r="BS843" t="s">
        <v>15803</v>
      </c>
      <c r="BT843" t="str">
        <f>HYPERLINK("https%3A%2F%2Fwww.webofscience.com%2Fwos%2Fwoscc%2Ffull-record%2FWOS:001051754100025","View Full Record in Web of Science")</f>
        <v>View Full Record in Web of Science</v>
      </c>
    </row>
    <row r="844" spans="1:72" x14ac:dyDescent="0.15">
      <c r="A844" t="s">
        <v>72</v>
      </c>
      <c r="B844" t="s">
        <v>15804</v>
      </c>
      <c r="C844" t="s">
        <v>74</v>
      </c>
      <c r="D844" t="s">
        <v>74</v>
      </c>
      <c r="E844" t="s">
        <v>74</v>
      </c>
      <c r="F844" t="s">
        <v>15805</v>
      </c>
      <c r="G844" t="s">
        <v>74</v>
      </c>
      <c r="H844" t="s">
        <v>74</v>
      </c>
      <c r="I844" t="s">
        <v>15806</v>
      </c>
      <c r="J844" t="s">
        <v>218</v>
      </c>
      <c r="K844" t="s">
        <v>74</v>
      </c>
      <c r="L844" t="s">
        <v>74</v>
      </c>
      <c r="M844" t="s">
        <v>78</v>
      </c>
      <c r="N844" t="s">
        <v>3392</v>
      </c>
      <c r="O844" t="s">
        <v>74</v>
      </c>
      <c r="P844" t="s">
        <v>74</v>
      </c>
      <c r="Q844" t="s">
        <v>74</v>
      </c>
      <c r="R844" t="s">
        <v>74</v>
      </c>
      <c r="S844" t="s">
        <v>74</v>
      </c>
      <c r="T844" t="s">
        <v>15807</v>
      </c>
      <c r="U844" t="s">
        <v>15808</v>
      </c>
      <c r="V844" t="s">
        <v>15809</v>
      </c>
      <c r="W844" t="s">
        <v>15810</v>
      </c>
      <c r="X844" t="s">
        <v>15811</v>
      </c>
      <c r="Y844" t="s">
        <v>15812</v>
      </c>
      <c r="Z844" t="s">
        <v>15813</v>
      </c>
      <c r="AA844" t="s">
        <v>74</v>
      </c>
      <c r="AB844" t="s">
        <v>74</v>
      </c>
      <c r="AC844" t="s">
        <v>74</v>
      </c>
      <c r="AD844" t="s">
        <v>74</v>
      </c>
      <c r="AE844" t="s">
        <v>74</v>
      </c>
      <c r="AF844" t="s">
        <v>74</v>
      </c>
      <c r="AG844">
        <v>344</v>
      </c>
      <c r="AH844">
        <v>1</v>
      </c>
      <c r="AI844">
        <v>1</v>
      </c>
      <c r="AJ844">
        <v>19</v>
      </c>
      <c r="AK844">
        <v>19</v>
      </c>
      <c r="AL844" t="s">
        <v>87</v>
      </c>
      <c r="AM844" t="s">
        <v>88</v>
      </c>
      <c r="AN844" t="s">
        <v>89</v>
      </c>
      <c r="AO844" t="s">
        <v>74</v>
      </c>
      <c r="AP844" t="s">
        <v>227</v>
      </c>
      <c r="AQ844" t="s">
        <v>74</v>
      </c>
      <c r="AR844" t="s">
        <v>218</v>
      </c>
      <c r="AS844" t="s">
        <v>228</v>
      </c>
      <c r="AT844" t="s">
        <v>11302</v>
      </c>
      <c r="AU844">
        <v>2023</v>
      </c>
      <c r="AV844">
        <v>4</v>
      </c>
      <c r="AW844">
        <v>4</v>
      </c>
      <c r="AX844" t="s">
        <v>74</v>
      </c>
      <c r="AY844" t="s">
        <v>74</v>
      </c>
      <c r="AZ844" t="s">
        <v>74</v>
      </c>
      <c r="BA844" t="s">
        <v>74</v>
      </c>
      <c r="BB844" t="s">
        <v>74</v>
      </c>
      <c r="BC844" t="s">
        <v>74</v>
      </c>
      <c r="BD844" t="s">
        <v>15814</v>
      </c>
      <c r="BE844" t="s">
        <v>15815</v>
      </c>
      <c r="BF844" t="str">
        <f>HYPERLINK("http://dx.doi.org/10.1002/mco2.291","http://dx.doi.org/10.1002/mco2.291")</f>
        <v>http://dx.doi.org/10.1002/mco2.291</v>
      </c>
      <c r="BG844" t="s">
        <v>74</v>
      </c>
      <c r="BH844" t="s">
        <v>74</v>
      </c>
      <c r="BI844">
        <v>31</v>
      </c>
      <c r="BJ844" t="s">
        <v>231</v>
      </c>
      <c r="BK844" t="s">
        <v>96</v>
      </c>
      <c r="BL844" t="s">
        <v>232</v>
      </c>
      <c r="BM844" t="s">
        <v>15816</v>
      </c>
      <c r="BN844">
        <v>37337579</v>
      </c>
      <c r="BO844" t="s">
        <v>98</v>
      </c>
      <c r="BP844" t="s">
        <v>74</v>
      </c>
      <c r="BQ844" t="s">
        <v>74</v>
      </c>
      <c r="BR844" t="s">
        <v>99</v>
      </c>
      <c r="BS844" t="s">
        <v>15817</v>
      </c>
      <c r="BT844" t="str">
        <f>HYPERLINK("https%3A%2F%2Fwww.webofscience.com%2Fwos%2Fwoscc%2Ffull-record%2FWOS:001007163800001","View Full Record in Web of Science")</f>
        <v>View Full Record in Web of Science</v>
      </c>
    </row>
    <row r="845" spans="1:72" x14ac:dyDescent="0.15">
      <c r="A845" t="s">
        <v>72</v>
      </c>
      <c r="B845" t="s">
        <v>15818</v>
      </c>
      <c r="C845" t="s">
        <v>74</v>
      </c>
      <c r="D845" t="s">
        <v>74</v>
      </c>
      <c r="E845" t="s">
        <v>74</v>
      </c>
      <c r="F845" t="s">
        <v>15819</v>
      </c>
      <c r="G845" t="s">
        <v>74</v>
      </c>
      <c r="H845" t="s">
        <v>74</v>
      </c>
      <c r="I845" t="s">
        <v>15820</v>
      </c>
      <c r="J845" t="s">
        <v>15821</v>
      </c>
      <c r="K845" t="s">
        <v>74</v>
      </c>
      <c r="L845" t="s">
        <v>74</v>
      </c>
      <c r="M845" t="s">
        <v>78</v>
      </c>
      <c r="N845" t="s">
        <v>7342</v>
      </c>
      <c r="O845" t="s">
        <v>74</v>
      </c>
      <c r="P845" t="s">
        <v>74</v>
      </c>
      <c r="Q845" t="s">
        <v>74</v>
      </c>
      <c r="R845" t="s">
        <v>74</v>
      </c>
      <c r="S845" t="s">
        <v>74</v>
      </c>
      <c r="T845" t="s">
        <v>74</v>
      </c>
      <c r="U845" t="s">
        <v>74</v>
      </c>
      <c r="V845" t="s">
        <v>74</v>
      </c>
      <c r="W845" t="s">
        <v>15822</v>
      </c>
      <c r="X845" t="s">
        <v>15823</v>
      </c>
      <c r="Y845" t="s">
        <v>15824</v>
      </c>
      <c r="Z845" t="s">
        <v>15825</v>
      </c>
      <c r="AA845" t="s">
        <v>74</v>
      </c>
      <c r="AB845" t="s">
        <v>74</v>
      </c>
      <c r="AC845" t="s">
        <v>74</v>
      </c>
      <c r="AD845" t="s">
        <v>74</v>
      </c>
      <c r="AE845" t="s">
        <v>74</v>
      </c>
      <c r="AF845" t="s">
        <v>74</v>
      </c>
      <c r="AG845">
        <v>9</v>
      </c>
      <c r="AH845">
        <v>0</v>
      </c>
      <c r="AI845">
        <v>0</v>
      </c>
      <c r="AJ845">
        <v>0</v>
      </c>
      <c r="AK845">
        <v>0</v>
      </c>
      <c r="AL845" t="s">
        <v>87</v>
      </c>
      <c r="AM845" t="s">
        <v>88</v>
      </c>
      <c r="AN845" t="s">
        <v>89</v>
      </c>
      <c r="AO845" t="s">
        <v>15826</v>
      </c>
      <c r="AP845" t="s">
        <v>15827</v>
      </c>
      <c r="AQ845" t="s">
        <v>74</v>
      </c>
      <c r="AR845" t="s">
        <v>15828</v>
      </c>
      <c r="AS845" t="s">
        <v>15829</v>
      </c>
      <c r="AT845" t="s">
        <v>11302</v>
      </c>
      <c r="AU845">
        <v>2023</v>
      </c>
      <c r="AV845">
        <v>61</v>
      </c>
      <c r="AW845">
        <v>4</v>
      </c>
      <c r="AX845" t="s">
        <v>74</v>
      </c>
      <c r="AY845" t="s">
        <v>74</v>
      </c>
      <c r="AZ845" t="s">
        <v>74</v>
      </c>
      <c r="BA845" t="s">
        <v>74</v>
      </c>
      <c r="BB845">
        <v>363</v>
      </c>
      <c r="BC845">
        <v>365</v>
      </c>
      <c r="BD845" t="s">
        <v>74</v>
      </c>
      <c r="BE845" t="s">
        <v>15830</v>
      </c>
      <c r="BF845" t="str">
        <f>HYPERLINK("http://dx.doi.org/10.1111/imig.13168","http://dx.doi.org/10.1111/imig.13168")</f>
        <v>http://dx.doi.org/10.1111/imig.13168</v>
      </c>
      <c r="BG845" t="s">
        <v>74</v>
      </c>
      <c r="BH845" t="s">
        <v>74</v>
      </c>
      <c r="BI845">
        <v>3</v>
      </c>
      <c r="BJ845" t="s">
        <v>15831</v>
      </c>
      <c r="BK845" t="s">
        <v>546</v>
      </c>
      <c r="BL845" t="s">
        <v>15831</v>
      </c>
      <c r="BM845" t="s">
        <v>15832</v>
      </c>
      <c r="BN845" t="s">
        <v>74</v>
      </c>
      <c r="BO845" t="s">
        <v>301</v>
      </c>
      <c r="BP845" t="s">
        <v>74</v>
      </c>
      <c r="BQ845" t="s">
        <v>74</v>
      </c>
      <c r="BR845" t="s">
        <v>99</v>
      </c>
      <c r="BS845" t="s">
        <v>15833</v>
      </c>
      <c r="BT845" t="str">
        <f>HYPERLINK("https%3A%2F%2Fwww.webofscience.com%2Fwos%2Fwoscc%2Ffull-record%2FWOS:001031332700028","View Full Record in Web of Science")</f>
        <v>View Full Record in Web of Science</v>
      </c>
    </row>
    <row r="846" spans="1:72" x14ac:dyDescent="0.15">
      <c r="A846" t="s">
        <v>72</v>
      </c>
      <c r="B846" t="s">
        <v>15834</v>
      </c>
      <c r="C846" t="s">
        <v>74</v>
      </c>
      <c r="D846" t="s">
        <v>74</v>
      </c>
      <c r="E846" t="s">
        <v>74</v>
      </c>
      <c r="F846" t="s">
        <v>15835</v>
      </c>
      <c r="G846" t="s">
        <v>74</v>
      </c>
      <c r="H846" t="s">
        <v>74</v>
      </c>
      <c r="I846" t="s">
        <v>15836</v>
      </c>
      <c r="J846" t="s">
        <v>15837</v>
      </c>
      <c r="K846" t="s">
        <v>74</v>
      </c>
      <c r="L846" t="s">
        <v>74</v>
      </c>
      <c r="M846" t="s">
        <v>78</v>
      </c>
      <c r="N846" t="s">
        <v>79</v>
      </c>
      <c r="O846" t="s">
        <v>74</v>
      </c>
      <c r="P846" t="s">
        <v>74</v>
      </c>
      <c r="Q846" t="s">
        <v>74</v>
      </c>
      <c r="R846" t="s">
        <v>74</v>
      </c>
      <c r="S846" t="s">
        <v>74</v>
      </c>
      <c r="T846" t="s">
        <v>15838</v>
      </c>
      <c r="U846" t="s">
        <v>15839</v>
      </c>
      <c r="V846" t="s">
        <v>15840</v>
      </c>
      <c r="W846" t="s">
        <v>15841</v>
      </c>
      <c r="X846" t="s">
        <v>15842</v>
      </c>
      <c r="Y846" t="s">
        <v>15843</v>
      </c>
      <c r="Z846" t="s">
        <v>15844</v>
      </c>
      <c r="AA846" t="s">
        <v>15845</v>
      </c>
      <c r="AB846" t="s">
        <v>15846</v>
      </c>
      <c r="AC846" t="s">
        <v>15847</v>
      </c>
      <c r="AD846" t="s">
        <v>15848</v>
      </c>
      <c r="AE846" t="s">
        <v>15847</v>
      </c>
      <c r="AF846" t="s">
        <v>74</v>
      </c>
      <c r="AG846">
        <v>30</v>
      </c>
      <c r="AH846">
        <v>0</v>
      </c>
      <c r="AI846">
        <v>0</v>
      </c>
      <c r="AJ846">
        <v>3</v>
      </c>
      <c r="AK846">
        <v>3</v>
      </c>
      <c r="AL846" t="s">
        <v>87</v>
      </c>
      <c r="AM846" t="s">
        <v>88</v>
      </c>
      <c r="AN846" t="s">
        <v>89</v>
      </c>
      <c r="AO846" t="s">
        <v>74</v>
      </c>
      <c r="AP846" t="s">
        <v>15849</v>
      </c>
      <c r="AQ846" t="s">
        <v>74</v>
      </c>
      <c r="AR846" t="s">
        <v>15850</v>
      </c>
      <c r="AS846" t="s">
        <v>15851</v>
      </c>
      <c r="AT846" t="s">
        <v>11302</v>
      </c>
      <c r="AU846">
        <v>2023</v>
      </c>
      <c r="AV846">
        <v>12</v>
      </c>
      <c r="AW846">
        <v>8</v>
      </c>
      <c r="AX846" t="s">
        <v>74</v>
      </c>
      <c r="AY846" t="s">
        <v>74</v>
      </c>
      <c r="AZ846" t="s">
        <v>74</v>
      </c>
      <c r="BA846" t="s">
        <v>74</v>
      </c>
      <c r="BB846" t="s">
        <v>74</v>
      </c>
      <c r="BC846" t="s">
        <v>74</v>
      </c>
      <c r="BD846" t="s">
        <v>15852</v>
      </c>
      <c r="BE846" t="s">
        <v>15853</v>
      </c>
      <c r="BF846" t="str">
        <f>HYPERLINK("http://dx.doi.org/10.1002/jev2.12348","http://dx.doi.org/10.1002/jev2.12348")</f>
        <v>http://dx.doi.org/10.1002/jev2.12348</v>
      </c>
      <c r="BG846" t="s">
        <v>74</v>
      </c>
      <c r="BH846" t="s">
        <v>74</v>
      </c>
      <c r="BI846">
        <v>11</v>
      </c>
      <c r="BJ846" t="s">
        <v>15854</v>
      </c>
      <c r="BK846" t="s">
        <v>119</v>
      </c>
      <c r="BL846" t="s">
        <v>15854</v>
      </c>
      <c r="BM846" t="s">
        <v>15855</v>
      </c>
      <c r="BN846">
        <v>37489102</v>
      </c>
      <c r="BO846" t="s">
        <v>74</v>
      </c>
      <c r="BP846" t="s">
        <v>74</v>
      </c>
      <c r="BQ846" t="s">
        <v>74</v>
      </c>
      <c r="BR846" t="s">
        <v>99</v>
      </c>
      <c r="BS846" t="s">
        <v>15856</v>
      </c>
      <c r="BT846" t="str">
        <f>HYPERLINK("https%3A%2F%2Fwww.webofscience.com%2Fwos%2Fwoscc%2Ffull-record%2FWOS:001034543300001","View Full Record in Web of Science")</f>
        <v>View Full Record in Web of Science</v>
      </c>
    </row>
    <row r="847" spans="1:72" x14ac:dyDescent="0.15">
      <c r="A847" t="s">
        <v>72</v>
      </c>
      <c r="B847" t="s">
        <v>15857</v>
      </c>
      <c r="C847" t="s">
        <v>74</v>
      </c>
      <c r="D847" t="s">
        <v>74</v>
      </c>
      <c r="E847" t="s">
        <v>74</v>
      </c>
      <c r="F847" t="s">
        <v>15858</v>
      </c>
      <c r="G847" t="s">
        <v>74</v>
      </c>
      <c r="H847" t="s">
        <v>74</v>
      </c>
      <c r="I847" t="s">
        <v>15859</v>
      </c>
      <c r="J847" t="s">
        <v>15860</v>
      </c>
      <c r="K847" t="s">
        <v>74</v>
      </c>
      <c r="L847" t="s">
        <v>74</v>
      </c>
      <c r="M847" t="s">
        <v>78</v>
      </c>
      <c r="N847" t="s">
        <v>338</v>
      </c>
      <c r="O847" t="s">
        <v>74</v>
      </c>
      <c r="P847" t="s">
        <v>74</v>
      </c>
      <c r="Q847" t="s">
        <v>74</v>
      </c>
      <c r="R847" t="s">
        <v>74</v>
      </c>
      <c r="S847" t="s">
        <v>74</v>
      </c>
      <c r="T847" t="s">
        <v>15861</v>
      </c>
      <c r="U847" t="s">
        <v>15862</v>
      </c>
      <c r="V847" t="s">
        <v>15863</v>
      </c>
      <c r="W847" t="s">
        <v>15864</v>
      </c>
      <c r="X847" t="s">
        <v>15865</v>
      </c>
      <c r="Y847" t="s">
        <v>15866</v>
      </c>
      <c r="Z847" t="s">
        <v>15867</v>
      </c>
      <c r="AA847" t="s">
        <v>15868</v>
      </c>
      <c r="AB847" t="s">
        <v>15869</v>
      </c>
      <c r="AC847" t="s">
        <v>74</v>
      </c>
      <c r="AD847" t="s">
        <v>74</v>
      </c>
      <c r="AE847" t="s">
        <v>74</v>
      </c>
      <c r="AF847" t="s">
        <v>74</v>
      </c>
      <c r="AG847">
        <v>22</v>
      </c>
      <c r="AH847">
        <v>0</v>
      </c>
      <c r="AI847">
        <v>0</v>
      </c>
      <c r="AJ847">
        <v>0</v>
      </c>
      <c r="AK847">
        <v>0</v>
      </c>
      <c r="AL847" t="s">
        <v>87</v>
      </c>
      <c r="AM847" t="s">
        <v>88</v>
      </c>
      <c r="AN847" t="s">
        <v>89</v>
      </c>
      <c r="AO847" t="s">
        <v>15870</v>
      </c>
      <c r="AP847" t="s">
        <v>15871</v>
      </c>
      <c r="AQ847" t="s">
        <v>74</v>
      </c>
      <c r="AR847" t="s">
        <v>15872</v>
      </c>
      <c r="AS847" t="s">
        <v>15873</v>
      </c>
      <c r="AT847" t="s">
        <v>15292</v>
      </c>
      <c r="AU847">
        <v>2023</v>
      </c>
      <c r="AV847" t="s">
        <v>74</v>
      </c>
      <c r="AW847" t="s">
        <v>74</v>
      </c>
      <c r="AX847" t="s">
        <v>74</v>
      </c>
      <c r="AY847" t="s">
        <v>74</v>
      </c>
      <c r="AZ847" t="s">
        <v>74</v>
      </c>
      <c r="BA847" t="s">
        <v>74</v>
      </c>
      <c r="BB847" t="s">
        <v>74</v>
      </c>
      <c r="BC847" t="s">
        <v>74</v>
      </c>
      <c r="BD847" t="s">
        <v>74</v>
      </c>
      <c r="BE847" t="s">
        <v>15874</v>
      </c>
      <c r="BF847" t="str">
        <f>HYPERLINK("http://dx.doi.org/10.1111/vcp.13270","http://dx.doi.org/10.1111/vcp.13270")</f>
        <v>http://dx.doi.org/10.1111/vcp.13270</v>
      </c>
      <c r="BG847" t="s">
        <v>74</v>
      </c>
      <c r="BH847" t="s">
        <v>7524</v>
      </c>
      <c r="BI847">
        <v>6</v>
      </c>
      <c r="BJ847" t="s">
        <v>354</v>
      </c>
      <c r="BK847" t="s">
        <v>119</v>
      </c>
      <c r="BL847" t="s">
        <v>354</v>
      </c>
      <c r="BM847" t="s">
        <v>15875</v>
      </c>
      <c r="BN847">
        <v>37528067</v>
      </c>
      <c r="BO847" t="s">
        <v>122</v>
      </c>
      <c r="BP847" t="s">
        <v>74</v>
      </c>
      <c r="BQ847" t="s">
        <v>74</v>
      </c>
      <c r="BR847" t="s">
        <v>99</v>
      </c>
      <c r="BS847" t="s">
        <v>15876</v>
      </c>
      <c r="BT847" t="str">
        <f>HYPERLINK("https%3A%2F%2Fwww.webofscience.com%2Fwos%2Fwoscc%2Ffull-record%2FWOS:001038608900001","View Full Record in Web of Science")</f>
        <v>View Full Record in Web of Science</v>
      </c>
    </row>
    <row r="848" spans="1:72" x14ac:dyDescent="0.15">
      <c r="A848" t="s">
        <v>72</v>
      </c>
      <c r="B848" t="s">
        <v>15877</v>
      </c>
      <c r="C848" t="s">
        <v>74</v>
      </c>
      <c r="D848" t="s">
        <v>74</v>
      </c>
      <c r="E848" t="s">
        <v>74</v>
      </c>
      <c r="F848" t="s">
        <v>15878</v>
      </c>
      <c r="G848" t="s">
        <v>74</v>
      </c>
      <c r="H848" t="s">
        <v>74</v>
      </c>
      <c r="I848" t="s">
        <v>15879</v>
      </c>
      <c r="J848" t="s">
        <v>15880</v>
      </c>
      <c r="K848" t="s">
        <v>74</v>
      </c>
      <c r="L848" t="s">
        <v>74</v>
      </c>
      <c r="M848" t="s">
        <v>78</v>
      </c>
      <c r="N848" t="s">
        <v>15881</v>
      </c>
      <c r="O848" t="s">
        <v>15882</v>
      </c>
      <c r="P848" t="s">
        <v>15883</v>
      </c>
      <c r="Q848" t="s">
        <v>15884</v>
      </c>
      <c r="R848" t="s">
        <v>74</v>
      </c>
      <c r="S848" t="s">
        <v>74</v>
      </c>
      <c r="T848" t="s">
        <v>15885</v>
      </c>
      <c r="U848" t="s">
        <v>15886</v>
      </c>
      <c r="V848" t="s">
        <v>15887</v>
      </c>
      <c r="W848" t="s">
        <v>15888</v>
      </c>
      <c r="X848" t="s">
        <v>15889</v>
      </c>
      <c r="Y848" t="s">
        <v>15890</v>
      </c>
      <c r="Z848" t="s">
        <v>15891</v>
      </c>
      <c r="AA848" t="s">
        <v>74</v>
      </c>
      <c r="AB848" t="s">
        <v>74</v>
      </c>
      <c r="AC848" t="s">
        <v>74</v>
      </c>
      <c r="AD848" t="s">
        <v>74</v>
      </c>
      <c r="AE848" t="s">
        <v>74</v>
      </c>
      <c r="AF848" t="s">
        <v>74</v>
      </c>
      <c r="AG848">
        <v>15</v>
      </c>
      <c r="AH848">
        <v>0</v>
      </c>
      <c r="AI848">
        <v>0</v>
      </c>
      <c r="AJ848">
        <v>1</v>
      </c>
      <c r="AK848">
        <v>1</v>
      </c>
      <c r="AL848" t="s">
        <v>87</v>
      </c>
      <c r="AM848" t="s">
        <v>88</v>
      </c>
      <c r="AN848" t="s">
        <v>89</v>
      </c>
      <c r="AO848" t="s">
        <v>74</v>
      </c>
      <c r="AP848" t="s">
        <v>15892</v>
      </c>
      <c r="AQ848" t="s">
        <v>74</v>
      </c>
      <c r="AR848" t="s">
        <v>15893</v>
      </c>
      <c r="AS848" t="s">
        <v>15894</v>
      </c>
      <c r="AT848" t="s">
        <v>11302</v>
      </c>
      <c r="AU848">
        <v>2023</v>
      </c>
      <c r="AV848">
        <v>7</v>
      </c>
      <c r="AW848">
        <v>4</v>
      </c>
      <c r="AX848" t="s">
        <v>74</v>
      </c>
      <c r="AY848" t="s">
        <v>74</v>
      </c>
      <c r="AZ848" t="s">
        <v>74</v>
      </c>
      <c r="BA848" t="s">
        <v>74</v>
      </c>
      <c r="BB848" t="s">
        <v>74</v>
      </c>
      <c r="BC848" t="s">
        <v>74</v>
      </c>
      <c r="BD848" t="s">
        <v>15895</v>
      </c>
      <c r="BE848" t="s">
        <v>15896</v>
      </c>
      <c r="BF848" t="str">
        <f>HYPERLINK("http://dx.doi.org/10.1002/aet2.10890","http://dx.doi.org/10.1002/aet2.10890")</f>
        <v>http://dx.doi.org/10.1002/aet2.10890</v>
      </c>
      <c r="BG848" t="s">
        <v>74</v>
      </c>
      <c r="BH848" t="s">
        <v>74</v>
      </c>
      <c r="BI848">
        <v>5</v>
      </c>
      <c r="BJ848" t="s">
        <v>15897</v>
      </c>
      <c r="BK848" t="s">
        <v>96</v>
      </c>
      <c r="BL848" t="s">
        <v>15898</v>
      </c>
      <c r="BM848" t="s">
        <v>15899</v>
      </c>
      <c r="BN848">
        <v>37469684</v>
      </c>
      <c r="BO848" t="s">
        <v>4580</v>
      </c>
      <c r="BP848" t="s">
        <v>74</v>
      </c>
      <c r="BQ848" t="s">
        <v>74</v>
      </c>
      <c r="BR848" t="s">
        <v>99</v>
      </c>
      <c r="BS848" t="s">
        <v>15900</v>
      </c>
      <c r="BT848" t="str">
        <f>HYPERLINK("https%3A%2F%2Fwww.webofscience.com%2Fwos%2Fwoscc%2Ffull-record%2FWOS:001030067700001","View Full Record in Web of Science")</f>
        <v>View Full Record in Web of Science</v>
      </c>
    </row>
    <row r="849" spans="1:72" x14ac:dyDescent="0.15">
      <c r="A849" t="s">
        <v>72</v>
      </c>
      <c r="B849" t="s">
        <v>15901</v>
      </c>
      <c r="C849" t="s">
        <v>74</v>
      </c>
      <c r="D849" t="s">
        <v>74</v>
      </c>
      <c r="E849" t="s">
        <v>74</v>
      </c>
      <c r="F849" t="s">
        <v>15902</v>
      </c>
      <c r="G849" t="s">
        <v>74</v>
      </c>
      <c r="H849" t="s">
        <v>74</v>
      </c>
      <c r="I849" t="s">
        <v>15903</v>
      </c>
      <c r="J849" t="s">
        <v>15749</v>
      </c>
      <c r="K849" t="s">
        <v>74</v>
      </c>
      <c r="L849" t="s">
        <v>74</v>
      </c>
      <c r="M849" t="s">
        <v>78</v>
      </c>
      <c r="N849" t="s">
        <v>79</v>
      </c>
      <c r="O849" t="s">
        <v>74</v>
      </c>
      <c r="P849" t="s">
        <v>74</v>
      </c>
      <c r="Q849" t="s">
        <v>74</v>
      </c>
      <c r="R849" t="s">
        <v>74</v>
      </c>
      <c r="S849" t="s">
        <v>74</v>
      </c>
      <c r="T849" t="s">
        <v>74</v>
      </c>
      <c r="U849" t="s">
        <v>15904</v>
      </c>
      <c r="V849" t="s">
        <v>15905</v>
      </c>
      <c r="W849" t="s">
        <v>15906</v>
      </c>
      <c r="X849" t="s">
        <v>15907</v>
      </c>
      <c r="Y849" t="s">
        <v>15908</v>
      </c>
      <c r="Z849" t="s">
        <v>15909</v>
      </c>
      <c r="AA849" t="s">
        <v>74</v>
      </c>
      <c r="AB849" t="s">
        <v>15910</v>
      </c>
      <c r="AC849" t="s">
        <v>15911</v>
      </c>
      <c r="AD849" t="s">
        <v>15912</v>
      </c>
      <c r="AE849" t="s">
        <v>15913</v>
      </c>
      <c r="AF849" t="s">
        <v>74</v>
      </c>
      <c r="AG849">
        <v>65</v>
      </c>
      <c r="AH849">
        <v>0</v>
      </c>
      <c r="AI849">
        <v>0</v>
      </c>
      <c r="AJ849">
        <v>4</v>
      </c>
      <c r="AK849">
        <v>4</v>
      </c>
      <c r="AL849" t="s">
        <v>87</v>
      </c>
      <c r="AM849" t="s">
        <v>88</v>
      </c>
      <c r="AN849" t="s">
        <v>89</v>
      </c>
      <c r="AO849" t="s">
        <v>15759</v>
      </c>
      <c r="AP849" t="s">
        <v>15760</v>
      </c>
      <c r="AQ849" t="s">
        <v>74</v>
      </c>
      <c r="AR849" t="s">
        <v>15761</v>
      </c>
      <c r="AS849" t="s">
        <v>15762</v>
      </c>
      <c r="AT849" t="s">
        <v>11302</v>
      </c>
      <c r="AU849">
        <v>2023</v>
      </c>
      <c r="AV849">
        <v>175</v>
      </c>
      <c r="AW849">
        <v>5</v>
      </c>
      <c r="AX849" t="s">
        <v>74</v>
      </c>
      <c r="AY849" t="s">
        <v>74</v>
      </c>
      <c r="AZ849" t="s">
        <v>74</v>
      </c>
      <c r="BA849" t="s">
        <v>74</v>
      </c>
      <c r="BB849" t="s">
        <v>74</v>
      </c>
      <c r="BC849" t="s">
        <v>74</v>
      </c>
      <c r="BD849" t="s">
        <v>15914</v>
      </c>
      <c r="BE849" t="s">
        <v>15915</v>
      </c>
      <c r="BF849" t="str">
        <f>HYPERLINK("http://dx.doi.org/10.1111/ppl.14003","http://dx.doi.org/10.1111/ppl.14003")</f>
        <v>http://dx.doi.org/10.1111/ppl.14003</v>
      </c>
      <c r="BG849" t="s">
        <v>74</v>
      </c>
      <c r="BH849" t="s">
        <v>74</v>
      </c>
      <c r="BI849">
        <v>14</v>
      </c>
      <c r="BJ849" t="s">
        <v>1751</v>
      </c>
      <c r="BK849" t="s">
        <v>119</v>
      </c>
      <c r="BL849" t="s">
        <v>1751</v>
      </c>
      <c r="BM849" t="s">
        <v>15916</v>
      </c>
      <c r="BN849" t="s">
        <v>74</v>
      </c>
      <c r="BO849" t="s">
        <v>301</v>
      </c>
      <c r="BP849" t="s">
        <v>74</v>
      </c>
      <c r="BQ849" t="s">
        <v>74</v>
      </c>
      <c r="BR849" t="s">
        <v>99</v>
      </c>
      <c r="BS849" t="s">
        <v>15917</v>
      </c>
      <c r="BT849" t="str">
        <f>HYPERLINK("https%3A%2F%2Fwww.webofscience.com%2Fwos%2Fwoscc%2Ffull-record%2FWOS:001058801900001","View Full Record in Web of Science")</f>
        <v>View Full Record in Web of Science</v>
      </c>
    </row>
    <row r="850" spans="1:72" x14ac:dyDescent="0.15">
      <c r="A850" t="s">
        <v>72</v>
      </c>
      <c r="B850" t="s">
        <v>15918</v>
      </c>
      <c r="C850" t="s">
        <v>74</v>
      </c>
      <c r="D850" t="s">
        <v>74</v>
      </c>
      <c r="E850" t="s">
        <v>74</v>
      </c>
      <c r="F850" t="s">
        <v>15919</v>
      </c>
      <c r="G850" t="s">
        <v>74</v>
      </c>
      <c r="H850" t="s">
        <v>74</v>
      </c>
      <c r="I850" t="s">
        <v>15920</v>
      </c>
      <c r="J850" t="s">
        <v>5978</v>
      </c>
      <c r="K850" t="s">
        <v>74</v>
      </c>
      <c r="L850" t="s">
        <v>74</v>
      </c>
      <c r="M850" t="s">
        <v>78</v>
      </c>
      <c r="N850" t="s">
        <v>338</v>
      </c>
      <c r="O850" t="s">
        <v>74</v>
      </c>
      <c r="P850" t="s">
        <v>74</v>
      </c>
      <c r="Q850" t="s">
        <v>74</v>
      </c>
      <c r="R850" t="s">
        <v>74</v>
      </c>
      <c r="S850" t="s">
        <v>74</v>
      </c>
      <c r="T850" t="s">
        <v>15921</v>
      </c>
      <c r="U850" t="s">
        <v>15922</v>
      </c>
      <c r="V850" t="s">
        <v>15923</v>
      </c>
      <c r="W850" t="s">
        <v>15924</v>
      </c>
      <c r="X850" t="s">
        <v>15925</v>
      </c>
      <c r="Y850" t="s">
        <v>15926</v>
      </c>
      <c r="Z850" t="s">
        <v>15927</v>
      </c>
      <c r="AA850" t="s">
        <v>74</v>
      </c>
      <c r="AB850" t="s">
        <v>74</v>
      </c>
      <c r="AC850" t="s">
        <v>15928</v>
      </c>
      <c r="AD850" t="s">
        <v>15928</v>
      </c>
      <c r="AE850" t="s">
        <v>15929</v>
      </c>
      <c r="AF850" t="s">
        <v>74</v>
      </c>
      <c r="AG850">
        <v>38</v>
      </c>
      <c r="AH850">
        <v>0</v>
      </c>
      <c r="AI850">
        <v>0</v>
      </c>
      <c r="AJ850">
        <v>0</v>
      </c>
      <c r="AK850">
        <v>0</v>
      </c>
      <c r="AL850" t="s">
        <v>87</v>
      </c>
      <c r="AM850" t="s">
        <v>88</v>
      </c>
      <c r="AN850" t="s">
        <v>89</v>
      </c>
      <c r="AO850" t="s">
        <v>5987</v>
      </c>
      <c r="AP850" t="s">
        <v>5988</v>
      </c>
      <c r="AQ850" t="s">
        <v>74</v>
      </c>
      <c r="AR850" t="s">
        <v>5989</v>
      </c>
      <c r="AS850" t="s">
        <v>5990</v>
      </c>
      <c r="AT850" t="s">
        <v>15292</v>
      </c>
      <c r="AU850">
        <v>2023</v>
      </c>
      <c r="AV850" t="s">
        <v>74</v>
      </c>
      <c r="AW850" t="s">
        <v>74</v>
      </c>
      <c r="AX850" t="s">
        <v>74</v>
      </c>
      <c r="AY850" t="s">
        <v>74</v>
      </c>
      <c r="AZ850" t="s">
        <v>74</v>
      </c>
      <c r="BA850" t="s">
        <v>74</v>
      </c>
      <c r="BB850" t="s">
        <v>74</v>
      </c>
      <c r="BC850" t="s">
        <v>74</v>
      </c>
      <c r="BD850" t="s">
        <v>74</v>
      </c>
      <c r="BE850" t="s">
        <v>15930</v>
      </c>
      <c r="BF850" t="str">
        <f>HYPERLINK("http://dx.doi.org/10.1111/jrh.12787","http://dx.doi.org/10.1111/jrh.12787")</f>
        <v>http://dx.doi.org/10.1111/jrh.12787</v>
      </c>
      <c r="BG850" t="s">
        <v>74</v>
      </c>
      <c r="BH850" t="s">
        <v>7524</v>
      </c>
      <c r="BI850">
        <v>8</v>
      </c>
      <c r="BJ850" t="s">
        <v>5992</v>
      </c>
      <c r="BK850" t="s">
        <v>409</v>
      </c>
      <c r="BL850" t="s">
        <v>5993</v>
      </c>
      <c r="BM850" t="s">
        <v>15931</v>
      </c>
      <c r="BN850">
        <v>37526585</v>
      </c>
      <c r="BO850" t="s">
        <v>122</v>
      </c>
      <c r="BP850" t="s">
        <v>74</v>
      </c>
      <c r="BQ850" t="s">
        <v>74</v>
      </c>
      <c r="BR850" t="s">
        <v>99</v>
      </c>
      <c r="BS850" t="s">
        <v>15932</v>
      </c>
      <c r="BT850" t="str">
        <f>HYPERLINK("https%3A%2F%2Fwww.webofscience.com%2Fwos%2Fwoscc%2Ffull-record%2FWOS:001040573100001","View Full Record in Web of Science")</f>
        <v>View Full Record in Web of Science</v>
      </c>
    </row>
    <row r="851" spans="1:72" x14ac:dyDescent="0.15">
      <c r="A851" t="s">
        <v>72</v>
      </c>
      <c r="B851" t="s">
        <v>15933</v>
      </c>
      <c r="C851" t="s">
        <v>74</v>
      </c>
      <c r="D851" t="s">
        <v>74</v>
      </c>
      <c r="E851" t="s">
        <v>74</v>
      </c>
      <c r="F851" t="s">
        <v>15934</v>
      </c>
      <c r="G851" t="s">
        <v>74</v>
      </c>
      <c r="H851" t="s">
        <v>74</v>
      </c>
      <c r="I851" t="s">
        <v>15935</v>
      </c>
      <c r="J851" t="s">
        <v>6732</v>
      </c>
      <c r="K851" t="s">
        <v>74</v>
      </c>
      <c r="L851" t="s">
        <v>74</v>
      </c>
      <c r="M851" t="s">
        <v>78</v>
      </c>
      <c r="N851" t="s">
        <v>79</v>
      </c>
      <c r="O851" t="s">
        <v>74</v>
      </c>
      <c r="P851" t="s">
        <v>74</v>
      </c>
      <c r="Q851" t="s">
        <v>74</v>
      </c>
      <c r="R851" t="s">
        <v>74</v>
      </c>
      <c r="S851" t="s">
        <v>74</v>
      </c>
      <c r="T851" t="s">
        <v>15936</v>
      </c>
      <c r="U851" t="s">
        <v>15937</v>
      </c>
      <c r="V851" t="s">
        <v>15938</v>
      </c>
      <c r="W851" t="s">
        <v>15939</v>
      </c>
      <c r="X851" t="s">
        <v>15940</v>
      </c>
      <c r="Y851" t="s">
        <v>15941</v>
      </c>
      <c r="Z851" t="s">
        <v>15942</v>
      </c>
      <c r="AA851" t="s">
        <v>74</v>
      </c>
      <c r="AB851" t="s">
        <v>15943</v>
      </c>
      <c r="AC851" t="s">
        <v>15944</v>
      </c>
      <c r="AD851" t="s">
        <v>15945</v>
      </c>
      <c r="AE851" t="s">
        <v>15946</v>
      </c>
      <c r="AF851" t="s">
        <v>74</v>
      </c>
      <c r="AG851">
        <v>48</v>
      </c>
      <c r="AH851">
        <v>0</v>
      </c>
      <c r="AI851">
        <v>0</v>
      </c>
      <c r="AJ851">
        <v>1</v>
      </c>
      <c r="AK851">
        <v>1</v>
      </c>
      <c r="AL851" t="s">
        <v>87</v>
      </c>
      <c r="AM851" t="s">
        <v>88</v>
      </c>
      <c r="AN851" t="s">
        <v>89</v>
      </c>
      <c r="AO851" t="s">
        <v>6742</v>
      </c>
      <c r="AP851" t="s">
        <v>74</v>
      </c>
      <c r="AQ851" t="s">
        <v>74</v>
      </c>
      <c r="AR851" t="s">
        <v>6743</v>
      </c>
      <c r="AS851" t="s">
        <v>6744</v>
      </c>
      <c r="AT851" t="s">
        <v>11302</v>
      </c>
      <c r="AU851">
        <v>2023</v>
      </c>
      <c r="AV851">
        <v>13</v>
      </c>
      <c r="AW851">
        <v>8</v>
      </c>
      <c r="AX851" t="s">
        <v>74</v>
      </c>
      <c r="AY851" t="s">
        <v>74</v>
      </c>
      <c r="AZ851" t="s">
        <v>74</v>
      </c>
      <c r="BA851" t="s">
        <v>74</v>
      </c>
      <c r="BB851" t="s">
        <v>74</v>
      </c>
      <c r="BC851" t="s">
        <v>74</v>
      </c>
      <c r="BD851" t="s">
        <v>74</v>
      </c>
      <c r="BE851" t="s">
        <v>15947</v>
      </c>
      <c r="BF851" t="str">
        <f>HYPERLINK("http://dx.doi.org/10.1002/ece3.10320","http://dx.doi.org/10.1002/ece3.10320")</f>
        <v>http://dx.doi.org/10.1002/ece3.10320</v>
      </c>
      <c r="BG851" t="s">
        <v>74</v>
      </c>
      <c r="BH851" t="s">
        <v>74</v>
      </c>
      <c r="BI851">
        <v>9</v>
      </c>
      <c r="BJ851" t="s">
        <v>6747</v>
      </c>
      <c r="BK851" t="s">
        <v>119</v>
      </c>
      <c r="BL851" t="s">
        <v>6748</v>
      </c>
      <c r="BM851" t="s">
        <v>15948</v>
      </c>
      <c r="BN851">
        <v>37636868</v>
      </c>
      <c r="BO851" t="s">
        <v>6877</v>
      </c>
      <c r="BP851" t="s">
        <v>74</v>
      </c>
      <c r="BQ851" t="s">
        <v>74</v>
      </c>
      <c r="BR851" t="s">
        <v>99</v>
      </c>
      <c r="BS851" t="s">
        <v>15949</v>
      </c>
      <c r="BT851" t="str">
        <f>HYPERLINK("https%3A%2F%2Fwww.webofscience.com%2Fwos%2Fwoscc%2Ffull-record%2FWOS:001057434400001","View Full Record in Web of Science")</f>
        <v>View Full Record in Web of Science</v>
      </c>
    </row>
    <row r="852" spans="1:72" x14ac:dyDescent="0.15">
      <c r="A852" t="s">
        <v>72</v>
      </c>
      <c r="B852" t="s">
        <v>15950</v>
      </c>
      <c r="C852" t="s">
        <v>74</v>
      </c>
      <c r="D852" t="s">
        <v>74</v>
      </c>
      <c r="E852" t="s">
        <v>74</v>
      </c>
      <c r="F852" t="s">
        <v>15951</v>
      </c>
      <c r="G852" t="s">
        <v>74</v>
      </c>
      <c r="H852" t="s">
        <v>74</v>
      </c>
      <c r="I852" t="s">
        <v>15952</v>
      </c>
      <c r="J852" t="s">
        <v>15953</v>
      </c>
      <c r="K852" t="s">
        <v>74</v>
      </c>
      <c r="L852" t="s">
        <v>74</v>
      </c>
      <c r="M852" t="s">
        <v>78</v>
      </c>
      <c r="N852" t="s">
        <v>79</v>
      </c>
      <c r="O852" t="s">
        <v>74</v>
      </c>
      <c r="P852" t="s">
        <v>74</v>
      </c>
      <c r="Q852" t="s">
        <v>74</v>
      </c>
      <c r="R852" t="s">
        <v>74</v>
      </c>
      <c r="S852" t="s">
        <v>74</v>
      </c>
      <c r="T852" t="s">
        <v>15954</v>
      </c>
      <c r="U852" t="s">
        <v>15955</v>
      </c>
      <c r="V852" t="s">
        <v>15956</v>
      </c>
      <c r="W852" t="s">
        <v>15957</v>
      </c>
      <c r="X852" t="s">
        <v>15958</v>
      </c>
      <c r="Y852" t="s">
        <v>15959</v>
      </c>
      <c r="Z852" t="s">
        <v>15960</v>
      </c>
      <c r="AA852" t="s">
        <v>74</v>
      </c>
      <c r="AB852" t="s">
        <v>74</v>
      </c>
      <c r="AC852" t="s">
        <v>15961</v>
      </c>
      <c r="AD852" t="s">
        <v>15962</v>
      </c>
      <c r="AE852" t="s">
        <v>15963</v>
      </c>
      <c r="AF852" t="s">
        <v>74</v>
      </c>
      <c r="AG852">
        <v>40</v>
      </c>
      <c r="AH852">
        <v>0</v>
      </c>
      <c r="AI852">
        <v>0</v>
      </c>
      <c r="AJ852">
        <v>5</v>
      </c>
      <c r="AK852">
        <v>5</v>
      </c>
      <c r="AL852" t="s">
        <v>87</v>
      </c>
      <c r="AM852" t="s">
        <v>88</v>
      </c>
      <c r="AN852" t="s">
        <v>89</v>
      </c>
      <c r="AO852" t="s">
        <v>15964</v>
      </c>
      <c r="AP852" t="s">
        <v>15965</v>
      </c>
      <c r="AQ852" t="s">
        <v>74</v>
      </c>
      <c r="AR852" t="s">
        <v>15966</v>
      </c>
      <c r="AS852" t="s">
        <v>15967</v>
      </c>
      <c r="AT852" t="s">
        <v>11302</v>
      </c>
      <c r="AU852">
        <v>2023</v>
      </c>
      <c r="AV852">
        <v>34</v>
      </c>
      <c r="AW852">
        <v>8</v>
      </c>
      <c r="AX852" t="s">
        <v>74</v>
      </c>
      <c r="AY852" t="s">
        <v>74</v>
      </c>
      <c r="AZ852" t="s">
        <v>74</v>
      </c>
      <c r="BA852" t="s">
        <v>74</v>
      </c>
      <c r="BB852" t="s">
        <v>74</v>
      </c>
      <c r="BC852" t="s">
        <v>74</v>
      </c>
      <c r="BD852" t="s">
        <v>15914</v>
      </c>
      <c r="BE852" t="s">
        <v>15968</v>
      </c>
      <c r="BF852" t="str">
        <f>HYPERLINK("http://dx.doi.org/10.1111/pai.14003","http://dx.doi.org/10.1111/pai.14003")</f>
        <v>http://dx.doi.org/10.1111/pai.14003</v>
      </c>
      <c r="BG852" t="s">
        <v>74</v>
      </c>
      <c r="BH852" t="s">
        <v>74</v>
      </c>
      <c r="BI852">
        <v>12</v>
      </c>
      <c r="BJ852" t="s">
        <v>15969</v>
      </c>
      <c r="BK852" t="s">
        <v>119</v>
      </c>
      <c r="BL852" t="s">
        <v>15969</v>
      </c>
      <c r="BM852" t="s">
        <v>15970</v>
      </c>
      <c r="BN852">
        <v>37622258</v>
      </c>
      <c r="BO852" t="s">
        <v>74</v>
      </c>
      <c r="BP852" t="s">
        <v>74</v>
      </c>
      <c r="BQ852" t="s">
        <v>74</v>
      </c>
      <c r="BR852" t="s">
        <v>99</v>
      </c>
      <c r="BS852" t="s">
        <v>15971</v>
      </c>
      <c r="BT852" t="str">
        <f>HYPERLINK("https%3A%2F%2Fwww.webofscience.com%2Fwos%2Fwoscc%2Ffull-record%2FWOS:001040531500001","View Full Record in Web of Science")</f>
        <v>View Full Record in Web of Science</v>
      </c>
    </row>
    <row r="853" spans="1:72" x14ac:dyDescent="0.15">
      <c r="A853" t="s">
        <v>72</v>
      </c>
      <c r="B853" t="s">
        <v>15972</v>
      </c>
      <c r="C853" t="s">
        <v>74</v>
      </c>
      <c r="D853" t="s">
        <v>74</v>
      </c>
      <c r="E853" t="s">
        <v>74</v>
      </c>
      <c r="F853" t="s">
        <v>15973</v>
      </c>
      <c r="G853" t="s">
        <v>74</v>
      </c>
      <c r="H853" t="s">
        <v>74</v>
      </c>
      <c r="I853" t="s">
        <v>15974</v>
      </c>
      <c r="J853" t="s">
        <v>15975</v>
      </c>
      <c r="K853" t="s">
        <v>74</v>
      </c>
      <c r="L853" t="s">
        <v>74</v>
      </c>
      <c r="M853" t="s">
        <v>78</v>
      </c>
      <c r="N853" t="s">
        <v>338</v>
      </c>
      <c r="O853" t="s">
        <v>74</v>
      </c>
      <c r="P853" t="s">
        <v>74</v>
      </c>
      <c r="Q853" t="s">
        <v>74</v>
      </c>
      <c r="R853" t="s">
        <v>74</v>
      </c>
      <c r="S853" t="s">
        <v>74</v>
      </c>
      <c r="T853" t="s">
        <v>15976</v>
      </c>
      <c r="U853" t="s">
        <v>15977</v>
      </c>
      <c r="V853" t="s">
        <v>15978</v>
      </c>
      <c r="W853" t="s">
        <v>15979</v>
      </c>
      <c r="X853" t="s">
        <v>15980</v>
      </c>
      <c r="Y853" t="s">
        <v>15981</v>
      </c>
      <c r="Z853" t="s">
        <v>15982</v>
      </c>
      <c r="AA853" t="s">
        <v>74</v>
      </c>
      <c r="AB853" t="s">
        <v>74</v>
      </c>
      <c r="AC853" t="s">
        <v>74</v>
      </c>
      <c r="AD853" t="s">
        <v>74</v>
      </c>
      <c r="AE853" t="s">
        <v>74</v>
      </c>
      <c r="AF853" t="s">
        <v>74</v>
      </c>
      <c r="AG853">
        <v>44</v>
      </c>
      <c r="AH853">
        <v>0</v>
      </c>
      <c r="AI853">
        <v>0</v>
      </c>
      <c r="AJ853">
        <v>1</v>
      </c>
      <c r="AK853">
        <v>1</v>
      </c>
      <c r="AL853" t="s">
        <v>87</v>
      </c>
      <c r="AM853" t="s">
        <v>88</v>
      </c>
      <c r="AN853" t="s">
        <v>89</v>
      </c>
      <c r="AO853" t="s">
        <v>15983</v>
      </c>
      <c r="AP853" t="s">
        <v>15984</v>
      </c>
      <c r="AQ853" t="s">
        <v>74</v>
      </c>
      <c r="AR853" t="s">
        <v>15985</v>
      </c>
      <c r="AS853" t="s">
        <v>15986</v>
      </c>
      <c r="AT853" t="s">
        <v>15292</v>
      </c>
      <c r="AU853">
        <v>2023</v>
      </c>
      <c r="AV853" t="s">
        <v>74</v>
      </c>
      <c r="AW853" t="s">
        <v>74</v>
      </c>
      <c r="AX853" t="s">
        <v>74</v>
      </c>
      <c r="AY853" t="s">
        <v>74</v>
      </c>
      <c r="AZ853" t="s">
        <v>74</v>
      </c>
      <c r="BA853" t="s">
        <v>74</v>
      </c>
      <c r="BB853" t="s">
        <v>74</v>
      </c>
      <c r="BC853" t="s">
        <v>74</v>
      </c>
      <c r="BD853" t="s">
        <v>74</v>
      </c>
      <c r="BE853" t="s">
        <v>15987</v>
      </c>
      <c r="BF853" t="str">
        <f>HYPERLINK("http://dx.doi.org/10.1111/1460-6984.12942","http://dx.doi.org/10.1111/1460-6984.12942")</f>
        <v>http://dx.doi.org/10.1111/1460-6984.12942</v>
      </c>
      <c r="BG853" t="s">
        <v>74</v>
      </c>
      <c r="BH853" t="s">
        <v>7524</v>
      </c>
      <c r="BI853">
        <v>21</v>
      </c>
      <c r="BJ853" t="s">
        <v>15988</v>
      </c>
      <c r="BK853" t="s">
        <v>409</v>
      </c>
      <c r="BL853" t="s">
        <v>15988</v>
      </c>
      <c r="BM853" t="s">
        <v>15989</v>
      </c>
      <c r="BN853">
        <v>37528503</v>
      </c>
      <c r="BO853" t="s">
        <v>74</v>
      </c>
      <c r="BP853" t="s">
        <v>74</v>
      </c>
      <c r="BQ853" t="s">
        <v>74</v>
      </c>
      <c r="BR853" t="s">
        <v>99</v>
      </c>
      <c r="BS853" t="s">
        <v>15990</v>
      </c>
      <c r="BT853" t="str">
        <f>HYPERLINK("https%3A%2F%2Fwww.webofscience.com%2Fwos%2Fwoscc%2Ffull-record%2FWOS:001039935700001","View Full Record in Web of Science")</f>
        <v>View Full Record in Web of Science</v>
      </c>
    </row>
    <row r="854" spans="1:72" x14ac:dyDescent="0.15">
      <c r="A854" t="s">
        <v>72</v>
      </c>
      <c r="B854" t="s">
        <v>15991</v>
      </c>
      <c r="C854" t="s">
        <v>74</v>
      </c>
      <c r="D854" t="s">
        <v>74</v>
      </c>
      <c r="E854" t="s">
        <v>74</v>
      </c>
      <c r="F854" t="s">
        <v>15992</v>
      </c>
      <c r="G854" t="s">
        <v>74</v>
      </c>
      <c r="H854" t="s">
        <v>74</v>
      </c>
      <c r="I854" t="s">
        <v>15993</v>
      </c>
      <c r="J854" t="s">
        <v>6754</v>
      </c>
      <c r="K854" t="s">
        <v>74</v>
      </c>
      <c r="L854" t="s">
        <v>74</v>
      </c>
      <c r="M854" t="s">
        <v>78</v>
      </c>
      <c r="N854" t="s">
        <v>3392</v>
      </c>
      <c r="O854" t="s">
        <v>74</v>
      </c>
      <c r="P854" t="s">
        <v>74</v>
      </c>
      <c r="Q854" t="s">
        <v>74</v>
      </c>
      <c r="R854" t="s">
        <v>74</v>
      </c>
      <c r="S854" t="s">
        <v>74</v>
      </c>
      <c r="T854" t="s">
        <v>15994</v>
      </c>
      <c r="U854" t="s">
        <v>15995</v>
      </c>
      <c r="V854" t="s">
        <v>15996</v>
      </c>
      <c r="W854" t="s">
        <v>15997</v>
      </c>
      <c r="X854" t="s">
        <v>15998</v>
      </c>
      <c r="Y854" t="s">
        <v>15999</v>
      </c>
      <c r="Z854" t="s">
        <v>16000</v>
      </c>
      <c r="AA854" t="s">
        <v>74</v>
      </c>
      <c r="AB854" t="s">
        <v>74</v>
      </c>
      <c r="AC854" t="s">
        <v>74</v>
      </c>
      <c r="AD854" t="s">
        <v>74</v>
      </c>
      <c r="AE854" t="s">
        <v>74</v>
      </c>
      <c r="AF854" t="s">
        <v>74</v>
      </c>
      <c r="AG854">
        <v>23</v>
      </c>
      <c r="AH854">
        <v>0</v>
      </c>
      <c r="AI854">
        <v>0</v>
      </c>
      <c r="AJ854">
        <v>0</v>
      </c>
      <c r="AK854">
        <v>0</v>
      </c>
      <c r="AL854" t="s">
        <v>87</v>
      </c>
      <c r="AM854" t="s">
        <v>88</v>
      </c>
      <c r="AN854" t="s">
        <v>89</v>
      </c>
      <c r="AO854" t="s">
        <v>6763</v>
      </c>
      <c r="AP854" t="s">
        <v>74</v>
      </c>
      <c r="AQ854" t="s">
        <v>74</v>
      </c>
      <c r="AR854" t="s">
        <v>6764</v>
      </c>
      <c r="AS854" t="s">
        <v>6765</v>
      </c>
      <c r="AT854" t="s">
        <v>11302</v>
      </c>
      <c r="AU854">
        <v>2023</v>
      </c>
      <c r="AV854">
        <v>11</v>
      </c>
      <c r="AW854">
        <v>8</v>
      </c>
      <c r="AX854" t="s">
        <v>74</v>
      </c>
      <c r="AY854" t="s">
        <v>74</v>
      </c>
      <c r="AZ854" t="s">
        <v>74</v>
      </c>
      <c r="BA854" t="s">
        <v>74</v>
      </c>
      <c r="BB854" t="s">
        <v>74</v>
      </c>
      <c r="BC854" t="s">
        <v>74</v>
      </c>
      <c r="BD854" t="s">
        <v>16001</v>
      </c>
      <c r="BE854" t="s">
        <v>16002</v>
      </c>
      <c r="BF854" t="str">
        <f>HYPERLINK("http://dx.doi.org/10.1002/ccr3.7706","http://dx.doi.org/10.1002/ccr3.7706")</f>
        <v>http://dx.doi.org/10.1002/ccr3.7706</v>
      </c>
      <c r="BG854" t="s">
        <v>74</v>
      </c>
      <c r="BH854" t="s">
        <v>74</v>
      </c>
      <c r="BI854">
        <v>6</v>
      </c>
      <c r="BJ854" t="s">
        <v>4689</v>
      </c>
      <c r="BK854" t="s">
        <v>96</v>
      </c>
      <c r="BL854" t="s">
        <v>4690</v>
      </c>
      <c r="BM854" t="s">
        <v>16003</v>
      </c>
      <c r="BN854">
        <v>37529124</v>
      </c>
      <c r="BO854" t="s">
        <v>16004</v>
      </c>
      <c r="BP854" t="s">
        <v>74</v>
      </c>
      <c r="BQ854" t="s">
        <v>74</v>
      </c>
      <c r="BR854" t="s">
        <v>99</v>
      </c>
      <c r="BS854" t="s">
        <v>16005</v>
      </c>
      <c r="BT854" t="str">
        <f>HYPERLINK("https%3A%2F%2Fwww.webofscience.com%2Fwos%2Fwoscc%2Ffull-record%2FWOS:001037131500001","View Full Record in Web of Science")</f>
        <v>View Full Record in Web of Science</v>
      </c>
    </row>
    <row r="855" spans="1:72" x14ac:dyDescent="0.15">
      <c r="A855" t="s">
        <v>72</v>
      </c>
      <c r="B855" t="s">
        <v>16006</v>
      </c>
      <c r="C855" t="s">
        <v>74</v>
      </c>
      <c r="D855" t="s">
        <v>74</v>
      </c>
      <c r="E855" t="s">
        <v>74</v>
      </c>
      <c r="F855" t="s">
        <v>16007</v>
      </c>
      <c r="G855" t="s">
        <v>74</v>
      </c>
      <c r="H855" t="s">
        <v>74</v>
      </c>
      <c r="I855" t="s">
        <v>16008</v>
      </c>
      <c r="J855" t="s">
        <v>6732</v>
      </c>
      <c r="K855" t="s">
        <v>74</v>
      </c>
      <c r="L855" t="s">
        <v>74</v>
      </c>
      <c r="M855" t="s">
        <v>78</v>
      </c>
      <c r="N855" t="s">
        <v>79</v>
      </c>
      <c r="O855" t="s">
        <v>74</v>
      </c>
      <c r="P855" t="s">
        <v>74</v>
      </c>
      <c r="Q855" t="s">
        <v>74</v>
      </c>
      <c r="R855" t="s">
        <v>74</v>
      </c>
      <c r="S855" t="s">
        <v>74</v>
      </c>
      <c r="T855" t="s">
        <v>16009</v>
      </c>
      <c r="U855" t="s">
        <v>16010</v>
      </c>
      <c r="V855" t="s">
        <v>16011</v>
      </c>
      <c r="W855" t="s">
        <v>16012</v>
      </c>
      <c r="X855" t="s">
        <v>16013</v>
      </c>
      <c r="Y855" t="s">
        <v>16014</v>
      </c>
      <c r="Z855" t="s">
        <v>16015</v>
      </c>
      <c r="AA855" t="s">
        <v>74</v>
      </c>
      <c r="AB855" t="s">
        <v>74</v>
      </c>
      <c r="AC855" t="s">
        <v>16016</v>
      </c>
      <c r="AD855" t="s">
        <v>16016</v>
      </c>
      <c r="AE855" t="s">
        <v>16016</v>
      </c>
      <c r="AF855" t="s">
        <v>74</v>
      </c>
      <c r="AG855">
        <v>42</v>
      </c>
      <c r="AH855">
        <v>0</v>
      </c>
      <c r="AI855">
        <v>0</v>
      </c>
      <c r="AJ855">
        <v>2</v>
      </c>
      <c r="AK855">
        <v>2</v>
      </c>
      <c r="AL855" t="s">
        <v>87</v>
      </c>
      <c r="AM855" t="s">
        <v>88</v>
      </c>
      <c r="AN855" t="s">
        <v>89</v>
      </c>
      <c r="AO855" t="s">
        <v>6742</v>
      </c>
      <c r="AP855" t="s">
        <v>74</v>
      </c>
      <c r="AQ855" t="s">
        <v>74</v>
      </c>
      <c r="AR855" t="s">
        <v>6743</v>
      </c>
      <c r="AS855" t="s">
        <v>6744</v>
      </c>
      <c r="AT855" t="s">
        <v>11302</v>
      </c>
      <c r="AU855">
        <v>2023</v>
      </c>
      <c r="AV855">
        <v>13</v>
      </c>
      <c r="AW855">
        <v>8</v>
      </c>
      <c r="AX855" t="s">
        <v>74</v>
      </c>
      <c r="AY855" t="s">
        <v>74</v>
      </c>
      <c r="AZ855" t="s">
        <v>74</v>
      </c>
      <c r="BA855" t="s">
        <v>74</v>
      </c>
      <c r="BB855" t="s">
        <v>74</v>
      </c>
      <c r="BC855" t="s">
        <v>74</v>
      </c>
      <c r="BD855" t="s">
        <v>16017</v>
      </c>
      <c r="BE855" t="s">
        <v>16018</v>
      </c>
      <c r="BF855" t="str">
        <f>HYPERLINK("http://dx.doi.org/10.1002/ece3.10309","http://dx.doi.org/10.1002/ece3.10309")</f>
        <v>http://dx.doi.org/10.1002/ece3.10309</v>
      </c>
      <c r="BG855" t="s">
        <v>74</v>
      </c>
      <c r="BH855" t="s">
        <v>74</v>
      </c>
      <c r="BI855">
        <v>11</v>
      </c>
      <c r="BJ855" t="s">
        <v>6747</v>
      </c>
      <c r="BK855" t="s">
        <v>119</v>
      </c>
      <c r="BL855" t="s">
        <v>6748</v>
      </c>
      <c r="BM855" t="s">
        <v>16019</v>
      </c>
      <c r="BN855">
        <v>37614697</v>
      </c>
      <c r="BO855" t="s">
        <v>6923</v>
      </c>
      <c r="BP855" t="s">
        <v>74</v>
      </c>
      <c r="BQ855" t="s">
        <v>74</v>
      </c>
      <c r="BR855" t="s">
        <v>99</v>
      </c>
      <c r="BS855" t="s">
        <v>16020</v>
      </c>
      <c r="BT855" t="str">
        <f>HYPERLINK("https%3A%2F%2Fwww.webofscience.com%2Fwos%2Fwoscc%2Ffull-record%2FWOS:001052555500001","View Full Record in Web of Science")</f>
        <v>View Full Record in Web of Science</v>
      </c>
    </row>
    <row r="856" spans="1:72" x14ac:dyDescent="0.15">
      <c r="A856" t="s">
        <v>72</v>
      </c>
      <c r="B856" t="s">
        <v>16021</v>
      </c>
      <c r="C856" t="s">
        <v>74</v>
      </c>
      <c r="D856" t="s">
        <v>74</v>
      </c>
      <c r="E856" t="s">
        <v>74</v>
      </c>
      <c r="F856" t="s">
        <v>16022</v>
      </c>
      <c r="G856" t="s">
        <v>74</v>
      </c>
      <c r="H856" t="s">
        <v>74</v>
      </c>
      <c r="I856" t="s">
        <v>16023</v>
      </c>
      <c r="J856" t="s">
        <v>218</v>
      </c>
      <c r="K856" t="s">
        <v>74</v>
      </c>
      <c r="L856" t="s">
        <v>74</v>
      </c>
      <c r="M856" t="s">
        <v>78</v>
      </c>
      <c r="N856" t="s">
        <v>3392</v>
      </c>
      <c r="O856" t="s">
        <v>74</v>
      </c>
      <c r="P856" t="s">
        <v>74</v>
      </c>
      <c r="Q856" t="s">
        <v>74</v>
      </c>
      <c r="R856" t="s">
        <v>74</v>
      </c>
      <c r="S856" t="s">
        <v>74</v>
      </c>
      <c r="T856" t="s">
        <v>16024</v>
      </c>
      <c r="U856" t="s">
        <v>16025</v>
      </c>
      <c r="V856" t="s">
        <v>16026</v>
      </c>
      <c r="W856" t="s">
        <v>16027</v>
      </c>
      <c r="X856" t="s">
        <v>6626</v>
      </c>
      <c r="Y856" t="s">
        <v>16028</v>
      </c>
      <c r="Z856" t="s">
        <v>16029</v>
      </c>
      <c r="AA856" t="s">
        <v>74</v>
      </c>
      <c r="AB856" t="s">
        <v>74</v>
      </c>
      <c r="AC856" t="s">
        <v>16030</v>
      </c>
      <c r="AD856" t="s">
        <v>16031</v>
      </c>
      <c r="AE856" t="s">
        <v>16032</v>
      </c>
      <c r="AF856" t="s">
        <v>74</v>
      </c>
      <c r="AG856">
        <v>309</v>
      </c>
      <c r="AH856">
        <v>0</v>
      </c>
      <c r="AI856">
        <v>0</v>
      </c>
      <c r="AJ856">
        <v>9</v>
      </c>
      <c r="AK856">
        <v>9</v>
      </c>
      <c r="AL856" t="s">
        <v>87</v>
      </c>
      <c r="AM856" t="s">
        <v>88</v>
      </c>
      <c r="AN856" t="s">
        <v>89</v>
      </c>
      <c r="AO856" t="s">
        <v>74</v>
      </c>
      <c r="AP856" t="s">
        <v>227</v>
      </c>
      <c r="AQ856" t="s">
        <v>74</v>
      </c>
      <c r="AR856" t="s">
        <v>218</v>
      </c>
      <c r="AS856" t="s">
        <v>228</v>
      </c>
      <c r="AT856" t="s">
        <v>11302</v>
      </c>
      <c r="AU856">
        <v>2023</v>
      </c>
      <c r="AV856">
        <v>4</v>
      </c>
      <c r="AW856">
        <v>4</v>
      </c>
      <c r="AX856" t="s">
        <v>74</v>
      </c>
      <c r="AY856" t="s">
        <v>74</v>
      </c>
      <c r="AZ856" t="s">
        <v>74</v>
      </c>
      <c r="BA856" t="s">
        <v>74</v>
      </c>
      <c r="BB856" t="s">
        <v>74</v>
      </c>
      <c r="BC856" t="s">
        <v>74</v>
      </c>
      <c r="BD856" t="s">
        <v>16033</v>
      </c>
      <c r="BE856" t="s">
        <v>16034</v>
      </c>
      <c r="BF856" t="str">
        <f>HYPERLINK("http://dx.doi.org/10.1002/mco2.298","http://dx.doi.org/10.1002/mco2.298")</f>
        <v>http://dx.doi.org/10.1002/mco2.298</v>
      </c>
      <c r="BG856" t="s">
        <v>74</v>
      </c>
      <c r="BH856" t="s">
        <v>74</v>
      </c>
      <c r="BI856">
        <v>27</v>
      </c>
      <c r="BJ856" t="s">
        <v>231</v>
      </c>
      <c r="BK856" t="s">
        <v>96</v>
      </c>
      <c r="BL856" t="s">
        <v>232</v>
      </c>
      <c r="BM856" t="s">
        <v>16035</v>
      </c>
      <c r="BN856">
        <v>37377861</v>
      </c>
      <c r="BO856" t="s">
        <v>6877</v>
      </c>
      <c r="BP856" t="s">
        <v>74</v>
      </c>
      <c r="BQ856" t="s">
        <v>74</v>
      </c>
      <c r="BR856" t="s">
        <v>99</v>
      </c>
      <c r="BS856" t="s">
        <v>16036</v>
      </c>
      <c r="BT856" t="str">
        <f>HYPERLINK("https%3A%2F%2Fwww.webofscience.com%2Fwos%2Fwoscc%2Ffull-record%2FWOS:001013165000001","View Full Record in Web of Science")</f>
        <v>View Full Record in Web of Science</v>
      </c>
    </row>
    <row r="857" spans="1:72" x14ac:dyDescent="0.15">
      <c r="A857" t="s">
        <v>72</v>
      </c>
      <c r="B857" t="s">
        <v>16037</v>
      </c>
      <c r="C857" t="s">
        <v>74</v>
      </c>
      <c r="D857" t="s">
        <v>74</v>
      </c>
      <c r="E857" t="s">
        <v>74</v>
      </c>
      <c r="F857" t="s">
        <v>16038</v>
      </c>
      <c r="G857" t="s">
        <v>74</v>
      </c>
      <c r="H857" t="s">
        <v>74</v>
      </c>
      <c r="I857" t="s">
        <v>16039</v>
      </c>
      <c r="J857" t="s">
        <v>2275</v>
      </c>
      <c r="K857" t="s">
        <v>74</v>
      </c>
      <c r="L857" t="s">
        <v>74</v>
      </c>
      <c r="M857" t="s">
        <v>78</v>
      </c>
      <c r="N857" t="s">
        <v>79</v>
      </c>
      <c r="O857" t="s">
        <v>74</v>
      </c>
      <c r="P857" t="s">
        <v>74</v>
      </c>
      <c r="Q857" t="s">
        <v>74</v>
      </c>
      <c r="R857" t="s">
        <v>74</v>
      </c>
      <c r="S857" t="s">
        <v>74</v>
      </c>
      <c r="T857" t="s">
        <v>16040</v>
      </c>
      <c r="U857" t="s">
        <v>16041</v>
      </c>
      <c r="V857" t="s">
        <v>16042</v>
      </c>
      <c r="W857" t="s">
        <v>16043</v>
      </c>
      <c r="X857" t="s">
        <v>16044</v>
      </c>
      <c r="Y857" t="s">
        <v>16045</v>
      </c>
      <c r="Z857" t="s">
        <v>16046</v>
      </c>
      <c r="AA857" t="s">
        <v>74</v>
      </c>
      <c r="AB857" t="s">
        <v>16047</v>
      </c>
      <c r="AC857" t="s">
        <v>16048</v>
      </c>
      <c r="AD857" t="s">
        <v>16048</v>
      </c>
      <c r="AE857" t="s">
        <v>16049</v>
      </c>
      <c r="AF857" t="s">
        <v>74</v>
      </c>
      <c r="AG857">
        <v>56</v>
      </c>
      <c r="AH857">
        <v>0</v>
      </c>
      <c r="AI857">
        <v>0</v>
      </c>
      <c r="AJ857">
        <v>0</v>
      </c>
      <c r="AK857">
        <v>0</v>
      </c>
      <c r="AL857" t="s">
        <v>87</v>
      </c>
      <c r="AM857" t="s">
        <v>88</v>
      </c>
      <c r="AN857" t="s">
        <v>89</v>
      </c>
      <c r="AO857" t="s">
        <v>2284</v>
      </c>
      <c r="AP857" t="s">
        <v>2285</v>
      </c>
      <c r="AQ857" t="s">
        <v>74</v>
      </c>
      <c r="AR857" t="s">
        <v>2286</v>
      </c>
      <c r="AS857" t="s">
        <v>2287</v>
      </c>
      <c r="AT857" t="s">
        <v>6725</v>
      </c>
      <c r="AU857">
        <v>2023</v>
      </c>
      <c r="AV857">
        <v>56</v>
      </c>
      <c r="AW857">
        <v>3</v>
      </c>
      <c r="AX857" t="s">
        <v>74</v>
      </c>
      <c r="AY857" t="s">
        <v>74</v>
      </c>
      <c r="AZ857" t="s">
        <v>74</v>
      </c>
      <c r="BA857" t="s">
        <v>74</v>
      </c>
      <c r="BB857">
        <v>600</v>
      </c>
      <c r="BC857">
        <v>626</v>
      </c>
      <c r="BD857" t="s">
        <v>74</v>
      </c>
      <c r="BE857" t="s">
        <v>16050</v>
      </c>
      <c r="BF857" t="str">
        <f>HYPERLINK("http://dx.doi.org/10.1111/flan.12712","http://dx.doi.org/10.1111/flan.12712")</f>
        <v>http://dx.doi.org/10.1111/flan.12712</v>
      </c>
      <c r="BG857" t="s">
        <v>74</v>
      </c>
      <c r="BH857" t="s">
        <v>7524</v>
      </c>
      <c r="BI857">
        <v>27</v>
      </c>
      <c r="BJ857" t="s">
        <v>2289</v>
      </c>
      <c r="BK857" t="s">
        <v>546</v>
      </c>
      <c r="BL857" t="s">
        <v>2289</v>
      </c>
      <c r="BM857" t="s">
        <v>9917</v>
      </c>
      <c r="BN857" t="s">
        <v>74</v>
      </c>
      <c r="BO857" t="s">
        <v>74</v>
      </c>
      <c r="BP857" t="s">
        <v>74</v>
      </c>
      <c r="BQ857" t="s">
        <v>74</v>
      </c>
      <c r="BR857" t="s">
        <v>99</v>
      </c>
      <c r="BS857" t="s">
        <v>16051</v>
      </c>
      <c r="BT857" t="str">
        <f>HYPERLINK("https%3A%2F%2Fwww.webofscience.com%2Fwos%2Fwoscc%2Ffull-record%2FWOS:001040537300001","View Full Record in Web of Science")</f>
        <v>View Full Record in Web of Science</v>
      </c>
    </row>
    <row r="858" spans="1:72" x14ac:dyDescent="0.15">
      <c r="A858" t="s">
        <v>72</v>
      </c>
      <c r="B858" t="s">
        <v>16052</v>
      </c>
      <c r="C858" t="s">
        <v>74</v>
      </c>
      <c r="D858" t="s">
        <v>74</v>
      </c>
      <c r="E858" t="s">
        <v>74</v>
      </c>
      <c r="F858" t="s">
        <v>16053</v>
      </c>
      <c r="G858" t="s">
        <v>74</v>
      </c>
      <c r="H858" t="s">
        <v>74</v>
      </c>
      <c r="I858" t="s">
        <v>16054</v>
      </c>
      <c r="J858" t="s">
        <v>16055</v>
      </c>
      <c r="K858" t="s">
        <v>74</v>
      </c>
      <c r="L858" t="s">
        <v>74</v>
      </c>
      <c r="M858" t="s">
        <v>78</v>
      </c>
      <c r="N858" t="s">
        <v>79</v>
      </c>
      <c r="O858" t="s">
        <v>74</v>
      </c>
      <c r="P858" t="s">
        <v>74</v>
      </c>
      <c r="Q858" t="s">
        <v>74</v>
      </c>
      <c r="R858" t="s">
        <v>74</v>
      </c>
      <c r="S858" t="s">
        <v>74</v>
      </c>
      <c r="T858" t="s">
        <v>16056</v>
      </c>
      <c r="U858" t="s">
        <v>16057</v>
      </c>
      <c r="V858" t="s">
        <v>16058</v>
      </c>
      <c r="W858" t="s">
        <v>16059</v>
      </c>
      <c r="X858" t="s">
        <v>16060</v>
      </c>
      <c r="Y858" t="s">
        <v>16061</v>
      </c>
      <c r="Z858" t="s">
        <v>16062</v>
      </c>
      <c r="AA858" t="s">
        <v>74</v>
      </c>
      <c r="AB858" t="s">
        <v>74</v>
      </c>
      <c r="AC858" t="s">
        <v>16063</v>
      </c>
      <c r="AD858" t="s">
        <v>16063</v>
      </c>
      <c r="AE858" t="s">
        <v>16064</v>
      </c>
      <c r="AF858" t="s">
        <v>74</v>
      </c>
      <c r="AG858">
        <v>19</v>
      </c>
      <c r="AH858">
        <v>0</v>
      </c>
      <c r="AI858">
        <v>0</v>
      </c>
      <c r="AJ858">
        <v>1</v>
      </c>
      <c r="AK858">
        <v>1</v>
      </c>
      <c r="AL858" t="s">
        <v>1100</v>
      </c>
      <c r="AM858" t="s">
        <v>1101</v>
      </c>
      <c r="AN858" t="s">
        <v>1102</v>
      </c>
      <c r="AO858" t="s">
        <v>16065</v>
      </c>
      <c r="AP858" t="s">
        <v>74</v>
      </c>
      <c r="AQ858" t="s">
        <v>74</v>
      </c>
      <c r="AR858" t="s">
        <v>16066</v>
      </c>
      <c r="AS858" t="s">
        <v>16067</v>
      </c>
      <c r="AT858" t="s">
        <v>11302</v>
      </c>
      <c r="AU858">
        <v>2023</v>
      </c>
      <c r="AV858">
        <v>11</v>
      </c>
      <c r="AW858">
        <v>4</v>
      </c>
      <c r="AX858" t="s">
        <v>74</v>
      </c>
      <c r="AY858" t="s">
        <v>74</v>
      </c>
      <c r="AZ858" t="s">
        <v>74</v>
      </c>
      <c r="BA858" t="s">
        <v>74</v>
      </c>
      <c r="BB858" t="s">
        <v>74</v>
      </c>
      <c r="BC858" t="s">
        <v>74</v>
      </c>
      <c r="BD858" t="s">
        <v>16068</v>
      </c>
      <c r="BE858" t="s">
        <v>16069</v>
      </c>
      <c r="BF858" t="str">
        <f>HYPERLINK("http://dx.doi.org/10.1002/prp2.1119","http://dx.doi.org/10.1002/prp2.1119")</f>
        <v>http://dx.doi.org/10.1002/prp2.1119</v>
      </c>
      <c r="BG858" t="s">
        <v>74</v>
      </c>
      <c r="BH858" t="s">
        <v>74</v>
      </c>
      <c r="BI858">
        <v>9</v>
      </c>
      <c r="BJ858" t="s">
        <v>299</v>
      </c>
      <c r="BK858" t="s">
        <v>119</v>
      </c>
      <c r="BL858" t="s">
        <v>299</v>
      </c>
      <c r="BM858" t="s">
        <v>16070</v>
      </c>
      <c r="BN858">
        <v>37488088</v>
      </c>
      <c r="BO858" t="s">
        <v>6923</v>
      </c>
      <c r="BP858" t="s">
        <v>74</v>
      </c>
      <c r="BQ858" t="s">
        <v>74</v>
      </c>
      <c r="BR858" t="s">
        <v>99</v>
      </c>
      <c r="BS858" t="s">
        <v>16071</v>
      </c>
      <c r="BT858" t="str">
        <f>HYPERLINK("https%3A%2F%2Fwww.webofscience.com%2Fwos%2Fwoscc%2Ffull-record%2FWOS:001034151200001","View Full Record in Web of Science")</f>
        <v>View Full Record in Web of Science</v>
      </c>
    </row>
    <row r="859" spans="1:72" x14ac:dyDescent="0.15">
      <c r="A859" t="s">
        <v>72</v>
      </c>
      <c r="B859" t="s">
        <v>16072</v>
      </c>
      <c r="C859" t="s">
        <v>74</v>
      </c>
      <c r="D859" t="s">
        <v>74</v>
      </c>
      <c r="E859" t="s">
        <v>74</v>
      </c>
      <c r="F859" t="s">
        <v>16073</v>
      </c>
      <c r="G859" t="s">
        <v>74</v>
      </c>
      <c r="H859" t="s">
        <v>74</v>
      </c>
      <c r="I859" t="s">
        <v>16074</v>
      </c>
      <c r="J859" t="s">
        <v>16075</v>
      </c>
      <c r="K859" t="s">
        <v>74</v>
      </c>
      <c r="L859" t="s">
        <v>74</v>
      </c>
      <c r="M859" t="s">
        <v>78</v>
      </c>
      <c r="N859" t="s">
        <v>338</v>
      </c>
      <c r="O859" t="s">
        <v>74</v>
      </c>
      <c r="P859" t="s">
        <v>74</v>
      </c>
      <c r="Q859" t="s">
        <v>74</v>
      </c>
      <c r="R859" t="s">
        <v>74</v>
      </c>
      <c r="S859" t="s">
        <v>74</v>
      </c>
      <c r="T859" t="s">
        <v>16076</v>
      </c>
      <c r="U859" t="s">
        <v>16077</v>
      </c>
      <c r="V859" t="s">
        <v>16078</v>
      </c>
      <c r="W859" t="s">
        <v>16079</v>
      </c>
      <c r="X859" t="s">
        <v>14528</v>
      </c>
      <c r="Y859" t="s">
        <v>16080</v>
      </c>
      <c r="Z859" t="s">
        <v>16081</v>
      </c>
      <c r="AA859" t="s">
        <v>74</v>
      </c>
      <c r="AB859" t="s">
        <v>16082</v>
      </c>
      <c r="AC859" t="s">
        <v>74</v>
      </c>
      <c r="AD859" t="s">
        <v>74</v>
      </c>
      <c r="AE859" t="s">
        <v>74</v>
      </c>
      <c r="AF859" t="s">
        <v>74</v>
      </c>
      <c r="AG859">
        <v>62</v>
      </c>
      <c r="AH859">
        <v>0</v>
      </c>
      <c r="AI859">
        <v>0</v>
      </c>
      <c r="AJ859">
        <v>10</v>
      </c>
      <c r="AK859">
        <v>10</v>
      </c>
      <c r="AL859" t="s">
        <v>1100</v>
      </c>
      <c r="AM859" t="s">
        <v>1101</v>
      </c>
      <c r="AN859" t="s">
        <v>1102</v>
      </c>
      <c r="AO859" t="s">
        <v>16083</v>
      </c>
      <c r="AP859" t="s">
        <v>16084</v>
      </c>
      <c r="AQ859" t="s">
        <v>74</v>
      </c>
      <c r="AR859" t="s">
        <v>16085</v>
      </c>
      <c r="AS859" t="s">
        <v>16086</v>
      </c>
      <c r="AT859" t="s">
        <v>15292</v>
      </c>
      <c r="AU859">
        <v>2023</v>
      </c>
      <c r="AV859" t="s">
        <v>74</v>
      </c>
      <c r="AW859" t="s">
        <v>74</v>
      </c>
      <c r="AX859" t="s">
        <v>74</v>
      </c>
      <c r="AY859" t="s">
        <v>74</v>
      </c>
      <c r="AZ859" t="s">
        <v>74</v>
      </c>
      <c r="BA859" t="s">
        <v>74</v>
      </c>
      <c r="BB859" t="s">
        <v>74</v>
      </c>
      <c r="BC859" t="s">
        <v>74</v>
      </c>
      <c r="BD859" t="s">
        <v>74</v>
      </c>
      <c r="BE859" t="s">
        <v>16087</v>
      </c>
      <c r="BF859" t="str">
        <f>HYPERLINK("http://dx.doi.org/10.1002/jcpy.1380","http://dx.doi.org/10.1002/jcpy.1380")</f>
        <v>http://dx.doi.org/10.1002/jcpy.1380</v>
      </c>
      <c r="BG859" t="s">
        <v>74</v>
      </c>
      <c r="BH859" t="s">
        <v>7524</v>
      </c>
      <c r="BI859">
        <v>13</v>
      </c>
      <c r="BJ859" t="s">
        <v>2720</v>
      </c>
      <c r="BK859" t="s">
        <v>546</v>
      </c>
      <c r="BL859" t="s">
        <v>2721</v>
      </c>
      <c r="BM859" t="s">
        <v>16088</v>
      </c>
      <c r="BN859" t="s">
        <v>74</v>
      </c>
      <c r="BO859" t="s">
        <v>74</v>
      </c>
      <c r="BP859" t="s">
        <v>74</v>
      </c>
      <c r="BQ859" t="s">
        <v>74</v>
      </c>
      <c r="BR859" t="s">
        <v>99</v>
      </c>
      <c r="BS859" t="s">
        <v>16089</v>
      </c>
      <c r="BT859" t="str">
        <f>HYPERLINK("https%3A%2F%2Fwww.webofscience.com%2Fwos%2Fwoscc%2Ffull-record%2FWOS:001041208800001","View Full Record in Web of Science")</f>
        <v>View Full Record in Web of Science</v>
      </c>
    </row>
    <row r="860" spans="1:72" x14ac:dyDescent="0.15">
      <c r="A860" t="s">
        <v>72</v>
      </c>
      <c r="B860" t="s">
        <v>16090</v>
      </c>
      <c r="C860" t="s">
        <v>74</v>
      </c>
      <c r="D860" t="s">
        <v>74</v>
      </c>
      <c r="E860" t="s">
        <v>74</v>
      </c>
      <c r="F860" t="s">
        <v>16091</v>
      </c>
      <c r="G860" t="s">
        <v>74</v>
      </c>
      <c r="H860" t="s">
        <v>74</v>
      </c>
      <c r="I860" t="s">
        <v>16092</v>
      </c>
      <c r="J860" t="s">
        <v>16093</v>
      </c>
      <c r="K860" t="s">
        <v>74</v>
      </c>
      <c r="L860" t="s">
        <v>74</v>
      </c>
      <c r="M860" t="s">
        <v>78</v>
      </c>
      <c r="N860" t="s">
        <v>79</v>
      </c>
      <c r="O860" t="s">
        <v>74</v>
      </c>
      <c r="P860" t="s">
        <v>74</v>
      </c>
      <c r="Q860" t="s">
        <v>74</v>
      </c>
      <c r="R860" t="s">
        <v>74</v>
      </c>
      <c r="S860" t="s">
        <v>74</v>
      </c>
      <c r="T860" t="s">
        <v>16094</v>
      </c>
      <c r="U860" t="s">
        <v>74</v>
      </c>
      <c r="V860" t="s">
        <v>16095</v>
      </c>
      <c r="W860" t="s">
        <v>16096</v>
      </c>
      <c r="X860" t="s">
        <v>16097</v>
      </c>
      <c r="Y860" t="s">
        <v>16098</v>
      </c>
      <c r="Z860" t="s">
        <v>16099</v>
      </c>
      <c r="AA860" t="s">
        <v>74</v>
      </c>
      <c r="AB860" t="s">
        <v>74</v>
      </c>
      <c r="AC860" t="s">
        <v>74</v>
      </c>
      <c r="AD860" t="s">
        <v>74</v>
      </c>
      <c r="AE860" t="s">
        <v>74</v>
      </c>
      <c r="AF860" t="s">
        <v>74</v>
      </c>
      <c r="AG860">
        <v>6</v>
      </c>
      <c r="AH860">
        <v>0</v>
      </c>
      <c r="AI860">
        <v>0</v>
      </c>
      <c r="AJ860">
        <v>0</v>
      </c>
      <c r="AK860">
        <v>0</v>
      </c>
      <c r="AL860" t="s">
        <v>87</v>
      </c>
      <c r="AM860" t="s">
        <v>88</v>
      </c>
      <c r="AN860" t="s">
        <v>89</v>
      </c>
      <c r="AO860" t="s">
        <v>16100</v>
      </c>
      <c r="AP860" t="s">
        <v>16101</v>
      </c>
      <c r="AQ860" t="s">
        <v>74</v>
      </c>
      <c r="AR860" t="s">
        <v>16093</v>
      </c>
      <c r="AS860" t="s">
        <v>16102</v>
      </c>
      <c r="AT860" t="s">
        <v>11302</v>
      </c>
      <c r="AU860">
        <v>2023</v>
      </c>
      <c r="AV860">
        <v>28</v>
      </c>
      <c r="AW860" t="s">
        <v>74</v>
      </c>
      <c r="AX860" t="s">
        <v>74</v>
      </c>
      <c r="AY860">
        <v>1</v>
      </c>
      <c r="AZ860" t="s">
        <v>74</v>
      </c>
      <c r="BA860" t="s">
        <v>74</v>
      </c>
      <c r="BB860">
        <v>5</v>
      </c>
      <c r="BC860">
        <v>7</v>
      </c>
      <c r="BD860" t="s">
        <v>74</v>
      </c>
      <c r="BE860" t="s">
        <v>16103</v>
      </c>
      <c r="BF860" t="str">
        <f>HYPERLINK("http://dx.doi.org/10.1111/nep.14200","http://dx.doi.org/10.1111/nep.14200")</f>
        <v>http://dx.doi.org/10.1111/nep.14200</v>
      </c>
      <c r="BG860" t="s">
        <v>74</v>
      </c>
      <c r="BH860" t="s">
        <v>74</v>
      </c>
      <c r="BI860">
        <v>3</v>
      </c>
      <c r="BJ860" t="s">
        <v>16104</v>
      </c>
      <c r="BK860" t="s">
        <v>119</v>
      </c>
      <c r="BL860" t="s">
        <v>16104</v>
      </c>
      <c r="BM860" t="s">
        <v>16105</v>
      </c>
      <c r="BN860">
        <v>37534846</v>
      </c>
      <c r="BO860" t="s">
        <v>301</v>
      </c>
      <c r="BP860" t="s">
        <v>74</v>
      </c>
      <c r="BQ860" t="s">
        <v>74</v>
      </c>
      <c r="BR860" t="s">
        <v>99</v>
      </c>
      <c r="BS860" t="s">
        <v>16106</v>
      </c>
      <c r="BT860" t="str">
        <f>HYPERLINK("https%3A%2F%2Fwww.webofscience.com%2Fwos%2Fwoscc%2Ffull-record%2FWOS:001046460300002","View Full Record in Web of Science")</f>
        <v>View Full Record in Web of Science</v>
      </c>
    </row>
    <row r="861" spans="1:72" x14ac:dyDescent="0.15">
      <c r="A861" t="s">
        <v>72</v>
      </c>
      <c r="B861" t="s">
        <v>16107</v>
      </c>
      <c r="C861" t="s">
        <v>74</v>
      </c>
      <c r="D861" t="s">
        <v>74</v>
      </c>
      <c r="E861" t="s">
        <v>74</v>
      </c>
      <c r="F861" t="s">
        <v>16108</v>
      </c>
      <c r="G861" t="s">
        <v>74</v>
      </c>
      <c r="H861" t="s">
        <v>74</v>
      </c>
      <c r="I861" t="s">
        <v>16109</v>
      </c>
      <c r="J861" t="s">
        <v>16093</v>
      </c>
      <c r="K861" t="s">
        <v>74</v>
      </c>
      <c r="L861" t="s">
        <v>74</v>
      </c>
      <c r="M861" t="s">
        <v>78</v>
      </c>
      <c r="N861" t="s">
        <v>52</v>
      </c>
      <c r="O861" t="s">
        <v>74</v>
      </c>
      <c r="P861" t="s">
        <v>74</v>
      </c>
      <c r="Q861" t="s">
        <v>74</v>
      </c>
      <c r="R861" t="s">
        <v>74</v>
      </c>
      <c r="S861" t="s">
        <v>74</v>
      </c>
      <c r="T861" t="s">
        <v>16110</v>
      </c>
      <c r="U861" t="s">
        <v>74</v>
      </c>
      <c r="V861" t="s">
        <v>74</v>
      </c>
      <c r="W861" t="s">
        <v>16111</v>
      </c>
      <c r="X861" t="s">
        <v>16112</v>
      </c>
      <c r="Y861" t="s">
        <v>74</v>
      </c>
      <c r="Z861" t="s">
        <v>74</v>
      </c>
      <c r="AA861" t="s">
        <v>74</v>
      </c>
      <c r="AB861" t="s">
        <v>74</v>
      </c>
      <c r="AC861" t="s">
        <v>74</v>
      </c>
      <c r="AD861" t="s">
        <v>74</v>
      </c>
      <c r="AE861" t="s">
        <v>74</v>
      </c>
      <c r="AF861" t="s">
        <v>74</v>
      </c>
      <c r="AG861">
        <v>0</v>
      </c>
      <c r="AH861">
        <v>0</v>
      </c>
      <c r="AI861">
        <v>0</v>
      </c>
      <c r="AJ861">
        <v>0</v>
      </c>
      <c r="AK861">
        <v>0</v>
      </c>
      <c r="AL861" t="s">
        <v>87</v>
      </c>
      <c r="AM861" t="s">
        <v>88</v>
      </c>
      <c r="AN861" t="s">
        <v>89</v>
      </c>
      <c r="AO861" t="s">
        <v>16100</v>
      </c>
      <c r="AP861" t="s">
        <v>16101</v>
      </c>
      <c r="AQ861" t="s">
        <v>74</v>
      </c>
      <c r="AR861" t="s">
        <v>16093</v>
      </c>
      <c r="AS861" t="s">
        <v>16102</v>
      </c>
      <c r="AT861" t="s">
        <v>11302</v>
      </c>
      <c r="AU861">
        <v>2023</v>
      </c>
      <c r="AV861">
        <v>28</v>
      </c>
      <c r="AW861" t="s">
        <v>74</v>
      </c>
      <c r="AX861" t="s">
        <v>74</v>
      </c>
      <c r="AY861">
        <v>1</v>
      </c>
      <c r="AZ861" t="s">
        <v>74</v>
      </c>
      <c r="BA861" t="s">
        <v>16113</v>
      </c>
      <c r="BB861">
        <v>75</v>
      </c>
      <c r="BC861">
        <v>75</v>
      </c>
      <c r="BD861" t="s">
        <v>74</v>
      </c>
      <c r="BE861" t="s">
        <v>74</v>
      </c>
      <c r="BF861" t="s">
        <v>74</v>
      </c>
      <c r="BG861" t="s">
        <v>74</v>
      </c>
      <c r="BH861" t="s">
        <v>74</v>
      </c>
      <c r="BI861">
        <v>1</v>
      </c>
      <c r="BJ861" t="s">
        <v>16104</v>
      </c>
      <c r="BK861" t="s">
        <v>119</v>
      </c>
      <c r="BL861" t="s">
        <v>16104</v>
      </c>
      <c r="BM861" t="s">
        <v>16105</v>
      </c>
      <c r="BN861" t="s">
        <v>74</v>
      </c>
      <c r="BO861" t="s">
        <v>74</v>
      </c>
      <c r="BP861" t="s">
        <v>74</v>
      </c>
      <c r="BQ861" t="s">
        <v>74</v>
      </c>
      <c r="BR861" t="s">
        <v>99</v>
      </c>
      <c r="BS861" t="s">
        <v>16114</v>
      </c>
      <c r="BT861" t="str">
        <f>HYPERLINK("https%3A%2F%2Fwww.webofscience.com%2Fwos%2Fwoscc%2Ffull-record%2FWOS:001046460300061","View Full Record in Web of Science")</f>
        <v>View Full Record in Web of Science</v>
      </c>
    </row>
    <row r="862" spans="1:72" x14ac:dyDescent="0.15">
      <c r="A862" t="s">
        <v>72</v>
      </c>
      <c r="B862" t="s">
        <v>16115</v>
      </c>
      <c r="C862" t="s">
        <v>74</v>
      </c>
      <c r="D862" t="s">
        <v>74</v>
      </c>
      <c r="E862" t="s">
        <v>74</v>
      </c>
      <c r="F862" t="s">
        <v>16116</v>
      </c>
      <c r="G862" t="s">
        <v>74</v>
      </c>
      <c r="H862" t="s">
        <v>74</v>
      </c>
      <c r="I862" t="s">
        <v>16117</v>
      </c>
      <c r="J862" t="s">
        <v>15532</v>
      </c>
      <c r="K862" t="s">
        <v>74</v>
      </c>
      <c r="L862" t="s">
        <v>74</v>
      </c>
      <c r="M862" t="s">
        <v>78</v>
      </c>
      <c r="N862" t="s">
        <v>307</v>
      </c>
      <c r="O862" t="s">
        <v>74</v>
      </c>
      <c r="P862" t="s">
        <v>74</v>
      </c>
      <c r="Q862" t="s">
        <v>74</v>
      </c>
      <c r="R862" t="s">
        <v>74</v>
      </c>
      <c r="S862" t="s">
        <v>74</v>
      </c>
      <c r="T862" t="s">
        <v>74</v>
      </c>
      <c r="U862" t="s">
        <v>74</v>
      </c>
      <c r="V862" t="s">
        <v>74</v>
      </c>
      <c r="W862" t="s">
        <v>16118</v>
      </c>
      <c r="X862" t="s">
        <v>16119</v>
      </c>
      <c r="Y862" t="s">
        <v>16120</v>
      </c>
      <c r="Z862" t="s">
        <v>16121</v>
      </c>
      <c r="AA862" t="s">
        <v>74</v>
      </c>
      <c r="AB862" t="s">
        <v>16122</v>
      </c>
      <c r="AC862" t="s">
        <v>74</v>
      </c>
      <c r="AD862" t="s">
        <v>74</v>
      </c>
      <c r="AE862" t="s">
        <v>74</v>
      </c>
      <c r="AF862" t="s">
        <v>74</v>
      </c>
      <c r="AG862">
        <v>2</v>
      </c>
      <c r="AH862">
        <v>0</v>
      </c>
      <c r="AI862">
        <v>0</v>
      </c>
      <c r="AJ862">
        <v>0</v>
      </c>
      <c r="AK862">
        <v>0</v>
      </c>
      <c r="AL862" t="s">
        <v>87</v>
      </c>
      <c r="AM862" t="s">
        <v>88</v>
      </c>
      <c r="AN862" t="s">
        <v>89</v>
      </c>
      <c r="AO862" t="s">
        <v>74</v>
      </c>
      <c r="AP862" t="s">
        <v>15542</v>
      </c>
      <c r="AQ862" t="s">
        <v>74</v>
      </c>
      <c r="AR862" t="s">
        <v>15543</v>
      </c>
      <c r="AS862" t="s">
        <v>15544</v>
      </c>
      <c r="AT862" t="s">
        <v>11302</v>
      </c>
      <c r="AU862">
        <v>2023</v>
      </c>
      <c r="AV862">
        <v>4</v>
      </c>
      <c r="AW862">
        <v>4</v>
      </c>
      <c r="AX862" t="s">
        <v>74</v>
      </c>
      <c r="AY862" t="s">
        <v>74</v>
      </c>
      <c r="AZ862" t="s">
        <v>74</v>
      </c>
      <c r="BA862" t="s">
        <v>74</v>
      </c>
      <c r="BB862" t="s">
        <v>74</v>
      </c>
      <c r="BC862" t="s">
        <v>74</v>
      </c>
      <c r="BD862" t="s">
        <v>16123</v>
      </c>
      <c r="BE862" t="s">
        <v>16124</v>
      </c>
      <c r="BF862" t="str">
        <f>HYPERLINK("http://dx.doi.org/10.1002/emp2.12995","http://dx.doi.org/10.1002/emp2.12995")</f>
        <v>http://dx.doi.org/10.1002/emp2.12995</v>
      </c>
      <c r="BG862" t="s">
        <v>74</v>
      </c>
      <c r="BH862" t="s">
        <v>74</v>
      </c>
      <c r="BI862">
        <v>2</v>
      </c>
      <c r="BJ862" t="s">
        <v>15547</v>
      </c>
      <c r="BK862" t="s">
        <v>96</v>
      </c>
      <c r="BL862" t="s">
        <v>15547</v>
      </c>
      <c r="BM862" t="s">
        <v>16125</v>
      </c>
      <c r="BN862">
        <v>37397185</v>
      </c>
      <c r="BO862" t="s">
        <v>6877</v>
      </c>
      <c r="BP862" t="s">
        <v>74</v>
      </c>
      <c r="BQ862" t="s">
        <v>74</v>
      </c>
      <c r="BR862" t="s">
        <v>99</v>
      </c>
      <c r="BS862" t="s">
        <v>16126</v>
      </c>
      <c r="BT862" t="str">
        <f>HYPERLINK("https%3A%2F%2Fwww.webofscience.com%2Fwos%2Fwoscc%2Ffull-record%2FWOS:001018917400001","View Full Record in Web of Science")</f>
        <v>View Full Record in Web of Science</v>
      </c>
    </row>
    <row r="863" spans="1:72" x14ac:dyDescent="0.15">
      <c r="A863" t="s">
        <v>72</v>
      </c>
      <c r="B863" t="s">
        <v>16127</v>
      </c>
      <c r="C863" t="s">
        <v>74</v>
      </c>
      <c r="D863" t="s">
        <v>74</v>
      </c>
      <c r="E863" t="s">
        <v>74</v>
      </c>
      <c r="F863" t="s">
        <v>16128</v>
      </c>
      <c r="G863" t="s">
        <v>74</v>
      </c>
      <c r="H863" t="s">
        <v>74</v>
      </c>
      <c r="I863" t="s">
        <v>16129</v>
      </c>
      <c r="J863" t="s">
        <v>16130</v>
      </c>
      <c r="K863" t="s">
        <v>74</v>
      </c>
      <c r="L863" t="s">
        <v>74</v>
      </c>
      <c r="M863" t="s">
        <v>78</v>
      </c>
      <c r="N863" t="s">
        <v>79</v>
      </c>
      <c r="O863" t="s">
        <v>74</v>
      </c>
      <c r="P863" t="s">
        <v>74</v>
      </c>
      <c r="Q863" t="s">
        <v>74</v>
      </c>
      <c r="R863" t="s">
        <v>74</v>
      </c>
      <c r="S863" t="s">
        <v>74</v>
      </c>
      <c r="T863" t="s">
        <v>16131</v>
      </c>
      <c r="U863" t="s">
        <v>16132</v>
      </c>
      <c r="V863" t="s">
        <v>16133</v>
      </c>
      <c r="W863" t="s">
        <v>16134</v>
      </c>
      <c r="X863" t="s">
        <v>16135</v>
      </c>
      <c r="Y863" t="s">
        <v>16136</v>
      </c>
      <c r="Z863" t="s">
        <v>16137</v>
      </c>
      <c r="AA863" t="s">
        <v>16138</v>
      </c>
      <c r="AB863" t="s">
        <v>16139</v>
      </c>
      <c r="AC863" t="s">
        <v>16140</v>
      </c>
      <c r="AD863" t="s">
        <v>16141</v>
      </c>
      <c r="AE863" t="s">
        <v>16142</v>
      </c>
      <c r="AF863" t="s">
        <v>74</v>
      </c>
      <c r="AG863">
        <v>53</v>
      </c>
      <c r="AH863">
        <v>0</v>
      </c>
      <c r="AI863">
        <v>0</v>
      </c>
      <c r="AJ863">
        <v>0</v>
      </c>
      <c r="AK863">
        <v>0</v>
      </c>
      <c r="AL863" t="s">
        <v>1100</v>
      </c>
      <c r="AM863" t="s">
        <v>1101</v>
      </c>
      <c r="AN863" t="s">
        <v>1102</v>
      </c>
      <c r="AO863" t="s">
        <v>16143</v>
      </c>
      <c r="AP863" t="s">
        <v>74</v>
      </c>
      <c r="AQ863" t="s">
        <v>74</v>
      </c>
      <c r="AR863" t="s">
        <v>16144</v>
      </c>
      <c r="AS863" t="s">
        <v>16145</v>
      </c>
      <c r="AT863" t="s">
        <v>11302</v>
      </c>
      <c r="AU863">
        <v>2023</v>
      </c>
      <c r="AV863">
        <v>13</v>
      </c>
      <c r="AW863">
        <v>8</v>
      </c>
      <c r="AX863" t="s">
        <v>74</v>
      </c>
      <c r="AY863" t="s">
        <v>74</v>
      </c>
      <c r="AZ863" t="s">
        <v>74</v>
      </c>
      <c r="BA863" t="s">
        <v>74</v>
      </c>
      <c r="BB863" t="s">
        <v>74</v>
      </c>
      <c r="BC863" t="s">
        <v>74</v>
      </c>
      <c r="BD863" t="s">
        <v>16146</v>
      </c>
      <c r="BE863" t="s">
        <v>16147</v>
      </c>
      <c r="BF863" t="str">
        <f>HYPERLINK("http://dx.doi.org/10.1002/ctm2.1364","http://dx.doi.org/10.1002/ctm2.1364")</f>
        <v>http://dx.doi.org/10.1002/ctm2.1364</v>
      </c>
      <c r="BG863" t="s">
        <v>74</v>
      </c>
      <c r="BH863" t="s">
        <v>74</v>
      </c>
      <c r="BI863">
        <v>19</v>
      </c>
      <c r="BJ863" t="s">
        <v>16148</v>
      </c>
      <c r="BK863" t="s">
        <v>119</v>
      </c>
      <c r="BL863" t="s">
        <v>16149</v>
      </c>
      <c r="BM863" t="s">
        <v>16150</v>
      </c>
      <c r="BN863">
        <v>37581569</v>
      </c>
      <c r="BO863" t="s">
        <v>6786</v>
      </c>
      <c r="BP863" t="s">
        <v>74</v>
      </c>
      <c r="BQ863" t="s">
        <v>74</v>
      </c>
      <c r="BR863" t="s">
        <v>99</v>
      </c>
      <c r="BS863" t="s">
        <v>16151</v>
      </c>
      <c r="BT863" t="str">
        <f>HYPERLINK("https%3A%2F%2Fwww.webofscience.com%2Fwos%2Fwoscc%2Ffull-record%2FWOS:001048029400001","View Full Record in Web of Science")</f>
        <v>View Full Record in Web of Science</v>
      </c>
    </row>
    <row r="864" spans="1:72" x14ac:dyDescent="0.15">
      <c r="A864" t="s">
        <v>72</v>
      </c>
      <c r="B864" t="s">
        <v>16152</v>
      </c>
      <c r="C864" t="s">
        <v>74</v>
      </c>
      <c r="D864" t="s">
        <v>74</v>
      </c>
      <c r="E864" t="s">
        <v>74</v>
      </c>
      <c r="F864" t="s">
        <v>16153</v>
      </c>
      <c r="G864" t="s">
        <v>74</v>
      </c>
      <c r="H864" t="s">
        <v>74</v>
      </c>
      <c r="I864" t="s">
        <v>16154</v>
      </c>
      <c r="J864" t="s">
        <v>16155</v>
      </c>
      <c r="K864" t="s">
        <v>74</v>
      </c>
      <c r="L864" t="s">
        <v>74</v>
      </c>
      <c r="M864" t="s">
        <v>78</v>
      </c>
      <c r="N864" t="s">
        <v>79</v>
      </c>
      <c r="O864" t="s">
        <v>74</v>
      </c>
      <c r="P864" t="s">
        <v>74</v>
      </c>
      <c r="Q864" t="s">
        <v>74</v>
      </c>
      <c r="R864" t="s">
        <v>74</v>
      </c>
      <c r="S864" t="s">
        <v>74</v>
      </c>
      <c r="T864" t="s">
        <v>16156</v>
      </c>
      <c r="U864" t="s">
        <v>16157</v>
      </c>
      <c r="V864" t="s">
        <v>16158</v>
      </c>
      <c r="W864" t="s">
        <v>16159</v>
      </c>
      <c r="X864" t="s">
        <v>16160</v>
      </c>
      <c r="Y864" t="s">
        <v>16161</v>
      </c>
      <c r="Z864" t="s">
        <v>16162</v>
      </c>
      <c r="AA864" t="s">
        <v>74</v>
      </c>
      <c r="AB864" t="s">
        <v>74</v>
      </c>
      <c r="AC864" t="s">
        <v>16163</v>
      </c>
      <c r="AD864" t="s">
        <v>16164</v>
      </c>
      <c r="AE864" t="s">
        <v>16165</v>
      </c>
      <c r="AF864" t="s">
        <v>74</v>
      </c>
      <c r="AG864">
        <v>69</v>
      </c>
      <c r="AH864">
        <v>0</v>
      </c>
      <c r="AI864">
        <v>0</v>
      </c>
      <c r="AJ864">
        <v>0</v>
      </c>
      <c r="AK864">
        <v>0</v>
      </c>
      <c r="AL864" t="s">
        <v>87</v>
      </c>
      <c r="AM864" t="s">
        <v>88</v>
      </c>
      <c r="AN864" t="s">
        <v>89</v>
      </c>
      <c r="AO864" t="s">
        <v>16166</v>
      </c>
      <c r="AP864" t="s">
        <v>16167</v>
      </c>
      <c r="AQ864" t="s">
        <v>74</v>
      </c>
      <c r="AR864" t="s">
        <v>16168</v>
      </c>
      <c r="AS864" t="s">
        <v>16169</v>
      </c>
      <c r="AT864" t="s">
        <v>11302</v>
      </c>
      <c r="AU864">
        <v>2023</v>
      </c>
      <c r="AV864">
        <v>47</v>
      </c>
      <c r="AW864">
        <v>8</v>
      </c>
      <c r="AX864" t="s">
        <v>74</v>
      </c>
      <c r="AY864" t="s">
        <v>74</v>
      </c>
      <c r="AZ864" t="s">
        <v>74</v>
      </c>
      <c r="BA864" t="s">
        <v>74</v>
      </c>
      <c r="BB864" t="s">
        <v>74</v>
      </c>
      <c r="BC864" t="s">
        <v>74</v>
      </c>
      <c r="BD864" t="s">
        <v>16170</v>
      </c>
      <c r="BE864" t="s">
        <v>16171</v>
      </c>
      <c r="BF864" t="str">
        <f>HYPERLINK("http://dx.doi.org/10.1111/cogs.13333","http://dx.doi.org/10.1111/cogs.13333")</f>
        <v>http://dx.doi.org/10.1111/cogs.13333</v>
      </c>
      <c r="BG864" t="s">
        <v>74</v>
      </c>
      <c r="BH864" t="s">
        <v>74</v>
      </c>
      <c r="BI864">
        <v>26</v>
      </c>
      <c r="BJ864" t="s">
        <v>11985</v>
      </c>
      <c r="BK864" t="s">
        <v>546</v>
      </c>
      <c r="BL864" t="s">
        <v>1210</v>
      </c>
      <c r="BM864" t="s">
        <v>16172</v>
      </c>
      <c r="BN864" t="s">
        <v>74</v>
      </c>
      <c r="BO864" t="s">
        <v>4768</v>
      </c>
      <c r="BP864" t="s">
        <v>74</v>
      </c>
      <c r="BQ864" t="s">
        <v>74</v>
      </c>
      <c r="BR864" t="s">
        <v>99</v>
      </c>
      <c r="BS864" t="s">
        <v>16173</v>
      </c>
      <c r="BT864" t="str">
        <f>HYPERLINK("https%3A%2F%2Fwww.webofscience.com%2Fwos%2Fwoscc%2Ffull-record%2FWOS:001059162000004","View Full Record in Web of Science")</f>
        <v>View Full Record in Web of Science</v>
      </c>
    </row>
    <row r="865" spans="1:72" x14ac:dyDescent="0.15">
      <c r="A865" t="s">
        <v>72</v>
      </c>
      <c r="B865" t="s">
        <v>16174</v>
      </c>
      <c r="C865" t="s">
        <v>74</v>
      </c>
      <c r="D865" t="s">
        <v>74</v>
      </c>
      <c r="E865" t="s">
        <v>74</v>
      </c>
      <c r="F865" t="s">
        <v>16175</v>
      </c>
      <c r="G865" t="s">
        <v>74</v>
      </c>
      <c r="H865" t="s">
        <v>74</v>
      </c>
      <c r="I865" t="s">
        <v>16176</v>
      </c>
      <c r="J865" t="s">
        <v>6732</v>
      </c>
      <c r="K865" t="s">
        <v>74</v>
      </c>
      <c r="L865" t="s">
        <v>74</v>
      </c>
      <c r="M865" t="s">
        <v>78</v>
      </c>
      <c r="N865" t="s">
        <v>79</v>
      </c>
      <c r="O865" t="s">
        <v>74</v>
      </c>
      <c r="P865" t="s">
        <v>74</v>
      </c>
      <c r="Q865" t="s">
        <v>74</v>
      </c>
      <c r="R865" t="s">
        <v>74</v>
      </c>
      <c r="S865" t="s">
        <v>74</v>
      </c>
      <c r="T865" t="s">
        <v>16177</v>
      </c>
      <c r="U865" t="s">
        <v>16178</v>
      </c>
      <c r="V865" t="s">
        <v>16179</v>
      </c>
      <c r="W865" t="s">
        <v>16180</v>
      </c>
      <c r="X865" t="s">
        <v>16181</v>
      </c>
      <c r="Y865" t="s">
        <v>16182</v>
      </c>
      <c r="Z865" t="s">
        <v>16183</v>
      </c>
      <c r="AA865" t="s">
        <v>74</v>
      </c>
      <c r="AB865" t="s">
        <v>74</v>
      </c>
      <c r="AC865" t="s">
        <v>16184</v>
      </c>
      <c r="AD865" t="s">
        <v>16185</v>
      </c>
      <c r="AE865" t="s">
        <v>16186</v>
      </c>
      <c r="AF865" t="s">
        <v>74</v>
      </c>
      <c r="AG865">
        <v>84</v>
      </c>
      <c r="AH865">
        <v>0</v>
      </c>
      <c r="AI865">
        <v>0</v>
      </c>
      <c r="AJ865">
        <v>3</v>
      </c>
      <c r="AK865">
        <v>3</v>
      </c>
      <c r="AL865" t="s">
        <v>87</v>
      </c>
      <c r="AM865" t="s">
        <v>88</v>
      </c>
      <c r="AN865" t="s">
        <v>89</v>
      </c>
      <c r="AO865" t="s">
        <v>6742</v>
      </c>
      <c r="AP865" t="s">
        <v>74</v>
      </c>
      <c r="AQ865" t="s">
        <v>74</v>
      </c>
      <c r="AR865" t="s">
        <v>6743</v>
      </c>
      <c r="AS865" t="s">
        <v>6744</v>
      </c>
      <c r="AT865" t="s">
        <v>11302</v>
      </c>
      <c r="AU865">
        <v>2023</v>
      </c>
      <c r="AV865">
        <v>13</v>
      </c>
      <c r="AW865">
        <v>8</v>
      </c>
      <c r="AX865" t="s">
        <v>74</v>
      </c>
      <c r="AY865" t="s">
        <v>74</v>
      </c>
      <c r="AZ865" t="s">
        <v>74</v>
      </c>
      <c r="BA865" t="s">
        <v>74</v>
      </c>
      <c r="BB865" t="s">
        <v>74</v>
      </c>
      <c r="BC865" t="s">
        <v>74</v>
      </c>
      <c r="BD865" t="s">
        <v>16187</v>
      </c>
      <c r="BE865" t="s">
        <v>16188</v>
      </c>
      <c r="BF865" t="str">
        <f>HYPERLINK("http://dx.doi.org/10.1002/ece3.10369","http://dx.doi.org/10.1002/ece3.10369")</f>
        <v>http://dx.doi.org/10.1002/ece3.10369</v>
      </c>
      <c r="BG865" t="s">
        <v>74</v>
      </c>
      <c r="BH865" t="s">
        <v>74</v>
      </c>
      <c r="BI865">
        <v>12</v>
      </c>
      <c r="BJ865" t="s">
        <v>6747</v>
      </c>
      <c r="BK865" t="s">
        <v>119</v>
      </c>
      <c r="BL865" t="s">
        <v>6748</v>
      </c>
      <c r="BM865" t="s">
        <v>16189</v>
      </c>
      <c r="BN865">
        <v>37649706</v>
      </c>
      <c r="BO865" t="s">
        <v>234</v>
      </c>
      <c r="BP865" t="s">
        <v>74</v>
      </c>
      <c r="BQ865" t="s">
        <v>74</v>
      </c>
      <c r="BR865" t="s">
        <v>99</v>
      </c>
      <c r="BS865" t="s">
        <v>16190</v>
      </c>
      <c r="BT865" t="str">
        <f>HYPERLINK("https%3A%2F%2Fwww.webofscience.com%2Fwos%2Fwoscc%2Ffull-record%2FWOS:001057230400001","View Full Record in Web of Science")</f>
        <v>View Full Record in Web of Science</v>
      </c>
    </row>
    <row r="866" spans="1:72" x14ac:dyDescent="0.15">
      <c r="A866" t="s">
        <v>72</v>
      </c>
      <c r="B866" t="s">
        <v>16191</v>
      </c>
      <c r="C866" t="s">
        <v>74</v>
      </c>
      <c r="D866" t="s">
        <v>74</v>
      </c>
      <c r="E866" t="s">
        <v>74</v>
      </c>
      <c r="F866" t="s">
        <v>16192</v>
      </c>
      <c r="G866" t="s">
        <v>74</v>
      </c>
      <c r="H866" t="s">
        <v>74</v>
      </c>
      <c r="I866" t="s">
        <v>16193</v>
      </c>
      <c r="J866" t="s">
        <v>7356</v>
      </c>
      <c r="K866" t="s">
        <v>74</v>
      </c>
      <c r="L866" t="s">
        <v>74</v>
      </c>
      <c r="M866" t="s">
        <v>78</v>
      </c>
      <c r="N866" t="s">
        <v>79</v>
      </c>
      <c r="O866" t="s">
        <v>74</v>
      </c>
      <c r="P866" t="s">
        <v>74</v>
      </c>
      <c r="Q866" t="s">
        <v>74</v>
      </c>
      <c r="R866" t="s">
        <v>74</v>
      </c>
      <c r="S866" t="s">
        <v>74</v>
      </c>
      <c r="T866" t="s">
        <v>16194</v>
      </c>
      <c r="U866" t="s">
        <v>16195</v>
      </c>
      <c r="V866" t="s">
        <v>16196</v>
      </c>
      <c r="W866" t="s">
        <v>16197</v>
      </c>
      <c r="X866" t="s">
        <v>16198</v>
      </c>
      <c r="Y866" t="s">
        <v>16199</v>
      </c>
      <c r="Z866" t="s">
        <v>16200</v>
      </c>
      <c r="AA866" t="s">
        <v>16201</v>
      </c>
      <c r="AB866" t="s">
        <v>16202</v>
      </c>
      <c r="AC866" t="s">
        <v>74</v>
      </c>
      <c r="AD866" t="s">
        <v>74</v>
      </c>
      <c r="AE866" t="s">
        <v>74</v>
      </c>
      <c r="AF866" t="s">
        <v>74</v>
      </c>
      <c r="AG866">
        <v>21</v>
      </c>
      <c r="AH866">
        <v>0</v>
      </c>
      <c r="AI866">
        <v>0</v>
      </c>
      <c r="AJ866">
        <v>0</v>
      </c>
      <c r="AK866">
        <v>0</v>
      </c>
      <c r="AL866" t="s">
        <v>87</v>
      </c>
      <c r="AM866" t="s">
        <v>88</v>
      </c>
      <c r="AN866" t="s">
        <v>89</v>
      </c>
      <c r="AO866" t="s">
        <v>74</v>
      </c>
      <c r="AP866" t="s">
        <v>7369</v>
      </c>
      <c r="AQ866" t="s">
        <v>74</v>
      </c>
      <c r="AR866" t="s">
        <v>7370</v>
      </c>
      <c r="AS866" t="s">
        <v>7371</v>
      </c>
      <c r="AT866" t="s">
        <v>11302</v>
      </c>
      <c r="AU866">
        <v>2023</v>
      </c>
      <c r="AV866">
        <v>6</v>
      </c>
      <c r="AW866">
        <v>8</v>
      </c>
      <c r="AX866" t="s">
        <v>74</v>
      </c>
      <c r="AY866" t="s">
        <v>74</v>
      </c>
      <c r="AZ866" t="s">
        <v>74</v>
      </c>
      <c r="BA866" t="s">
        <v>74</v>
      </c>
      <c r="BB866" t="s">
        <v>74</v>
      </c>
      <c r="BC866" t="s">
        <v>74</v>
      </c>
      <c r="BD866" t="s">
        <v>16203</v>
      </c>
      <c r="BE866" t="s">
        <v>16204</v>
      </c>
      <c r="BF866" t="str">
        <f>HYPERLINK("http://dx.doi.org/10.1002/hsr2.1464","http://dx.doi.org/10.1002/hsr2.1464")</f>
        <v>http://dx.doi.org/10.1002/hsr2.1464</v>
      </c>
      <c r="BG866" t="s">
        <v>74</v>
      </c>
      <c r="BH866" t="s">
        <v>74</v>
      </c>
      <c r="BI866">
        <v>6</v>
      </c>
      <c r="BJ866" t="s">
        <v>7374</v>
      </c>
      <c r="BK866" t="s">
        <v>96</v>
      </c>
      <c r="BL866" t="s">
        <v>7375</v>
      </c>
      <c r="BM866" t="s">
        <v>16205</v>
      </c>
      <c r="BN866">
        <v>37520462</v>
      </c>
      <c r="BO866" t="s">
        <v>98</v>
      </c>
      <c r="BP866" t="s">
        <v>74</v>
      </c>
      <c r="BQ866" t="s">
        <v>74</v>
      </c>
      <c r="BR866" t="s">
        <v>99</v>
      </c>
      <c r="BS866" t="s">
        <v>16206</v>
      </c>
      <c r="BT866" t="str">
        <f>HYPERLINK("https%3A%2F%2Fwww.webofscience.com%2Fwos%2Fwoscc%2Ffull-record%2FWOS:001036349500001","View Full Record in Web of Science")</f>
        <v>View Full Record in Web of Science</v>
      </c>
    </row>
    <row r="867" spans="1:72" x14ac:dyDescent="0.15">
      <c r="A867" t="s">
        <v>72</v>
      </c>
      <c r="B867" t="s">
        <v>16207</v>
      </c>
      <c r="C867" t="s">
        <v>74</v>
      </c>
      <c r="D867" t="s">
        <v>74</v>
      </c>
      <c r="E867" t="s">
        <v>74</v>
      </c>
      <c r="F867" t="s">
        <v>16208</v>
      </c>
      <c r="G867" t="s">
        <v>74</v>
      </c>
      <c r="H867" t="s">
        <v>74</v>
      </c>
      <c r="I867" t="s">
        <v>16209</v>
      </c>
      <c r="J867" t="s">
        <v>6732</v>
      </c>
      <c r="K867" t="s">
        <v>74</v>
      </c>
      <c r="L867" t="s">
        <v>74</v>
      </c>
      <c r="M867" t="s">
        <v>78</v>
      </c>
      <c r="N867" t="s">
        <v>79</v>
      </c>
      <c r="O867" t="s">
        <v>74</v>
      </c>
      <c r="P867" t="s">
        <v>74</v>
      </c>
      <c r="Q867" t="s">
        <v>74</v>
      </c>
      <c r="R867" t="s">
        <v>74</v>
      </c>
      <c r="S867" t="s">
        <v>74</v>
      </c>
      <c r="T867" t="s">
        <v>16210</v>
      </c>
      <c r="U867" t="s">
        <v>16211</v>
      </c>
      <c r="V867" t="s">
        <v>16212</v>
      </c>
      <c r="W867" t="s">
        <v>16213</v>
      </c>
      <c r="X867" t="s">
        <v>16214</v>
      </c>
      <c r="Y867" t="s">
        <v>16215</v>
      </c>
      <c r="Z867" t="s">
        <v>16216</v>
      </c>
      <c r="AA867" t="s">
        <v>74</v>
      </c>
      <c r="AB867" t="s">
        <v>16217</v>
      </c>
      <c r="AC867" t="s">
        <v>16218</v>
      </c>
      <c r="AD867" t="s">
        <v>16219</v>
      </c>
      <c r="AE867" t="s">
        <v>16220</v>
      </c>
      <c r="AF867" t="s">
        <v>74</v>
      </c>
      <c r="AG867">
        <v>90</v>
      </c>
      <c r="AH867">
        <v>0</v>
      </c>
      <c r="AI867">
        <v>0</v>
      </c>
      <c r="AJ867">
        <v>1</v>
      </c>
      <c r="AK867">
        <v>1</v>
      </c>
      <c r="AL867" t="s">
        <v>87</v>
      </c>
      <c r="AM867" t="s">
        <v>88</v>
      </c>
      <c r="AN867" t="s">
        <v>89</v>
      </c>
      <c r="AO867" t="s">
        <v>6742</v>
      </c>
      <c r="AP867" t="s">
        <v>74</v>
      </c>
      <c r="AQ867" t="s">
        <v>74</v>
      </c>
      <c r="AR867" t="s">
        <v>6743</v>
      </c>
      <c r="AS867" t="s">
        <v>6744</v>
      </c>
      <c r="AT867" t="s">
        <v>11302</v>
      </c>
      <c r="AU867">
        <v>2023</v>
      </c>
      <c r="AV867">
        <v>13</v>
      </c>
      <c r="AW867">
        <v>8</v>
      </c>
      <c r="AX867" t="s">
        <v>74</v>
      </c>
      <c r="AY867" t="s">
        <v>74</v>
      </c>
      <c r="AZ867" t="s">
        <v>74</v>
      </c>
      <c r="BA867" t="s">
        <v>74</v>
      </c>
      <c r="BB867" t="s">
        <v>74</v>
      </c>
      <c r="BC867" t="s">
        <v>74</v>
      </c>
      <c r="BD867" t="s">
        <v>16221</v>
      </c>
      <c r="BE867" t="s">
        <v>16222</v>
      </c>
      <c r="BF867" t="str">
        <f>HYPERLINK("http://dx.doi.org/10.1002/ece3.10419","http://dx.doi.org/10.1002/ece3.10419")</f>
        <v>http://dx.doi.org/10.1002/ece3.10419</v>
      </c>
      <c r="BG867" t="s">
        <v>74</v>
      </c>
      <c r="BH867" t="s">
        <v>74</v>
      </c>
      <c r="BI867">
        <v>13</v>
      </c>
      <c r="BJ867" t="s">
        <v>6747</v>
      </c>
      <c r="BK867" t="s">
        <v>119</v>
      </c>
      <c r="BL867" t="s">
        <v>6748</v>
      </c>
      <c r="BM867" t="s">
        <v>16223</v>
      </c>
      <c r="BN867">
        <v>37600491</v>
      </c>
      <c r="BO867" t="s">
        <v>6786</v>
      </c>
      <c r="BP867" t="s">
        <v>74</v>
      </c>
      <c r="BQ867" t="s">
        <v>74</v>
      </c>
      <c r="BR867" t="s">
        <v>99</v>
      </c>
      <c r="BS867" t="s">
        <v>16224</v>
      </c>
      <c r="BT867" t="str">
        <f>HYPERLINK("https%3A%2F%2Fwww.webofscience.com%2Fwos%2Fwoscc%2Ffull-record%2FWOS:001049849400001","View Full Record in Web of Science")</f>
        <v>View Full Record in Web of Science</v>
      </c>
    </row>
    <row r="868" spans="1:72" x14ac:dyDescent="0.15">
      <c r="A868" t="s">
        <v>72</v>
      </c>
      <c r="B868" t="s">
        <v>16225</v>
      </c>
      <c r="C868" t="s">
        <v>74</v>
      </c>
      <c r="D868" t="s">
        <v>74</v>
      </c>
      <c r="E868" t="s">
        <v>74</v>
      </c>
      <c r="F868" t="s">
        <v>16226</v>
      </c>
      <c r="G868" t="s">
        <v>74</v>
      </c>
      <c r="H868" t="s">
        <v>74</v>
      </c>
      <c r="I868" t="s">
        <v>16227</v>
      </c>
      <c r="J868" t="s">
        <v>6732</v>
      </c>
      <c r="K868" t="s">
        <v>74</v>
      </c>
      <c r="L868" t="s">
        <v>74</v>
      </c>
      <c r="M868" t="s">
        <v>78</v>
      </c>
      <c r="N868" t="s">
        <v>79</v>
      </c>
      <c r="O868" t="s">
        <v>74</v>
      </c>
      <c r="P868" t="s">
        <v>74</v>
      </c>
      <c r="Q868" t="s">
        <v>74</v>
      </c>
      <c r="R868" t="s">
        <v>74</v>
      </c>
      <c r="S868" t="s">
        <v>74</v>
      </c>
      <c r="T868" t="s">
        <v>16228</v>
      </c>
      <c r="U868" t="s">
        <v>16229</v>
      </c>
      <c r="V868" t="s">
        <v>16230</v>
      </c>
      <c r="W868" t="s">
        <v>16231</v>
      </c>
      <c r="X868" t="s">
        <v>16232</v>
      </c>
      <c r="Y868" t="s">
        <v>16233</v>
      </c>
      <c r="Z868" t="s">
        <v>16234</v>
      </c>
      <c r="AA868" t="s">
        <v>74</v>
      </c>
      <c r="AB868" t="s">
        <v>16235</v>
      </c>
      <c r="AC868" t="s">
        <v>16236</v>
      </c>
      <c r="AD868" t="s">
        <v>16236</v>
      </c>
      <c r="AE868" t="s">
        <v>16236</v>
      </c>
      <c r="AF868" t="s">
        <v>74</v>
      </c>
      <c r="AG868">
        <v>67</v>
      </c>
      <c r="AH868">
        <v>0</v>
      </c>
      <c r="AI868">
        <v>0</v>
      </c>
      <c r="AJ868">
        <v>2</v>
      </c>
      <c r="AK868">
        <v>2</v>
      </c>
      <c r="AL868" t="s">
        <v>87</v>
      </c>
      <c r="AM868" t="s">
        <v>88</v>
      </c>
      <c r="AN868" t="s">
        <v>89</v>
      </c>
      <c r="AO868" t="s">
        <v>6742</v>
      </c>
      <c r="AP868" t="s">
        <v>74</v>
      </c>
      <c r="AQ868" t="s">
        <v>74</v>
      </c>
      <c r="AR868" t="s">
        <v>6743</v>
      </c>
      <c r="AS868" t="s">
        <v>6744</v>
      </c>
      <c r="AT868" t="s">
        <v>11302</v>
      </c>
      <c r="AU868">
        <v>2023</v>
      </c>
      <c r="AV868">
        <v>13</v>
      </c>
      <c r="AW868">
        <v>8</v>
      </c>
      <c r="AX868" t="s">
        <v>74</v>
      </c>
      <c r="AY868" t="s">
        <v>74</v>
      </c>
      <c r="AZ868" t="s">
        <v>74</v>
      </c>
      <c r="BA868" t="s">
        <v>74</v>
      </c>
      <c r="BB868" t="s">
        <v>74</v>
      </c>
      <c r="BC868" t="s">
        <v>74</v>
      </c>
      <c r="BD868" t="s">
        <v>16237</v>
      </c>
      <c r="BE868" t="s">
        <v>16238</v>
      </c>
      <c r="BF868" t="str">
        <f>HYPERLINK("http://dx.doi.org/10.1002/ece3.10413","http://dx.doi.org/10.1002/ece3.10413")</f>
        <v>http://dx.doi.org/10.1002/ece3.10413</v>
      </c>
      <c r="BG868" t="s">
        <v>74</v>
      </c>
      <c r="BH868" t="s">
        <v>74</v>
      </c>
      <c r="BI868">
        <v>12</v>
      </c>
      <c r="BJ868" t="s">
        <v>6747</v>
      </c>
      <c r="BK868" t="s">
        <v>119</v>
      </c>
      <c r="BL868" t="s">
        <v>6748</v>
      </c>
      <c r="BM868" t="s">
        <v>16239</v>
      </c>
      <c r="BN868">
        <v>37593754</v>
      </c>
      <c r="BO868" t="s">
        <v>6786</v>
      </c>
      <c r="BP868" t="s">
        <v>74</v>
      </c>
      <c r="BQ868" t="s">
        <v>74</v>
      </c>
      <c r="BR868" t="s">
        <v>99</v>
      </c>
      <c r="BS868" t="s">
        <v>16240</v>
      </c>
      <c r="BT868" t="str">
        <f>HYPERLINK("https%3A%2F%2Fwww.webofscience.com%2Fwos%2Fwoscc%2Ffull-record%2FWOS:001049004900001","View Full Record in Web of Science")</f>
        <v>View Full Record in Web of Science</v>
      </c>
    </row>
    <row r="869" spans="1:72" x14ac:dyDescent="0.15">
      <c r="A869" t="s">
        <v>72</v>
      </c>
      <c r="B869" t="s">
        <v>16241</v>
      </c>
      <c r="C869" t="s">
        <v>74</v>
      </c>
      <c r="D869" t="s">
        <v>74</v>
      </c>
      <c r="E869" t="s">
        <v>74</v>
      </c>
      <c r="F869" t="s">
        <v>16242</v>
      </c>
      <c r="G869" t="s">
        <v>74</v>
      </c>
      <c r="H869" t="s">
        <v>74</v>
      </c>
      <c r="I869" t="s">
        <v>16243</v>
      </c>
      <c r="J869" t="s">
        <v>616</v>
      </c>
      <c r="K869" t="s">
        <v>74</v>
      </c>
      <c r="L869" t="s">
        <v>74</v>
      </c>
      <c r="M869" t="s">
        <v>78</v>
      </c>
      <c r="N869" t="s">
        <v>79</v>
      </c>
      <c r="O869" t="s">
        <v>74</v>
      </c>
      <c r="P869" t="s">
        <v>74</v>
      </c>
      <c r="Q869" t="s">
        <v>74</v>
      </c>
      <c r="R869" t="s">
        <v>74</v>
      </c>
      <c r="S869" t="s">
        <v>74</v>
      </c>
      <c r="T869" t="s">
        <v>16244</v>
      </c>
      <c r="U869" t="s">
        <v>16245</v>
      </c>
      <c r="V869" t="s">
        <v>16246</v>
      </c>
      <c r="W869" t="s">
        <v>16247</v>
      </c>
      <c r="X869" t="s">
        <v>16248</v>
      </c>
      <c r="Y869" t="s">
        <v>16249</v>
      </c>
      <c r="Z869" t="s">
        <v>16250</v>
      </c>
      <c r="AA869" t="s">
        <v>74</v>
      </c>
      <c r="AB869" t="s">
        <v>16251</v>
      </c>
      <c r="AC869" t="s">
        <v>16252</v>
      </c>
      <c r="AD869" t="s">
        <v>16253</v>
      </c>
      <c r="AE869" t="s">
        <v>16254</v>
      </c>
      <c r="AF869" t="s">
        <v>74</v>
      </c>
      <c r="AG869">
        <v>46</v>
      </c>
      <c r="AH869">
        <v>0</v>
      </c>
      <c r="AI869">
        <v>0</v>
      </c>
      <c r="AJ869">
        <v>0</v>
      </c>
      <c r="AK869">
        <v>0</v>
      </c>
      <c r="AL869" t="s">
        <v>87</v>
      </c>
      <c r="AM869" t="s">
        <v>88</v>
      </c>
      <c r="AN869" t="s">
        <v>89</v>
      </c>
      <c r="AO869" t="s">
        <v>627</v>
      </c>
      <c r="AP869" t="s">
        <v>628</v>
      </c>
      <c r="AQ869" t="s">
        <v>74</v>
      </c>
      <c r="AR869" t="s">
        <v>629</v>
      </c>
      <c r="AS869" t="s">
        <v>630</v>
      </c>
      <c r="AT869" t="s">
        <v>11302</v>
      </c>
      <c r="AU869">
        <v>2023</v>
      </c>
      <c r="AV869">
        <v>38</v>
      </c>
      <c r="AW869">
        <v>6</v>
      </c>
      <c r="AX869" t="s">
        <v>74</v>
      </c>
      <c r="AY869" t="s">
        <v>74</v>
      </c>
      <c r="AZ869" t="s">
        <v>74</v>
      </c>
      <c r="BA869" t="s">
        <v>74</v>
      </c>
      <c r="BB869">
        <v>938</v>
      </c>
      <c r="BC869">
        <v>946</v>
      </c>
      <c r="BD869" t="s">
        <v>74</v>
      </c>
      <c r="BE869" t="s">
        <v>16255</v>
      </c>
      <c r="BF869" t="str">
        <f>HYPERLINK("http://dx.doi.org/10.1002/jqs.3516","http://dx.doi.org/10.1002/jqs.3516")</f>
        <v>http://dx.doi.org/10.1002/jqs.3516</v>
      </c>
      <c r="BG869" t="s">
        <v>74</v>
      </c>
      <c r="BH869" t="s">
        <v>74</v>
      </c>
      <c r="BI869">
        <v>9</v>
      </c>
      <c r="BJ869" t="s">
        <v>632</v>
      </c>
      <c r="BK869" t="s">
        <v>119</v>
      </c>
      <c r="BL869" t="s">
        <v>633</v>
      </c>
      <c r="BM869" t="s">
        <v>16256</v>
      </c>
      <c r="BN869" t="s">
        <v>74</v>
      </c>
      <c r="BO869" t="s">
        <v>122</v>
      </c>
      <c r="BP869" t="s">
        <v>74</v>
      </c>
      <c r="BQ869" t="s">
        <v>74</v>
      </c>
      <c r="BR869" t="s">
        <v>99</v>
      </c>
      <c r="BS869" t="s">
        <v>16257</v>
      </c>
      <c r="BT869" t="str">
        <f>HYPERLINK("https%3A%2F%2Fwww.webofscience.com%2Fwos%2Fwoscc%2Ffull-record%2FWOS:001039527400009","View Full Record in Web of Science")</f>
        <v>View Full Record in Web of Science</v>
      </c>
    </row>
    <row r="870" spans="1:72" x14ac:dyDescent="0.15">
      <c r="A870" t="s">
        <v>72</v>
      </c>
      <c r="B870" t="s">
        <v>16258</v>
      </c>
      <c r="C870" t="s">
        <v>74</v>
      </c>
      <c r="D870" t="s">
        <v>74</v>
      </c>
      <c r="E870" t="s">
        <v>74</v>
      </c>
      <c r="F870" t="s">
        <v>16259</v>
      </c>
      <c r="G870" t="s">
        <v>74</v>
      </c>
      <c r="H870" t="s">
        <v>74</v>
      </c>
      <c r="I870" t="s">
        <v>16260</v>
      </c>
      <c r="J870" t="s">
        <v>16261</v>
      </c>
      <c r="K870" t="s">
        <v>74</v>
      </c>
      <c r="L870" t="s">
        <v>74</v>
      </c>
      <c r="M870" t="s">
        <v>78</v>
      </c>
      <c r="N870" t="s">
        <v>307</v>
      </c>
      <c r="O870" t="s">
        <v>74</v>
      </c>
      <c r="P870" t="s">
        <v>74</v>
      </c>
      <c r="Q870" t="s">
        <v>74</v>
      </c>
      <c r="R870" t="s">
        <v>74</v>
      </c>
      <c r="S870" t="s">
        <v>74</v>
      </c>
      <c r="T870" t="s">
        <v>74</v>
      </c>
      <c r="U870" t="s">
        <v>74</v>
      </c>
      <c r="V870" t="s">
        <v>74</v>
      </c>
      <c r="W870" t="s">
        <v>16262</v>
      </c>
      <c r="X870" t="s">
        <v>16263</v>
      </c>
      <c r="Y870" t="s">
        <v>16264</v>
      </c>
      <c r="Z870" t="s">
        <v>16265</v>
      </c>
      <c r="AA870" t="s">
        <v>74</v>
      </c>
      <c r="AB870" t="s">
        <v>74</v>
      </c>
      <c r="AC870" t="s">
        <v>74</v>
      </c>
      <c r="AD870" t="s">
        <v>74</v>
      </c>
      <c r="AE870" t="s">
        <v>74</v>
      </c>
      <c r="AF870" t="s">
        <v>74</v>
      </c>
      <c r="AG870">
        <v>10</v>
      </c>
      <c r="AH870">
        <v>1</v>
      </c>
      <c r="AI870">
        <v>1</v>
      </c>
      <c r="AJ870">
        <v>0</v>
      </c>
      <c r="AK870">
        <v>0</v>
      </c>
      <c r="AL870" t="s">
        <v>87</v>
      </c>
      <c r="AM870" t="s">
        <v>88</v>
      </c>
      <c r="AN870" t="s">
        <v>89</v>
      </c>
      <c r="AO870" t="s">
        <v>16266</v>
      </c>
      <c r="AP870" t="s">
        <v>16267</v>
      </c>
      <c r="AQ870" t="s">
        <v>74</v>
      </c>
      <c r="AR870" t="s">
        <v>16268</v>
      </c>
      <c r="AS870" t="s">
        <v>16269</v>
      </c>
      <c r="AT870" t="s">
        <v>11302</v>
      </c>
      <c r="AU870">
        <v>2023</v>
      </c>
      <c r="AV870">
        <v>26</v>
      </c>
      <c r="AW870">
        <v>4</v>
      </c>
      <c r="AX870" t="s">
        <v>74</v>
      </c>
      <c r="AY870" t="s">
        <v>74</v>
      </c>
      <c r="AZ870" t="s">
        <v>74</v>
      </c>
      <c r="BA870" t="s">
        <v>74</v>
      </c>
      <c r="BB870">
        <v>443</v>
      </c>
      <c r="BC870">
        <v>445</v>
      </c>
      <c r="BD870" t="s">
        <v>74</v>
      </c>
      <c r="BE870" t="s">
        <v>16270</v>
      </c>
      <c r="BF870" t="str">
        <f>HYPERLINK("http://dx.doi.org/10.1111/acv.12891","http://dx.doi.org/10.1111/acv.12891")</f>
        <v>http://dx.doi.org/10.1111/acv.12891</v>
      </c>
      <c r="BG870" t="s">
        <v>74</v>
      </c>
      <c r="BH870" t="s">
        <v>74</v>
      </c>
      <c r="BI870">
        <v>3</v>
      </c>
      <c r="BJ870" t="s">
        <v>765</v>
      </c>
      <c r="BK870" t="s">
        <v>119</v>
      </c>
      <c r="BL870" t="s">
        <v>766</v>
      </c>
      <c r="BM870" t="s">
        <v>16271</v>
      </c>
      <c r="BN870" t="s">
        <v>74</v>
      </c>
      <c r="BO870" t="s">
        <v>301</v>
      </c>
      <c r="BP870" t="s">
        <v>74</v>
      </c>
      <c r="BQ870" t="s">
        <v>74</v>
      </c>
      <c r="BR870" t="s">
        <v>99</v>
      </c>
      <c r="BS870" t="s">
        <v>16272</v>
      </c>
      <c r="BT870" t="str">
        <f>HYPERLINK("https%3A%2F%2Fwww.webofscience.com%2Fwos%2Fwoscc%2Ffull-record%2FWOS:001052640000003","View Full Record in Web of Science")</f>
        <v>View Full Record in Web of Science</v>
      </c>
    </row>
    <row r="871" spans="1:72" x14ac:dyDescent="0.15">
      <c r="A871" t="s">
        <v>72</v>
      </c>
      <c r="B871" t="s">
        <v>16273</v>
      </c>
      <c r="C871" t="s">
        <v>74</v>
      </c>
      <c r="D871" t="s">
        <v>74</v>
      </c>
      <c r="E871" t="s">
        <v>74</v>
      </c>
      <c r="F871" t="s">
        <v>16274</v>
      </c>
      <c r="G871" t="s">
        <v>74</v>
      </c>
      <c r="H871" t="s">
        <v>74</v>
      </c>
      <c r="I871" t="s">
        <v>16275</v>
      </c>
      <c r="J871" t="s">
        <v>16276</v>
      </c>
      <c r="K871" t="s">
        <v>74</v>
      </c>
      <c r="L871" t="s">
        <v>74</v>
      </c>
      <c r="M871" t="s">
        <v>78</v>
      </c>
      <c r="N871" t="s">
        <v>307</v>
      </c>
      <c r="O871" t="s">
        <v>74</v>
      </c>
      <c r="P871" t="s">
        <v>74</v>
      </c>
      <c r="Q871" t="s">
        <v>74</v>
      </c>
      <c r="R871" t="s">
        <v>74</v>
      </c>
      <c r="S871" t="s">
        <v>74</v>
      </c>
      <c r="T871" t="s">
        <v>74</v>
      </c>
      <c r="U871" t="s">
        <v>74</v>
      </c>
      <c r="V871" t="s">
        <v>74</v>
      </c>
      <c r="W871" t="s">
        <v>16277</v>
      </c>
      <c r="X871" t="s">
        <v>16278</v>
      </c>
      <c r="Y871" t="s">
        <v>16279</v>
      </c>
      <c r="Z871" t="s">
        <v>16280</v>
      </c>
      <c r="AA871" t="s">
        <v>74</v>
      </c>
      <c r="AB871" t="s">
        <v>74</v>
      </c>
      <c r="AC871" t="s">
        <v>74</v>
      </c>
      <c r="AD871" t="s">
        <v>74</v>
      </c>
      <c r="AE871" t="s">
        <v>74</v>
      </c>
      <c r="AF871" t="s">
        <v>74</v>
      </c>
      <c r="AG871">
        <v>9</v>
      </c>
      <c r="AH871">
        <v>0</v>
      </c>
      <c r="AI871">
        <v>0</v>
      </c>
      <c r="AJ871">
        <v>0</v>
      </c>
      <c r="AK871">
        <v>0</v>
      </c>
      <c r="AL871" t="s">
        <v>87</v>
      </c>
      <c r="AM871" t="s">
        <v>88</v>
      </c>
      <c r="AN871" t="s">
        <v>89</v>
      </c>
      <c r="AO871" t="s">
        <v>16281</v>
      </c>
      <c r="AP871" t="s">
        <v>16282</v>
      </c>
      <c r="AQ871" t="s">
        <v>74</v>
      </c>
      <c r="AR871" t="s">
        <v>16283</v>
      </c>
      <c r="AS871" t="s">
        <v>16284</v>
      </c>
      <c r="AT871" t="s">
        <v>11302</v>
      </c>
      <c r="AU871">
        <v>2023</v>
      </c>
      <c r="AV871">
        <v>114</v>
      </c>
      <c r="AW871">
        <v>2</v>
      </c>
      <c r="AX871" t="s">
        <v>74</v>
      </c>
      <c r="AY871" t="s">
        <v>74</v>
      </c>
      <c r="AZ871" t="s">
        <v>74</v>
      </c>
      <c r="BA871" t="s">
        <v>74</v>
      </c>
      <c r="BB871">
        <v>249</v>
      </c>
      <c r="BC871">
        <v>251</v>
      </c>
      <c r="BD871" t="s">
        <v>74</v>
      </c>
      <c r="BE871" t="s">
        <v>16285</v>
      </c>
      <c r="BF871" t="str">
        <f>HYPERLINK("http://dx.doi.org/10.1002/cpt.2963","http://dx.doi.org/10.1002/cpt.2963")</f>
        <v>http://dx.doi.org/10.1002/cpt.2963</v>
      </c>
      <c r="BG871" t="s">
        <v>74</v>
      </c>
      <c r="BH871" t="s">
        <v>74</v>
      </c>
      <c r="BI871">
        <v>3</v>
      </c>
      <c r="BJ871" t="s">
        <v>299</v>
      </c>
      <c r="BK871" t="s">
        <v>119</v>
      </c>
      <c r="BL871" t="s">
        <v>299</v>
      </c>
      <c r="BM871" t="s">
        <v>16286</v>
      </c>
      <c r="BN871">
        <v>37475671</v>
      </c>
      <c r="BO871" t="s">
        <v>301</v>
      </c>
      <c r="BP871" t="s">
        <v>74</v>
      </c>
      <c r="BQ871" t="s">
        <v>74</v>
      </c>
      <c r="BR871" t="s">
        <v>99</v>
      </c>
      <c r="BS871" t="s">
        <v>16287</v>
      </c>
      <c r="BT871" t="str">
        <f>HYPERLINK("https%3A%2F%2Fwww.webofscience.com%2Fwos%2Fwoscc%2Ffull-record%2FWOS:001054483300001","View Full Record in Web of Science")</f>
        <v>View Full Record in Web of Science</v>
      </c>
    </row>
    <row r="872" spans="1:72" x14ac:dyDescent="0.15">
      <c r="A872" t="s">
        <v>72</v>
      </c>
      <c r="B872" t="s">
        <v>16288</v>
      </c>
      <c r="C872" t="s">
        <v>74</v>
      </c>
      <c r="D872" t="s">
        <v>74</v>
      </c>
      <c r="E872" t="s">
        <v>74</v>
      </c>
      <c r="F872" t="s">
        <v>16289</v>
      </c>
      <c r="G872" t="s">
        <v>74</v>
      </c>
      <c r="H872" t="s">
        <v>74</v>
      </c>
      <c r="I872" t="s">
        <v>16290</v>
      </c>
      <c r="J872" t="s">
        <v>11373</v>
      </c>
      <c r="K872" t="s">
        <v>74</v>
      </c>
      <c r="L872" t="s">
        <v>74</v>
      </c>
      <c r="M872" t="s">
        <v>78</v>
      </c>
      <c r="N872" t="s">
        <v>288</v>
      </c>
      <c r="O872" t="s">
        <v>74</v>
      </c>
      <c r="P872" t="s">
        <v>74</v>
      </c>
      <c r="Q872" t="s">
        <v>74</v>
      </c>
      <c r="R872" t="s">
        <v>74</v>
      </c>
      <c r="S872" t="s">
        <v>74</v>
      </c>
      <c r="T872" t="s">
        <v>16291</v>
      </c>
      <c r="U872" t="s">
        <v>74</v>
      </c>
      <c r="V872" t="s">
        <v>74</v>
      </c>
      <c r="W872" t="s">
        <v>16292</v>
      </c>
      <c r="X872" t="s">
        <v>16293</v>
      </c>
      <c r="Y872" t="s">
        <v>16294</v>
      </c>
      <c r="Z872" t="s">
        <v>16295</v>
      </c>
      <c r="AA872" t="s">
        <v>16296</v>
      </c>
      <c r="AB872" t="s">
        <v>16297</v>
      </c>
      <c r="AC872" t="s">
        <v>16298</v>
      </c>
      <c r="AD872" t="s">
        <v>16299</v>
      </c>
      <c r="AE872" t="s">
        <v>16300</v>
      </c>
      <c r="AF872" t="s">
        <v>74</v>
      </c>
      <c r="AG872">
        <v>5</v>
      </c>
      <c r="AH872">
        <v>0</v>
      </c>
      <c r="AI872">
        <v>0</v>
      </c>
      <c r="AJ872">
        <v>0</v>
      </c>
      <c r="AK872">
        <v>0</v>
      </c>
      <c r="AL872" t="s">
        <v>87</v>
      </c>
      <c r="AM872" t="s">
        <v>88</v>
      </c>
      <c r="AN872" t="s">
        <v>89</v>
      </c>
      <c r="AO872" t="s">
        <v>74</v>
      </c>
      <c r="AP872" t="s">
        <v>11384</v>
      </c>
      <c r="AQ872" t="s">
        <v>74</v>
      </c>
      <c r="AR872" t="s">
        <v>11385</v>
      </c>
      <c r="AS872" t="s">
        <v>11386</v>
      </c>
      <c r="AT872" t="s">
        <v>15704</v>
      </c>
      <c r="AU872">
        <v>2023</v>
      </c>
      <c r="AV872">
        <v>12</v>
      </c>
      <c r="AW872">
        <v>15</v>
      </c>
      <c r="AX872" t="s">
        <v>74</v>
      </c>
      <c r="AY872" t="s">
        <v>74</v>
      </c>
      <c r="AZ872" t="s">
        <v>74</v>
      </c>
      <c r="BA872" t="s">
        <v>74</v>
      </c>
      <c r="BB872" t="s">
        <v>74</v>
      </c>
      <c r="BC872" t="s">
        <v>74</v>
      </c>
      <c r="BD872" t="s">
        <v>16301</v>
      </c>
      <c r="BE872" t="s">
        <v>16302</v>
      </c>
      <c r="BF872" t="str">
        <f>HYPERLINK("http://dx.doi.org/10.1161/JAHA.123.031012","http://dx.doi.org/10.1161/JAHA.123.031012")</f>
        <v>http://dx.doi.org/10.1161/JAHA.123.031012</v>
      </c>
      <c r="BG872" t="s">
        <v>74</v>
      </c>
      <c r="BH872" t="s">
        <v>74</v>
      </c>
      <c r="BI872">
        <v>3</v>
      </c>
      <c r="BJ872" t="s">
        <v>1849</v>
      </c>
      <c r="BK872" t="s">
        <v>119</v>
      </c>
      <c r="BL872" t="s">
        <v>1850</v>
      </c>
      <c r="BM872" t="s">
        <v>15707</v>
      </c>
      <c r="BN872">
        <v>37489770</v>
      </c>
      <c r="BO872" t="s">
        <v>234</v>
      </c>
      <c r="BP872" t="s">
        <v>74</v>
      </c>
      <c r="BQ872" t="s">
        <v>74</v>
      </c>
      <c r="BR872" t="s">
        <v>99</v>
      </c>
      <c r="BS872" t="s">
        <v>16303</v>
      </c>
      <c r="BT872" t="str">
        <f>HYPERLINK("https%3A%2F%2Fwww.webofscience.com%2Fwos%2Fwoscc%2Ffull-record%2FWOS:001041061200003","View Full Record in Web of Science")</f>
        <v>View Full Record in Web of Science</v>
      </c>
    </row>
    <row r="873" spans="1:72" x14ac:dyDescent="0.15">
      <c r="A873" t="s">
        <v>72</v>
      </c>
      <c r="B873" t="s">
        <v>16304</v>
      </c>
      <c r="C873" t="s">
        <v>74</v>
      </c>
      <c r="D873" t="s">
        <v>74</v>
      </c>
      <c r="E873" t="s">
        <v>74</v>
      </c>
      <c r="F873" t="s">
        <v>16305</v>
      </c>
      <c r="G873" t="s">
        <v>74</v>
      </c>
      <c r="H873" t="s">
        <v>74</v>
      </c>
      <c r="I873" t="s">
        <v>16306</v>
      </c>
      <c r="J873" t="s">
        <v>15532</v>
      </c>
      <c r="K873" t="s">
        <v>74</v>
      </c>
      <c r="L873" t="s">
        <v>74</v>
      </c>
      <c r="M873" t="s">
        <v>78</v>
      </c>
      <c r="N873" t="s">
        <v>79</v>
      </c>
      <c r="O873" t="s">
        <v>74</v>
      </c>
      <c r="P873" t="s">
        <v>74</v>
      </c>
      <c r="Q873" t="s">
        <v>74</v>
      </c>
      <c r="R873" t="s">
        <v>74</v>
      </c>
      <c r="S873" t="s">
        <v>74</v>
      </c>
      <c r="T873" t="s">
        <v>74</v>
      </c>
      <c r="U873" t="s">
        <v>74</v>
      </c>
      <c r="V873" t="s">
        <v>16307</v>
      </c>
      <c r="W873" t="s">
        <v>16308</v>
      </c>
      <c r="X873" t="s">
        <v>16309</v>
      </c>
      <c r="Y873" t="s">
        <v>16310</v>
      </c>
      <c r="Z873" t="s">
        <v>16311</v>
      </c>
      <c r="AA873" t="s">
        <v>74</v>
      </c>
      <c r="AB873" t="s">
        <v>16312</v>
      </c>
      <c r="AC873" t="s">
        <v>74</v>
      </c>
      <c r="AD873" t="s">
        <v>74</v>
      </c>
      <c r="AE873" t="s">
        <v>74</v>
      </c>
      <c r="AF873" t="s">
        <v>74</v>
      </c>
      <c r="AG873">
        <v>7</v>
      </c>
      <c r="AH873">
        <v>0</v>
      </c>
      <c r="AI873">
        <v>0</v>
      </c>
      <c r="AJ873">
        <v>0</v>
      </c>
      <c r="AK873">
        <v>0</v>
      </c>
      <c r="AL873" t="s">
        <v>87</v>
      </c>
      <c r="AM873" t="s">
        <v>88</v>
      </c>
      <c r="AN873" t="s">
        <v>89</v>
      </c>
      <c r="AO873" t="s">
        <v>74</v>
      </c>
      <c r="AP873" t="s">
        <v>15542</v>
      </c>
      <c r="AQ873" t="s">
        <v>74</v>
      </c>
      <c r="AR873" t="s">
        <v>15543</v>
      </c>
      <c r="AS873" t="s">
        <v>15544</v>
      </c>
      <c r="AT873" t="s">
        <v>11302</v>
      </c>
      <c r="AU873">
        <v>2023</v>
      </c>
      <c r="AV873">
        <v>4</v>
      </c>
      <c r="AW873">
        <v>4</v>
      </c>
      <c r="AX873" t="s">
        <v>74</v>
      </c>
      <c r="AY873" t="s">
        <v>74</v>
      </c>
      <c r="AZ873" t="s">
        <v>74</v>
      </c>
      <c r="BA873" t="s">
        <v>74</v>
      </c>
      <c r="BB873" t="s">
        <v>74</v>
      </c>
      <c r="BC873" t="s">
        <v>74</v>
      </c>
      <c r="BD873" t="s">
        <v>16313</v>
      </c>
      <c r="BE873" t="s">
        <v>16314</v>
      </c>
      <c r="BF873" t="str">
        <f>HYPERLINK("http://dx.doi.org/10.1002/emp2.13000","http://dx.doi.org/10.1002/emp2.13000")</f>
        <v>http://dx.doi.org/10.1002/emp2.13000</v>
      </c>
      <c r="BG873" t="s">
        <v>74</v>
      </c>
      <c r="BH873" t="s">
        <v>74</v>
      </c>
      <c r="BI873">
        <v>4</v>
      </c>
      <c r="BJ873" t="s">
        <v>15547</v>
      </c>
      <c r="BK873" t="s">
        <v>96</v>
      </c>
      <c r="BL873" t="s">
        <v>15547</v>
      </c>
      <c r="BM873" t="s">
        <v>16315</v>
      </c>
      <c r="BN873">
        <v>37397183</v>
      </c>
      <c r="BO873" t="s">
        <v>6877</v>
      </c>
      <c r="BP873" t="s">
        <v>74</v>
      </c>
      <c r="BQ873" t="s">
        <v>74</v>
      </c>
      <c r="BR873" t="s">
        <v>99</v>
      </c>
      <c r="BS873" t="s">
        <v>16316</v>
      </c>
      <c r="BT873" t="str">
        <f>HYPERLINK("https%3A%2F%2Fwww.webofscience.com%2Fwos%2Fwoscc%2Ffull-record%2FWOS:001018918000001","View Full Record in Web of Science")</f>
        <v>View Full Record in Web of Science</v>
      </c>
    </row>
    <row r="874" spans="1:72" x14ac:dyDescent="0.15">
      <c r="A874" t="s">
        <v>72</v>
      </c>
      <c r="B874" t="s">
        <v>16317</v>
      </c>
      <c r="C874" t="s">
        <v>74</v>
      </c>
      <c r="D874" t="s">
        <v>74</v>
      </c>
      <c r="E874" t="s">
        <v>74</v>
      </c>
      <c r="F874" t="s">
        <v>16318</v>
      </c>
      <c r="G874" t="s">
        <v>74</v>
      </c>
      <c r="H874" t="s">
        <v>74</v>
      </c>
      <c r="I874" t="s">
        <v>16319</v>
      </c>
      <c r="J874" t="s">
        <v>4870</v>
      </c>
      <c r="K874" t="s">
        <v>74</v>
      </c>
      <c r="L874" t="s">
        <v>74</v>
      </c>
      <c r="M874" t="s">
        <v>78</v>
      </c>
      <c r="N874" t="s">
        <v>307</v>
      </c>
      <c r="O874" t="s">
        <v>74</v>
      </c>
      <c r="P874" t="s">
        <v>74</v>
      </c>
      <c r="Q874" t="s">
        <v>74</v>
      </c>
      <c r="R874" t="s">
        <v>74</v>
      </c>
      <c r="S874" t="s">
        <v>74</v>
      </c>
      <c r="T874" t="s">
        <v>74</v>
      </c>
      <c r="U874" t="s">
        <v>74</v>
      </c>
      <c r="V874" t="s">
        <v>74</v>
      </c>
      <c r="W874" t="s">
        <v>74</v>
      </c>
      <c r="X874" t="s">
        <v>74</v>
      </c>
      <c r="Y874" t="s">
        <v>74</v>
      </c>
      <c r="Z874" t="s">
        <v>74</v>
      </c>
      <c r="AA874" t="s">
        <v>74</v>
      </c>
      <c r="AB874" t="s">
        <v>74</v>
      </c>
      <c r="AC874" t="s">
        <v>74</v>
      </c>
      <c r="AD874" t="s">
        <v>74</v>
      </c>
      <c r="AE874" t="s">
        <v>74</v>
      </c>
      <c r="AF874" t="s">
        <v>74</v>
      </c>
      <c r="AG874">
        <v>0</v>
      </c>
      <c r="AH874">
        <v>0</v>
      </c>
      <c r="AI874">
        <v>0</v>
      </c>
      <c r="AJ874">
        <v>0</v>
      </c>
      <c r="AK874">
        <v>0</v>
      </c>
      <c r="AL874" t="s">
        <v>87</v>
      </c>
      <c r="AM874" t="s">
        <v>88</v>
      </c>
      <c r="AN874" t="s">
        <v>89</v>
      </c>
      <c r="AO874" t="s">
        <v>4879</v>
      </c>
      <c r="AP874" t="s">
        <v>4880</v>
      </c>
      <c r="AQ874" t="s">
        <v>74</v>
      </c>
      <c r="AR874" t="s">
        <v>4881</v>
      </c>
      <c r="AS874" t="s">
        <v>4882</v>
      </c>
      <c r="AT874" t="s">
        <v>11302</v>
      </c>
      <c r="AU874">
        <v>2023</v>
      </c>
      <c r="AV874">
        <v>101</v>
      </c>
      <c r="AW874">
        <v>5</v>
      </c>
      <c r="AX874" t="s">
        <v>74</v>
      </c>
      <c r="AY874" t="s">
        <v>74</v>
      </c>
      <c r="AZ874" t="s">
        <v>74</v>
      </c>
      <c r="BA874" t="s">
        <v>74</v>
      </c>
      <c r="BB874">
        <v>477</v>
      </c>
      <c r="BC874">
        <v>477</v>
      </c>
      <c r="BD874" t="s">
        <v>74</v>
      </c>
      <c r="BE874" t="s">
        <v>16320</v>
      </c>
      <c r="BF874" t="str">
        <f>HYPERLINK("http://dx.doi.org/10.1111/aos.15723","http://dx.doi.org/10.1111/aos.15723")</f>
        <v>http://dx.doi.org/10.1111/aos.15723</v>
      </c>
      <c r="BG874" t="s">
        <v>74</v>
      </c>
      <c r="BH874" t="s">
        <v>74</v>
      </c>
      <c r="BI874">
        <v>1</v>
      </c>
      <c r="BJ874" t="s">
        <v>4884</v>
      </c>
      <c r="BK874" t="s">
        <v>119</v>
      </c>
      <c r="BL874" t="s">
        <v>4884</v>
      </c>
      <c r="BM874" t="s">
        <v>16321</v>
      </c>
      <c r="BN874">
        <v>37424198</v>
      </c>
      <c r="BO874" t="s">
        <v>74</v>
      </c>
      <c r="BP874" t="s">
        <v>74</v>
      </c>
      <c r="BQ874" t="s">
        <v>74</v>
      </c>
      <c r="BR874" t="s">
        <v>99</v>
      </c>
      <c r="BS874" t="s">
        <v>16322</v>
      </c>
      <c r="BT874" t="str">
        <f>HYPERLINK("https%3A%2F%2Fwww.webofscience.com%2Fwos%2Fwoscc%2Ffull-record%2FWOS:001026134500001","View Full Record in Web of Science")</f>
        <v>View Full Record in Web of Science</v>
      </c>
    </row>
    <row r="875" spans="1:72" x14ac:dyDescent="0.15">
      <c r="A875" t="s">
        <v>72</v>
      </c>
      <c r="B875" t="s">
        <v>16323</v>
      </c>
      <c r="C875" t="s">
        <v>74</v>
      </c>
      <c r="D875" t="s">
        <v>74</v>
      </c>
      <c r="E875" t="s">
        <v>74</v>
      </c>
      <c r="F875" t="s">
        <v>16324</v>
      </c>
      <c r="G875" t="s">
        <v>74</v>
      </c>
      <c r="H875" t="s">
        <v>74</v>
      </c>
      <c r="I875" t="s">
        <v>16325</v>
      </c>
      <c r="J875" t="s">
        <v>15417</v>
      </c>
      <c r="K875" t="s">
        <v>74</v>
      </c>
      <c r="L875" t="s">
        <v>74</v>
      </c>
      <c r="M875" t="s">
        <v>78</v>
      </c>
      <c r="N875" t="s">
        <v>79</v>
      </c>
      <c r="O875" t="s">
        <v>74</v>
      </c>
      <c r="P875" t="s">
        <v>74</v>
      </c>
      <c r="Q875" t="s">
        <v>74</v>
      </c>
      <c r="R875" t="s">
        <v>74</v>
      </c>
      <c r="S875" t="s">
        <v>74</v>
      </c>
      <c r="T875" t="s">
        <v>16326</v>
      </c>
      <c r="U875" t="s">
        <v>16327</v>
      </c>
      <c r="V875" t="s">
        <v>16328</v>
      </c>
      <c r="W875" t="s">
        <v>16329</v>
      </c>
      <c r="X875" t="s">
        <v>74</v>
      </c>
      <c r="Y875" t="s">
        <v>16330</v>
      </c>
      <c r="Z875" t="s">
        <v>16331</v>
      </c>
      <c r="AA875" t="s">
        <v>74</v>
      </c>
      <c r="AB875" t="s">
        <v>74</v>
      </c>
      <c r="AC875" t="s">
        <v>74</v>
      </c>
      <c r="AD875" t="s">
        <v>74</v>
      </c>
      <c r="AE875" t="s">
        <v>74</v>
      </c>
      <c r="AF875" t="s">
        <v>74</v>
      </c>
      <c r="AG875">
        <v>27</v>
      </c>
      <c r="AH875">
        <v>0</v>
      </c>
      <c r="AI875">
        <v>0</v>
      </c>
      <c r="AJ875">
        <v>0</v>
      </c>
      <c r="AK875">
        <v>0</v>
      </c>
      <c r="AL875" t="s">
        <v>87</v>
      </c>
      <c r="AM875" t="s">
        <v>88</v>
      </c>
      <c r="AN875" t="s">
        <v>89</v>
      </c>
      <c r="AO875" t="s">
        <v>74</v>
      </c>
      <c r="AP875" t="s">
        <v>15427</v>
      </c>
      <c r="AQ875" t="s">
        <v>74</v>
      </c>
      <c r="AR875" t="s">
        <v>15428</v>
      </c>
      <c r="AS875" t="s">
        <v>15429</v>
      </c>
      <c r="AT875" t="s">
        <v>11302</v>
      </c>
      <c r="AU875">
        <v>2023</v>
      </c>
      <c r="AV875">
        <v>11</v>
      </c>
      <c r="AW875">
        <v>8</v>
      </c>
      <c r="AX875" t="s">
        <v>74</v>
      </c>
      <c r="AY875" t="s">
        <v>74</v>
      </c>
      <c r="AZ875" t="s">
        <v>74</v>
      </c>
      <c r="BA875" t="s">
        <v>74</v>
      </c>
      <c r="BB875" t="s">
        <v>74</v>
      </c>
      <c r="BC875" t="s">
        <v>74</v>
      </c>
      <c r="BD875" t="s">
        <v>16332</v>
      </c>
      <c r="BE875" t="s">
        <v>16333</v>
      </c>
      <c r="BF875" t="str">
        <f>HYPERLINK("http://dx.doi.org/10.1002/iid3.959","http://dx.doi.org/10.1002/iid3.959")</f>
        <v>http://dx.doi.org/10.1002/iid3.959</v>
      </c>
      <c r="BG875" t="s">
        <v>74</v>
      </c>
      <c r="BH875" t="s">
        <v>74</v>
      </c>
      <c r="BI875">
        <v>10</v>
      </c>
      <c r="BJ875" t="s">
        <v>5234</v>
      </c>
      <c r="BK875" t="s">
        <v>119</v>
      </c>
      <c r="BL875" t="s">
        <v>5234</v>
      </c>
      <c r="BM875" t="s">
        <v>16334</v>
      </c>
      <c r="BN875">
        <v>37647428</v>
      </c>
      <c r="BO875" t="s">
        <v>6877</v>
      </c>
      <c r="BP875" t="s">
        <v>74</v>
      </c>
      <c r="BQ875" t="s">
        <v>74</v>
      </c>
      <c r="BR875" t="s">
        <v>99</v>
      </c>
      <c r="BS875" t="s">
        <v>16335</v>
      </c>
      <c r="BT875" t="str">
        <f>HYPERLINK("https%3A%2F%2Fwww.webofscience.com%2Fwos%2Fwoscc%2Ffull-record%2FWOS:001044359900001","View Full Record in Web of Science")</f>
        <v>View Full Record in Web of Science</v>
      </c>
    </row>
    <row r="876" spans="1:72" x14ac:dyDescent="0.15">
      <c r="A876" t="s">
        <v>72</v>
      </c>
      <c r="B876" t="s">
        <v>16336</v>
      </c>
      <c r="C876" t="s">
        <v>74</v>
      </c>
      <c r="D876" t="s">
        <v>74</v>
      </c>
      <c r="E876" t="s">
        <v>74</v>
      </c>
      <c r="F876" t="s">
        <v>16337</v>
      </c>
      <c r="G876" t="s">
        <v>74</v>
      </c>
      <c r="H876" t="s">
        <v>74</v>
      </c>
      <c r="I876" t="s">
        <v>16338</v>
      </c>
      <c r="J876" t="s">
        <v>16130</v>
      </c>
      <c r="K876" t="s">
        <v>74</v>
      </c>
      <c r="L876" t="s">
        <v>74</v>
      </c>
      <c r="M876" t="s">
        <v>78</v>
      </c>
      <c r="N876" t="s">
        <v>288</v>
      </c>
      <c r="O876" t="s">
        <v>74</v>
      </c>
      <c r="P876" t="s">
        <v>74</v>
      </c>
      <c r="Q876" t="s">
        <v>74</v>
      </c>
      <c r="R876" t="s">
        <v>74</v>
      </c>
      <c r="S876" t="s">
        <v>74</v>
      </c>
      <c r="T876" t="s">
        <v>74</v>
      </c>
      <c r="U876" t="s">
        <v>74</v>
      </c>
      <c r="V876" t="s">
        <v>74</v>
      </c>
      <c r="W876" t="s">
        <v>16339</v>
      </c>
      <c r="X876" t="s">
        <v>16340</v>
      </c>
      <c r="Y876" t="s">
        <v>16341</v>
      </c>
      <c r="Z876" t="s">
        <v>16342</v>
      </c>
      <c r="AA876" t="s">
        <v>74</v>
      </c>
      <c r="AB876" t="s">
        <v>16343</v>
      </c>
      <c r="AC876" t="s">
        <v>16344</v>
      </c>
      <c r="AD876" t="s">
        <v>12016</v>
      </c>
      <c r="AE876" t="s">
        <v>16345</v>
      </c>
      <c r="AF876" t="s">
        <v>74</v>
      </c>
      <c r="AG876">
        <v>10</v>
      </c>
      <c r="AH876">
        <v>0</v>
      </c>
      <c r="AI876">
        <v>0</v>
      </c>
      <c r="AJ876">
        <v>0</v>
      </c>
      <c r="AK876">
        <v>0</v>
      </c>
      <c r="AL876" t="s">
        <v>1100</v>
      </c>
      <c r="AM876" t="s">
        <v>1101</v>
      </c>
      <c r="AN876" t="s">
        <v>1102</v>
      </c>
      <c r="AO876" t="s">
        <v>16143</v>
      </c>
      <c r="AP876" t="s">
        <v>74</v>
      </c>
      <c r="AQ876" t="s">
        <v>74</v>
      </c>
      <c r="AR876" t="s">
        <v>16144</v>
      </c>
      <c r="AS876" t="s">
        <v>16145</v>
      </c>
      <c r="AT876" t="s">
        <v>11302</v>
      </c>
      <c r="AU876">
        <v>2023</v>
      </c>
      <c r="AV876">
        <v>13</v>
      </c>
      <c r="AW876">
        <v>8</v>
      </c>
      <c r="AX876" t="s">
        <v>74</v>
      </c>
      <c r="AY876" t="s">
        <v>74</v>
      </c>
      <c r="AZ876" t="s">
        <v>74</v>
      </c>
      <c r="BA876" t="s">
        <v>74</v>
      </c>
      <c r="BB876" t="s">
        <v>74</v>
      </c>
      <c r="BC876" t="s">
        <v>74</v>
      </c>
      <c r="BD876" t="s">
        <v>6872</v>
      </c>
      <c r="BE876" t="s">
        <v>16346</v>
      </c>
      <c r="BF876" t="str">
        <f>HYPERLINK("http://dx.doi.org/10.1002/ctm2.1347","http://dx.doi.org/10.1002/ctm2.1347")</f>
        <v>http://dx.doi.org/10.1002/ctm2.1347</v>
      </c>
      <c r="BG876" t="s">
        <v>74</v>
      </c>
      <c r="BH876" t="s">
        <v>74</v>
      </c>
      <c r="BI876">
        <v>7</v>
      </c>
      <c r="BJ876" t="s">
        <v>16148</v>
      </c>
      <c r="BK876" t="s">
        <v>119</v>
      </c>
      <c r="BL876" t="s">
        <v>16149</v>
      </c>
      <c r="BM876" t="s">
        <v>16347</v>
      </c>
      <c r="BN876">
        <v>37517036</v>
      </c>
      <c r="BO876" t="s">
        <v>98</v>
      </c>
      <c r="BP876" t="s">
        <v>74</v>
      </c>
      <c r="BQ876" t="s">
        <v>74</v>
      </c>
      <c r="BR876" t="s">
        <v>99</v>
      </c>
      <c r="BS876" t="s">
        <v>16348</v>
      </c>
      <c r="BT876" t="str">
        <f>HYPERLINK("https%3A%2F%2Fwww.webofscience.com%2Fwos%2Fwoscc%2Ffull-record%2FWOS:001037570300001","View Full Record in Web of Science")</f>
        <v>View Full Record in Web of Science</v>
      </c>
    </row>
    <row r="877" spans="1:72" x14ac:dyDescent="0.15">
      <c r="A877" t="s">
        <v>72</v>
      </c>
      <c r="B877" t="s">
        <v>16349</v>
      </c>
      <c r="C877" t="s">
        <v>74</v>
      </c>
      <c r="D877" t="s">
        <v>74</v>
      </c>
      <c r="E877" t="s">
        <v>74</v>
      </c>
      <c r="F877" t="s">
        <v>16350</v>
      </c>
      <c r="G877" t="s">
        <v>74</v>
      </c>
      <c r="H877" t="s">
        <v>74</v>
      </c>
      <c r="I877" t="s">
        <v>16351</v>
      </c>
      <c r="J877" t="s">
        <v>937</v>
      </c>
      <c r="K877" t="s">
        <v>74</v>
      </c>
      <c r="L877" t="s">
        <v>74</v>
      </c>
      <c r="M877" t="s">
        <v>78</v>
      </c>
      <c r="N877" t="s">
        <v>338</v>
      </c>
      <c r="O877" t="s">
        <v>74</v>
      </c>
      <c r="P877" t="s">
        <v>74</v>
      </c>
      <c r="Q877" t="s">
        <v>74</v>
      </c>
      <c r="R877" t="s">
        <v>74</v>
      </c>
      <c r="S877" t="s">
        <v>74</v>
      </c>
      <c r="T877" t="s">
        <v>16352</v>
      </c>
      <c r="U877" t="s">
        <v>16353</v>
      </c>
      <c r="V877" t="s">
        <v>16354</v>
      </c>
      <c r="W877" t="s">
        <v>16355</v>
      </c>
      <c r="X877" t="s">
        <v>16356</v>
      </c>
      <c r="Y877" t="s">
        <v>16357</v>
      </c>
      <c r="Z877" t="s">
        <v>16358</v>
      </c>
      <c r="AA877" t="s">
        <v>74</v>
      </c>
      <c r="AB877" t="s">
        <v>16359</v>
      </c>
      <c r="AC877" t="s">
        <v>16360</v>
      </c>
      <c r="AD877" t="s">
        <v>16361</v>
      </c>
      <c r="AE877" t="s">
        <v>16362</v>
      </c>
      <c r="AF877" t="s">
        <v>74</v>
      </c>
      <c r="AG877">
        <v>61</v>
      </c>
      <c r="AH877">
        <v>0</v>
      </c>
      <c r="AI877">
        <v>0</v>
      </c>
      <c r="AJ877">
        <v>7</v>
      </c>
      <c r="AK877">
        <v>7</v>
      </c>
      <c r="AL877" t="s">
        <v>87</v>
      </c>
      <c r="AM877" t="s">
        <v>88</v>
      </c>
      <c r="AN877" t="s">
        <v>89</v>
      </c>
      <c r="AO877" t="s">
        <v>74</v>
      </c>
      <c r="AP877" t="s">
        <v>949</v>
      </c>
      <c r="AQ877" t="s">
        <v>74</v>
      </c>
      <c r="AR877" t="s">
        <v>950</v>
      </c>
      <c r="AS877" t="s">
        <v>951</v>
      </c>
      <c r="AT877" t="s">
        <v>15292</v>
      </c>
      <c r="AU877">
        <v>2023</v>
      </c>
      <c r="AV877" t="s">
        <v>74</v>
      </c>
      <c r="AW877" t="s">
        <v>74</v>
      </c>
      <c r="AX877" t="s">
        <v>74</v>
      </c>
      <c r="AY877" t="s">
        <v>74</v>
      </c>
      <c r="AZ877" t="s">
        <v>74</v>
      </c>
      <c r="BA877" t="s">
        <v>74</v>
      </c>
      <c r="BB877" t="s">
        <v>74</v>
      </c>
      <c r="BC877" t="s">
        <v>74</v>
      </c>
      <c r="BD877">
        <v>2301159</v>
      </c>
      <c r="BE877" t="s">
        <v>16363</v>
      </c>
      <c r="BF877" t="str">
        <f>HYPERLINK("http://dx.doi.org/10.1002/advs.202301159","http://dx.doi.org/10.1002/advs.202301159")</f>
        <v>http://dx.doi.org/10.1002/advs.202301159</v>
      </c>
      <c r="BG877" t="s">
        <v>74</v>
      </c>
      <c r="BH877" t="s">
        <v>7524</v>
      </c>
      <c r="BI877">
        <v>14</v>
      </c>
      <c r="BJ877" t="s">
        <v>953</v>
      </c>
      <c r="BK877" t="s">
        <v>119</v>
      </c>
      <c r="BL877" t="s">
        <v>954</v>
      </c>
      <c r="BM877" t="s">
        <v>16364</v>
      </c>
      <c r="BN877">
        <v>37526346</v>
      </c>
      <c r="BO877" t="s">
        <v>234</v>
      </c>
      <c r="BP877" t="s">
        <v>74</v>
      </c>
      <c r="BQ877" t="s">
        <v>74</v>
      </c>
      <c r="BR877" t="s">
        <v>99</v>
      </c>
      <c r="BS877" t="s">
        <v>16365</v>
      </c>
      <c r="BT877" t="str">
        <f>HYPERLINK("https%3A%2F%2Fwww.webofscience.com%2Fwos%2Fwoscc%2Ffull-record%2FWOS:001038382300001","View Full Record in Web of Science")</f>
        <v>View Full Record in Web of Science</v>
      </c>
    </row>
    <row r="878" spans="1:72" x14ac:dyDescent="0.15">
      <c r="A878" t="s">
        <v>72</v>
      </c>
      <c r="B878" t="s">
        <v>16366</v>
      </c>
      <c r="C878" t="s">
        <v>74</v>
      </c>
      <c r="D878" t="s">
        <v>74</v>
      </c>
      <c r="E878" t="s">
        <v>74</v>
      </c>
      <c r="F878" t="s">
        <v>16367</v>
      </c>
      <c r="G878" t="s">
        <v>74</v>
      </c>
      <c r="H878" t="s">
        <v>74</v>
      </c>
      <c r="I878" t="s">
        <v>16368</v>
      </c>
      <c r="J878" t="s">
        <v>15749</v>
      </c>
      <c r="K878" t="s">
        <v>74</v>
      </c>
      <c r="L878" t="s">
        <v>74</v>
      </c>
      <c r="M878" t="s">
        <v>78</v>
      </c>
      <c r="N878" t="s">
        <v>79</v>
      </c>
      <c r="O878" t="s">
        <v>74</v>
      </c>
      <c r="P878" t="s">
        <v>74</v>
      </c>
      <c r="Q878" t="s">
        <v>74</v>
      </c>
      <c r="R878" t="s">
        <v>74</v>
      </c>
      <c r="S878" t="s">
        <v>74</v>
      </c>
      <c r="T878" t="s">
        <v>74</v>
      </c>
      <c r="U878" t="s">
        <v>16369</v>
      </c>
      <c r="V878" t="s">
        <v>16370</v>
      </c>
      <c r="W878" t="s">
        <v>16371</v>
      </c>
      <c r="X878" t="s">
        <v>16372</v>
      </c>
      <c r="Y878" t="s">
        <v>16373</v>
      </c>
      <c r="Z878" t="s">
        <v>16374</v>
      </c>
      <c r="AA878" t="s">
        <v>16375</v>
      </c>
      <c r="AB878" t="s">
        <v>16376</v>
      </c>
      <c r="AC878" t="s">
        <v>16377</v>
      </c>
      <c r="AD878" t="s">
        <v>16378</v>
      </c>
      <c r="AE878" t="s">
        <v>16379</v>
      </c>
      <c r="AF878" t="s">
        <v>74</v>
      </c>
      <c r="AG878">
        <v>45</v>
      </c>
      <c r="AH878">
        <v>0</v>
      </c>
      <c r="AI878">
        <v>0</v>
      </c>
      <c r="AJ878">
        <v>0</v>
      </c>
      <c r="AK878">
        <v>0</v>
      </c>
      <c r="AL878" t="s">
        <v>87</v>
      </c>
      <c r="AM878" t="s">
        <v>88</v>
      </c>
      <c r="AN878" t="s">
        <v>89</v>
      </c>
      <c r="AO878" t="s">
        <v>15759</v>
      </c>
      <c r="AP878" t="s">
        <v>15760</v>
      </c>
      <c r="AQ878" t="s">
        <v>74</v>
      </c>
      <c r="AR878" t="s">
        <v>15761</v>
      </c>
      <c r="AS878" t="s">
        <v>15762</v>
      </c>
      <c r="AT878" t="s">
        <v>11302</v>
      </c>
      <c r="AU878">
        <v>2023</v>
      </c>
      <c r="AV878">
        <v>175</v>
      </c>
      <c r="AW878">
        <v>5</v>
      </c>
      <c r="AX878" t="s">
        <v>74</v>
      </c>
      <c r="AY878" t="s">
        <v>74</v>
      </c>
      <c r="AZ878" t="s">
        <v>74</v>
      </c>
      <c r="BA878" t="s">
        <v>74</v>
      </c>
      <c r="BB878" t="s">
        <v>74</v>
      </c>
      <c r="BC878" t="s">
        <v>74</v>
      </c>
      <c r="BD878" t="s">
        <v>16380</v>
      </c>
      <c r="BE878" t="s">
        <v>16381</v>
      </c>
      <c r="BF878" t="str">
        <f>HYPERLINK("http://dx.doi.org/10.1111/ppl.13995","http://dx.doi.org/10.1111/ppl.13995")</f>
        <v>http://dx.doi.org/10.1111/ppl.13995</v>
      </c>
      <c r="BG878" t="s">
        <v>74</v>
      </c>
      <c r="BH878" t="s">
        <v>74</v>
      </c>
      <c r="BI878">
        <v>11</v>
      </c>
      <c r="BJ878" t="s">
        <v>1751</v>
      </c>
      <c r="BK878" t="s">
        <v>119</v>
      </c>
      <c r="BL878" t="s">
        <v>1751</v>
      </c>
      <c r="BM878" t="s">
        <v>16382</v>
      </c>
      <c r="BN878" t="s">
        <v>74</v>
      </c>
      <c r="BO878" t="s">
        <v>122</v>
      </c>
      <c r="BP878" t="s">
        <v>74</v>
      </c>
      <c r="BQ878" t="s">
        <v>74</v>
      </c>
      <c r="BR878" t="s">
        <v>99</v>
      </c>
      <c r="BS878" t="s">
        <v>16383</v>
      </c>
      <c r="BT878" t="str">
        <f>HYPERLINK("https%3A%2F%2Fwww.webofscience.com%2Fwos%2Fwoscc%2Ffull-record%2FWOS:001058816700001","View Full Record in Web of Science")</f>
        <v>View Full Record in Web of Science</v>
      </c>
    </row>
    <row r="879" spans="1:72" x14ac:dyDescent="0.15">
      <c r="A879" t="s">
        <v>72</v>
      </c>
      <c r="B879" t="s">
        <v>16384</v>
      </c>
      <c r="C879" t="s">
        <v>74</v>
      </c>
      <c r="D879" t="s">
        <v>74</v>
      </c>
      <c r="E879" t="s">
        <v>74</v>
      </c>
      <c r="F879" t="s">
        <v>16385</v>
      </c>
      <c r="G879" t="s">
        <v>74</v>
      </c>
      <c r="H879" t="s">
        <v>74</v>
      </c>
      <c r="I879" t="s">
        <v>16386</v>
      </c>
      <c r="J879" t="s">
        <v>7682</v>
      </c>
      <c r="K879" t="s">
        <v>74</v>
      </c>
      <c r="L879" t="s">
        <v>74</v>
      </c>
      <c r="M879" t="s">
        <v>78</v>
      </c>
      <c r="N879" t="s">
        <v>594</v>
      </c>
      <c r="O879" t="s">
        <v>74</v>
      </c>
      <c r="P879" t="s">
        <v>74</v>
      </c>
      <c r="Q879" t="s">
        <v>74</v>
      </c>
      <c r="R879" t="s">
        <v>74</v>
      </c>
      <c r="S879" t="s">
        <v>74</v>
      </c>
      <c r="T879" t="s">
        <v>16387</v>
      </c>
      <c r="U879" t="s">
        <v>16388</v>
      </c>
      <c r="V879" t="s">
        <v>16389</v>
      </c>
      <c r="W879" t="s">
        <v>16390</v>
      </c>
      <c r="X879" t="s">
        <v>16391</v>
      </c>
      <c r="Y879" t="s">
        <v>16392</v>
      </c>
      <c r="Z879" t="s">
        <v>16393</v>
      </c>
      <c r="AA879" t="s">
        <v>74</v>
      </c>
      <c r="AB879" t="s">
        <v>74</v>
      </c>
      <c r="AC879" t="s">
        <v>16394</v>
      </c>
      <c r="AD879" t="s">
        <v>16395</v>
      </c>
      <c r="AE879" t="s">
        <v>16396</v>
      </c>
      <c r="AF879" t="s">
        <v>74</v>
      </c>
      <c r="AG879">
        <v>195</v>
      </c>
      <c r="AH879">
        <v>0</v>
      </c>
      <c r="AI879">
        <v>0</v>
      </c>
      <c r="AJ879">
        <v>18</v>
      </c>
      <c r="AK879">
        <v>18</v>
      </c>
      <c r="AL879" t="s">
        <v>87</v>
      </c>
      <c r="AM879" t="s">
        <v>88</v>
      </c>
      <c r="AN879" t="s">
        <v>89</v>
      </c>
      <c r="AO879" t="s">
        <v>74</v>
      </c>
      <c r="AP879" t="s">
        <v>7693</v>
      </c>
      <c r="AQ879" t="s">
        <v>74</v>
      </c>
      <c r="AR879" t="s">
        <v>7694</v>
      </c>
      <c r="AS879" t="s">
        <v>7695</v>
      </c>
      <c r="AT879" t="s">
        <v>15292</v>
      </c>
      <c r="AU879">
        <v>2023</v>
      </c>
      <c r="AV879" t="s">
        <v>74</v>
      </c>
      <c r="AW879" t="s">
        <v>74</v>
      </c>
      <c r="AX879" t="s">
        <v>74</v>
      </c>
      <c r="AY879" t="s">
        <v>74</v>
      </c>
      <c r="AZ879" t="s">
        <v>74</v>
      </c>
      <c r="BA879" t="s">
        <v>74</v>
      </c>
      <c r="BB879" t="s">
        <v>74</v>
      </c>
      <c r="BC879" t="s">
        <v>74</v>
      </c>
      <c r="BD879" t="s">
        <v>74</v>
      </c>
      <c r="BE879" t="s">
        <v>16397</v>
      </c>
      <c r="BF879" t="str">
        <f>HYPERLINK("http://dx.doi.org/10.1002/aisy.202300136","http://dx.doi.org/10.1002/aisy.202300136")</f>
        <v>http://dx.doi.org/10.1002/aisy.202300136</v>
      </c>
      <c r="BG879" t="s">
        <v>74</v>
      </c>
      <c r="BH879" t="s">
        <v>7524</v>
      </c>
      <c r="BI879">
        <v>19</v>
      </c>
      <c r="BJ879" t="s">
        <v>7697</v>
      </c>
      <c r="BK879" t="s">
        <v>119</v>
      </c>
      <c r="BL879" t="s">
        <v>7698</v>
      </c>
      <c r="BM879" t="s">
        <v>16398</v>
      </c>
      <c r="BN879" t="s">
        <v>74</v>
      </c>
      <c r="BO879" t="s">
        <v>234</v>
      </c>
      <c r="BP879" t="s">
        <v>74</v>
      </c>
      <c r="BQ879" t="s">
        <v>74</v>
      </c>
      <c r="BR879" t="s">
        <v>99</v>
      </c>
      <c r="BS879" t="s">
        <v>16399</v>
      </c>
      <c r="BT879" t="str">
        <f>HYPERLINK("https%3A%2F%2Fwww.webofscience.com%2Fwos%2Fwoscc%2Ffull-record%2FWOS:001040673300001","View Full Record in Web of Science")</f>
        <v>View Full Record in Web of Science</v>
      </c>
    </row>
    <row r="880" spans="1:72" x14ac:dyDescent="0.15">
      <c r="A880" t="s">
        <v>72</v>
      </c>
      <c r="B880" t="s">
        <v>16400</v>
      </c>
      <c r="C880" t="s">
        <v>74</v>
      </c>
      <c r="D880" t="s">
        <v>74</v>
      </c>
      <c r="E880" t="s">
        <v>74</v>
      </c>
      <c r="F880" t="s">
        <v>16401</v>
      </c>
      <c r="G880" t="s">
        <v>74</v>
      </c>
      <c r="H880" t="s">
        <v>74</v>
      </c>
      <c r="I880" t="s">
        <v>16402</v>
      </c>
      <c r="J880" t="s">
        <v>218</v>
      </c>
      <c r="K880" t="s">
        <v>74</v>
      </c>
      <c r="L880" t="s">
        <v>74</v>
      </c>
      <c r="M880" t="s">
        <v>78</v>
      </c>
      <c r="N880" t="s">
        <v>79</v>
      </c>
      <c r="O880" t="s">
        <v>74</v>
      </c>
      <c r="P880" t="s">
        <v>74</v>
      </c>
      <c r="Q880" t="s">
        <v>74</v>
      </c>
      <c r="R880" t="s">
        <v>74</v>
      </c>
      <c r="S880" t="s">
        <v>74</v>
      </c>
      <c r="T880" t="s">
        <v>16403</v>
      </c>
      <c r="U880" t="s">
        <v>16404</v>
      </c>
      <c r="V880" t="s">
        <v>16405</v>
      </c>
      <c r="W880" t="s">
        <v>16406</v>
      </c>
      <c r="X880" t="s">
        <v>16407</v>
      </c>
      <c r="Y880" t="s">
        <v>16408</v>
      </c>
      <c r="Z880" t="s">
        <v>16409</v>
      </c>
      <c r="AA880" t="s">
        <v>16410</v>
      </c>
      <c r="AB880" t="s">
        <v>16411</v>
      </c>
      <c r="AC880" t="s">
        <v>16412</v>
      </c>
      <c r="AD880" t="s">
        <v>16413</v>
      </c>
      <c r="AE880" t="s">
        <v>16414</v>
      </c>
      <c r="AF880" t="s">
        <v>74</v>
      </c>
      <c r="AG880">
        <v>45</v>
      </c>
      <c r="AH880">
        <v>0</v>
      </c>
      <c r="AI880">
        <v>0</v>
      </c>
      <c r="AJ880">
        <v>1</v>
      </c>
      <c r="AK880">
        <v>1</v>
      </c>
      <c r="AL880" t="s">
        <v>87</v>
      </c>
      <c r="AM880" t="s">
        <v>88</v>
      </c>
      <c r="AN880" t="s">
        <v>89</v>
      </c>
      <c r="AO880" t="s">
        <v>74</v>
      </c>
      <c r="AP880" t="s">
        <v>227</v>
      </c>
      <c r="AQ880" t="s">
        <v>74</v>
      </c>
      <c r="AR880" t="s">
        <v>218</v>
      </c>
      <c r="AS880" t="s">
        <v>228</v>
      </c>
      <c r="AT880" t="s">
        <v>11302</v>
      </c>
      <c r="AU880">
        <v>2023</v>
      </c>
      <c r="AV880">
        <v>4</v>
      </c>
      <c r="AW880">
        <v>4</v>
      </c>
      <c r="AX880" t="s">
        <v>74</v>
      </c>
      <c r="AY880" t="s">
        <v>74</v>
      </c>
      <c r="AZ880" t="s">
        <v>74</v>
      </c>
      <c r="BA880" t="s">
        <v>74</v>
      </c>
      <c r="BB880" t="s">
        <v>74</v>
      </c>
      <c r="BC880" t="s">
        <v>74</v>
      </c>
      <c r="BD880" t="s">
        <v>16415</v>
      </c>
      <c r="BE880" t="s">
        <v>16416</v>
      </c>
      <c r="BF880" t="str">
        <f>HYPERLINK("http://dx.doi.org/10.1002/mco2.320","http://dx.doi.org/10.1002/mco2.320")</f>
        <v>http://dx.doi.org/10.1002/mco2.320</v>
      </c>
      <c r="BG880" t="s">
        <v>74</v>
      </c>
      <c r="BH880" t="s">
        <v>74</v>
      </c>
      <c r="BI880">
        <v>13</v>
      </c>
      <c r="BJ880" t="s">
        <v>231</v>
      </c>
      <c r="BK880" t="s">
        <v>96</v>
      </c>
      <c r="BL880" t="s">
        <v>232</v>
      </c>
      <c r="BM880" t="s">
        <v>16417</v>
      </c>
      <c r="BN880">
        <v>37426678</v>
      </c>
      <c r="BO880" t="s">
        <v>98</v>
      </c>
      <c r="BP880" t="s">
        <v>74</v>
      </c>
      <c r="BQ880" t="s">
        <v>74</v>
      </c>
      <c r="BR880" t="s">
        <v>99</v>
      </c>
      <c r="BS880" t="s">
        <v>16418</v>
      </c>
      <c r="BT880" t="str">
        <f>HYPERLINK("https%3A%2F%2Fwww.webofscience.com%2Fwos%2Fwoscc%2Ffull-record%2FWOS:001030450200001","View Full Record in Web of Science")</f>
        <v>View Full Record in Web of Science</v>
      </c>
    </row>
    <row r="881" spans="1:72" x14ac:dyDescent="0.15">
      <c r="A881" t="s">
        <v>72</v>
      </c>
      <c r="B881" t="s">
        <v>16419</v>
      </c>
      <c r="C881" t="s">
        <v>74</v>
      </c>
      <c r="D881" t="s">
        <v>74</v>
      </c>
      <c r="E881" t="s">
        <v>74</v>
      </c>
      <c r="F881" t="s">
        <v>16420</v>
      </c>
      <c r="G881" t="s">
        <v>74</v>
      </c>
      <c r="H881" t="s">
        <v>74</v>
      </c>
      <c r="I881" t="s">
        <v>16421</v>
      </c>
      <c r="J881" t="s">
        <v>218</v>
      </c>
      <c r="K881" t="s">
        <v>74</v>
      </c>
      <c r="L881" t="s">
        <v>74</v>
      </c>
      <c r="M881" t="s">
        <v>78</v>
      </c>
      <c r="N881" t="s">
        <v>288</v>
      </c>
      <c r="O881" t="s">
        <v>74</v>
      </c>
      <c r="P881" t="s">
        <v>74</v>
      </c>
      <c r="Q881" t="s">
        <v>74</v>
      </c>
      <c r="R881" t="s">
        <v>74</v>
      </c>
      <c r="S881" t="s">
        <v>74</v>
      </c>
      <c r="T881" t="s">
        <v>74</v>
      </c>
      <c r="U881" t="s">
        <v>74</v>
      </c>
      <c r="V881" t="s">
        <v>74</v>
      </c>
      <c r="W881" t="s">
        <v>16422</v>
      </c>
      <c r="X881" t="s">
        <v>16423</v>
      </c>
      <c r="Y881" t="s">
        <v>16424</v>
      </c>
      <c r="Z881" t="s">
        <v>16425</v>
      </c>
      <c r="AA881" t="s">
        <v>16426</v>
      </c>
      <c r="AB881" t="s">
        <v>16427</v>
      </c>
      <c r="AC881" t="s">
        <v>74</v>
      </c>
      <c r="AD881" t="s">
        <v>74</v>
      </c>
      <c r="AE881" t="s">
        <v>74</v>
      </c>
      <c r="AF881" t="s">
        <v>74</v>
      </c>
      <c r="AG881">
        <v>4</v>
      </c>
      <c r="AH881">
        <v>0</v>
      </c>
      <c r="AI881">
        <v>0</v>
      </c>
      <c r="AJ881">
        <v>2</v>
      </c>
      <c r="AK881">
        <v>2</v>
      </c>
      <c r="AL881" t="s">
        <v>87</v>
      </c>
      <c r="AM881" t="s">
        <v>88</v>
      </c>
      <c r="AN881" t="s">
        <v>89</v>
      </c>
      <c r="AO881" t="s">
        <v>74</v>
      </c>
      <c r="AP881" t="s">
        <v>227</v>
      </c>
      <c r="AQ881" t="s">
        <v>74</v>
      </c>
      <c r="AR881" t="s">
        <v>218</v>
      </c>
      <c r="AS881" t="s">
        <v>228</v>
      </c>
      <c r="AT881" t="s">
        <v>11302</v>
      </c>
      <c r="AU881">
        <v>2023</v>
      </c>
      <c r="AV881">
        <v>4</v>
      </c>
      <c r="AW881">
        <v>4</v>
      </c>
      <c r="AX881" t="s">
        <v>74</v>
      </c>
      <c r="AY881" t="s">
        <v>74</v>
      </c>
      <c r="AZ881" t="s">
        <v>74</v>
      </c>
      <c r="BA881" t="s">
        <v>74</v>
      </c>
      <c r="BB881" t="s">
        <v>74</v>
      </c>
      <c r="BC881" t="s">
        <v>74</v>
      </c>
      <c r="BD881" t="s">
        <v>16428</v>
      </c>
      <c r="BE881" t="s">
        <v>16429</v>
      </c>
      <c r="BF881" t="str">
        <f>HYPERLINK("http://dx.doi.org/10.1002/mco2.324","http://dx.doi.org/10.1002/mco2.324")</f>
        <v>http://dx.doi.org/10.1002/mco2.324</v>
      </c>
      <c r="BG881" t="s">
        <v>74</v>
      </c>
      <c r="BH881" t="s">
        <v>74</v>
      </c>
      <c r="BI881">
        <v>4</v>
      </c>
      <c r="BJ881" t="s">
        <v>231</v>
      </c>
      <c r="BK881" t="s">
        <v>96</v>
      </c>
      <c r="BL881" t="s">
        <v>232</v>
      </c>
      <c r="BM881" t="s">
        <v>16430</v>
      </c>
      <c r="BN881">
        <v>37409109</v>
      </c>
      <c r="BO881" t="s">
        <v>98</v>
      </c>
      <c r="BP881" t="s">
        <v>74</v>
      </c>
      <c r="BQ881" t="s">
        <v>74</v>
      </c>
      <c r="BR881" t="s">
        <v>99</v>
      </c>
      <c r="BS881" t="s">
        <v>16431</v>
      </c>
      <c r="BT881" t="str">
        <f>HYPERLINK("https%3A%2F%2Fwww.webofscience.com%2Fwos%2Fwoscc%2Ffull-record%2FWOS:001022839700001","View Full Record in Web of Science")</f>
        <v>View Full Record in Web of Science</v>
      </c>
    </row>
    <row r="882" spans="1:72" x14ac:dyDescent="0.15">
      <c r="A882" t="s">
        <v>72</v>
      </c>
      <c r="B882" t="s">
        <v>16432</v>
      </c>
      <c r="C882" t="s">
        <v>74</v>
      </c>
      <c r="D882" t="s">
        <v>74</v>
      </c>
      <c r="E882" t="s">
        <v>74</v>
      </c>
      <c r="F882" t="s">
        <v>16433</v>
      </c>
      <c r="G882" t="s">
        <v>74</v>
      </c>
      <c r="H882" t="s">
        <v>74</v>
      </c>
      <c r="I882" t="s">
        <v>16434</v>
      </c>
      <c r="J882" t="s">
        <v>7021</v>
      </c>
      <c r="K882" t="s">
        <v>74</v>
      </c>
      <c r="L882" t="s">
        <v>74</v>
      </c>
      <c r="M882" t="s">
        <v>78</v>
      </c>
      <c r="N882" t="s">
        <v>79</v>
      </c>
      <c r="O882" t="s">
        <v>74</v>
      </c>
      <c r="P882" t="s">
        <v>74</v>
      </c>
      <c r="Q882" t="s">
        <v>74</v>
      </c>
      <c r="R882" t="s">
        <v>74</v>
      </c>
      <c r="S882" t="s">
        <v>74</v>
      </c>
      <c r="T882" t="s">
        <v>16435</v>
      </c>
      <c r="U882" t="s">
        <v>16436</v>
      </c>
      <c r="V882" t="s">
        <v>16437</v>
      </c>
      <c r="W882" t="s">
        <v>16438</v>
      </c>
      <c r="X882" t="s">
        <v>16439</v>
      </c>
      <c r="Y882" t="s">
        <v>16440</v>
      </c>
      <c r="Z882" t="s">
        <v>16441</v>
      </c>
      <c r="AA882" t="s">
        <v>16442</v>
      </c>
      <c r="AB882" t="s">
        <v>16443</v>
      </c>
      <c r="AC882" t="s">
        <v>16444</v>
      </c>
      <c r="AD882" t="s">
        <v>3742</v>
      </c>
      <c r="AE882" t="s">
        <v>16445</v>
      </c>
      <c r="AF882" t="s">
        <v>74</v>
      </c>
      <c r="AG882">
        <v>54</v>
      </c>
      <c r="AH882">
        <v>0</v>
      </c>
      <c r="AI882">
        <v>0</v>
      </c>
      <c r="AJ882">
        <v>7</v>
      </c>
      <c r="AK882">
        <v>7</v>
      </c>
      <c r="AL882" t="s">
        <v>87</v>
      </c>
      <c r="AM882" t="s">
        <v>88</v>
      </c>
      <c r="AN882" t="s">
        <v>89</v>
      </c>
      <c r="AO882" t="s">
        <v>7031</v>
      </c>
      <c r="AP882" t="s">
        <v>7032</v>
      </c>
      <c r="AQ882" t="s">
        <v>74</v>
      </c>
      <c r="AR882" t="s">
        <v>7033</v>
      </c>
      <c r="AS882" t="s">
        <v>7034</v>
      </c>
      <c r="AT882" t="s">
        <v>11302</v>
      </c>
      <c r="AU882">
        <v>2023</v>
      </c>
      <c r="AV882">
        <v>51</v>
      </c>
      <c r="AW882">
        <v>8</v>
      </c>
      <c r="AX882" t="s">
        <v>74</v>
      </c>
      <c r="AY882" t="s">
        <v>74</v>
      </c>
      <c r="AZ882" t="s">
        <v>74</v>
      </c>
      <c r="BA882" t="s">
        <v>74</v>
      </c>
      <c r="BB882">
        <v>3880</v>
      </c>
      <c r="BC882">
        <v>3896</v>
      </c>
      <c r="BD882" t="s">
        <v>74</v>
      </c>
      <c r="BE882" t="s">
        <v>16446</v>
      </c>
      <c r="BF882" t="str">
        <f>HYPERLINK("http://dx.doi.org/10.1002/cta.3624","http://dx.doi.org/10.1002/cta.3624")</f>
        <v>http://dx.doi.org/10.1002/cta.3624</v>
      </c>
      <c r="BG882" t="s">
        <v>74</v>
      </c>
      <c r="BH882" t="s">
        <v>74</v>
      </c>
      <c r="BI882">
        <v>17</v>
      </c>
      <c r="BJ882" t="s">
        <v>1249</v>
      </c>
      <c r="BK882" t="s">
        <v>119</v>
      </c>
      <c r="BL882" t="s">
        <v>1250</v>
      </c>
      <c r="BM882" t="s">
        <v>16447</v>
      </c>
      <c r="BN882" t="s">
        <v>74</v>
      </c>
      <c r="BO882" t="s">
        <v>74</v>
      </c>
      <c r="BP882" t="s">
        <v>74</v>
      </c>
      <c r="BQ882" t="s">
        <v>74</v>
      </c>
      <c r="BR882" t="s">
        <v>99</v>
      </c>
      <c r="BS882" t="s">
        <v>16448</v>
      </c>
      <c r="BT882" t="str">
        <f>HYPERLINK("https%3A%2F%2Fwww.webofscience.com%2Fwos%2Fwoscc%2Ffull-record%2FWOS:001042870500020","View Full Record in Web of Science")</f>
        <v>View Full Record in Web of Science</v>
      </c>
    </row>
    <row r="883" spans="1:72" x14ac:dyDescent="0.15">
      <c r="A883" t="s">
        <v>72</v>
      </c>
      <c r="B883" t="s">
        <v>16449</v>
      </c>
      <c r="C883" t="s">
        <v>74</v>
      </c>
      <c r="D883" t="s">
        <v>74</v>
      </c>
      <c r="E883" t="s">
        <v>74</v>
      </c>
      <c r="F883" t="s">
        <v>16450</v>
      </c>
      <c r="G883" t="s">
        <v>74</v>
      </c>
      <c r="H883" t="s">
        <v>74</v>
      </c>
      <c r="I883" t="s">
        <v>16451</v>
      </c>
      <c r="J883" t="s">
        <v>14746</v>
      </c>
      <c r="K883" t="s">
        <v>74</v>
      </c>
      <c r="L883" t="s">
        <v>74</v>
      </c>
      <c r="M883" t="s">
        <v>78</v>
      </c>
      <c r="N883" t="s">
        <v>52</v>
      </c>
      <c r="O883" t="s">
        <v>74</v>
      </c>
      <c r="P883" t="s">
        <v>74</v>
      </c>
      <c r="Q883" t="s">
        <v>74</v>
      </c>
      <c r="R883" t="s">
        <v>74</v>
      </c>
      <c r="S883" t="s">
        <v>74</v>
      </c>
      <c r="T883" t="s">
        <v>74</v>
      </c>
      <c r="U883" t="s">
        <v>74</v>
      </c>
      <c r="V883" t="s">
        <v>74</v>
      </c>
      <c r="W883" t="s">
        <v>16452</v>
      </c>
      <c r="X883" t="s">
        <v>16453</v>
      </c>
      <c r="Y883" t="s">
        <v>74</v>
      </c>
      <c r="Z883" t="s">
        <v>74</v>
      </c>
      <c r="AA883" t="s">
        <v>74</v>
      </c>
      <c r="AB883" t="s">
        <v>74</v>
      </c>
      <c r="AC883" t="s">
        <v>74</v>
      </c>
      <c r="AD883" t="s">
        <v>74</v>
      </c>
      <c r="AE883" t="s">
        <v>74</v>
      </c>
      <c r="AF883" t="s">
        <v>74</v>
      </c>
      <c r="AG883">
        <v>0</v>
      </c>
      <c r="AH883">
        <v>0</v>
      </c>
      <c r="AI883">
        <v>0</v>
      </c>
      <c r="AJ883">
        <v>0</v>
      </c>
      <c r="AK883">
        <v>0</v>
      </c>
      <c r="AL883" t="s">
        <v>87</v>
      </c>
      <c r="AM883" t="s">
        <v>88</v>
      </c>
      <c r="AN883" t="s">
        <v>89</v>
      </c>
      <c r="AO883" t="s">
        <v>14757</v>
      </c>
      <c r="AP883" t="s">
        <v>14758</v>
      </c>
      <c r="AQ883" t="s">
        <v>74</v>
      </c>
      <c r="AR883" t="s">
        <v>14759</v>
      </c>
      <c r="AS883" t="s">
        <v>14760</v>
      </c>
      <c r="AT883" t="s">
        <v>11302</v>
      </c>
      <c r="AU883">
        <v>2023</v>
      </c>
      <c r="AV883">
        <v>35</v>
      </c>
      <c r="AW883" t="s">
        <v>74</v>
      </c>
      <c r="AX883" t="s">
        <v>74</v>
      </c>
      <c r="AY883">
        <v>1</v>
      </c>
      <c r="AZ883" t="s">
        <v>9665</v>
      </c>
      <c r="BA883">
        <v>13</v>
      </c>
      <c r="BB883" t="s">
        <v>74</v>
      </c>
      <c r="BC883" t="s">
        <v>74</v>
      </c>
      <c r="BD883" t="s">
        <v>74</v>
      </c>
      <c r="BE883" t="s">
        <v>74</v>
      </c>
      <c r="BF883" t="s">
        <v>74</v>
      </c>
      <c r="BG883" t="s">
        <v>74</v>
      </c>
      <c r="BH883" t="s">
        <v>74</v>
      </c>
      <c r="BI883">
        <v>1</v>
      </c>
      <c r="BJ883" t="s">
        <v>14762</v>
      </c>
      <c r="BK883" t="s">
        <v>119</v>
      </c>
      <c r="BL883" t="s">
        <v>14763</v>
      </c>
      <c r="BM883" t="s">
        <v>15394</v>
      </c>
      <c r="BN883" t="s">
        <v>74</v>
      </c>
      <c r="BO883" t="s">
        <v>74</v>
      </c>
      <c r="BP883" t="s">
        <v>74</v>
      </c>
      <c r="BQ883" t="s">
        <v>74</v>
      </c>
      <c r="BR883" t="s">
        <v>99</v>
      </c>
      <c r="BS883" t="s">
        <v>16454</v>
      </c>
      <c r="BT883" t="str">
        <f>HYPERLINK("https%3A%2F%2Fwww.webofscience.com%2Fwos%2Fwoscc%2Ffull-record%2FWOS:001058869800015","View Full Record in Web of Science")</f>
        <v>View Full Record in Web of Science</v>
      </c>
    </row>
    <row r="884" spans="1:72" x14ac:dyDescent="0.15">
      <c r="A884" t="s">
        <v>72</v>
      </c>
      <c r="B884" t="s">
        <v>16455</v>
      </c>
      <c r="C884" t="s">
        <v>74</v>
      </c>
      <c r="D884" t="s">
        <v>74</v>
      </c>
      <c r="E884" t="s">
        <v>74</v>
      </c>
      <c r="F884" t="s">
        <v>16456</v>
      </c>
      <c r="G884" t="s">
        <v>74</v>
      </c>
      <c r="H884" t="s">
        <v>74</v>
      </c>
      <c r="I884" t="s">
        <v>16457</v>
      </c>
      <c r="J884" t="s">
        <v>16458</v>
      </c>
      <c r="K884" t="s">
        <v>74</v>
      </c>
      <c r="L884" t="s">
        <v>74</v>
      </c>
      <c r="M884" t="s">
        <v>78</v>
      </c>
      <c r="N884" t="s">
        <v>79</v>
      </c>
      <c r="O884" t="s">
        <v>74</v>
      </c>
      <c r="P884" t="s">
        <v>74</v>
      </c>
      <c r="Q884" t="s">
        <v>74</v>
      </c>
      <c r="R884" t="s">
        <v>74</v>
      </c>
      <c r="S884" t="s">
        <v>74</v>
      </c>
      <c r="T884" t="s">
        <v>16459</v>
      </c>
      <c r="U884" t="s">
        <v>16460</v>
      </c>
      <c r="V884" t="s">
        <v>16461</v>
      </c>
      <c r="W884" t="s">
        <v>16462</v>
      </c>
      <c r="X884" t="s">
        <v>16463</v>
      </c>
      <c r="Y884" t="s">
        <v>16464</v>
      </c>
      <c r="Z884" t="s">
        <v>16465</v>
      </c>
      <c r="AA884" t="s">
        <v>16466</v>
      </c>
      <c r="AB884" t="s">
        <v>16467</v>
      </c>
      <c r="AC884" t="s">
        <v>16468</v>
      </c>
      <c r="AD884" t="s">
        <v>16469</v>
      </c>
      <c r="AE884" t="s">
        <v>16470</v>
      </c>
      <c r="AF884" t="s">
        <v>74</v>
      </c>
      <c r="AG884">
        <v>38</v>
      </c>
      <c r="AH884">
        <v>0</v>
      </c>
      <c r="AI884">
        <v>0</v>
      </c>
      <c r="AJ884">
        <v>1</v>
      </c>
      <c r="AK884">
        <v>1</v>
      </c>
      <c r="AL884" t="s">
        <v>426</v>
      </c>
      <c r="AM884" t="s">
        <v>427</v>
      </c>
      <c r="AN884" t="s">
        <v>428</v>
      </c>
      <c r="AO884" t="s">
        <v>16471</v>
      </c>
      <c r="AP884" t="s">
        <v>74</v>
      </c>
      <c r="AQ884" t="s">
        <v>74</v>
      </c>
      <c r="AR884" t="s">
        <v>16458</v>
      </c>
      <c r="AS884" t="s">
        <v>16472</v>
      </c>
      <c r="AT884" t="s">
        <v>11302</v>
      </c>
      <c r="AU884">
        <v>2023</v>
      </c>
      <c r="AV884">
        <v>88</v>
      </c>
      <c r="AW884">
        <v>8</v>
      </c>
      <c r="AX884" t="s">
        <v>74</v>
      </c>
      <c r="AY884" t="s">
        <v>74</v>
      </c>
      <c r="AZ884" t="s">
        <v>74</v>
      </c>
      <c r="BA884" t="s">
        <v>74</v>
      </c>
      <c r="BB884" t="s">
        <v>74</v>
      </c>
      <c r="BC884" t="s">
        <v>74</v>
      </c>
      <c r="BD884" t="s">
        <v>16473</v>
      </c>
      <c r="BE884" t="s">
        <v>16474</v>
      </c>
      <c r="BF884" t="str">
        <f>HYPERLINK("http://dx.doi.org/10.1002/cplu.202300339","http://dx.doi.org/10.1002/cplu.202300339")</f>
        <v>http://dx.doi.org/10.1002/cplu.202300339</v>
      </c>
      <c r="BG884" t="s">
        <v>74</v>
      </c>
      <c r="BH884" t="s">
        <v>74</v>
      </c>
      <c r="BI884">
        <v>6</v>
      </c>
      <c r="BJ884" t="s">
        <v>523</v>
      </c>
      <c r="BK884" t="s">
        <v>7800</v>
      </c>
      <c r="BL884" t="s">
        <v>524</v>
      </c>
      <c r="BM884" t="s">
        <v>16475</v>
      </c>
      <c r="BN884">
        <v>37492977</v>
      </c>
      <c r="BO884" t="s">
        <v>74</v>
      </c>
      <c r="BP884" t="s">
        <v>74</v>
      </c>
      <c r="BQ884" t="s">
        <v>74</v>
      </c>
      <c r="BR884" t="s">
        <v>99</v>
      </c>
      <c r="BS884" t="s">
        <v>16476</v>
      </c>
      <c r="BT884" t="str">
        <f>HYPERLINK("https%3A%2F%2Fwww.webofscience.com%2Fwos%2Fwoscc%2Ffull-record%2FWOS:001044165500001","View Full Record in Web of Science")</f>
        <v>View Full Record in Web of Science</v>
      </c>
    </row>
    <row r="885" spans="1:72" x14ac:dyDescent="0.15">
      <c r="A885" t="s">
        <v>72</v>
      </c>
      <c r="B885" t="s">
        <v>16477</v>
      </c>
      <c r="C885" t="s">
        <v>74</v>
      </c>
      <c r="D885" t="s">
        <v>74</v>
      </c>
      <c r="E885" t="s">
        <v>74</v>
      </c>
      <c r="F885" t="s">
        <v>16478</v>
      </c>
      <c r="G885" t="s">
        <v>74</v>
      </c>
      <c r="H885" t="s">
        <v>74</v>
      </c>
      <c r="I885" t="s">
        <v>16479</v>
      </c>
      <c r="J885" t="s">
        <v>3347</v>
      </c>
      <c r="K885" t="s">
        <v>74</v>
      </c>
      <c r="L885" t="s">
        <v>74</v>
      </c>
      <c r="M885" t="s">
        <v>78</v>
      </c>
      <c r="N885" t="s">
        <v>79</v>
      </c>
      <c r="O885" t="s">
        <v>74</v>
      </c>
      <c r="P885" t="s">
        <v>74</v>
      </c>
      <c r="Q885" t="s">
        <v>74</v>
      </c>
      <c r="R885" t="s">
        <v>74</v>
      </c>
      <c r="S885" t="s">
        <v>74</v>
      </c>
      <c r="T885" t="s">
        <v>16480</v>
      </c>
      <c r="U885" t="s">
        <v>16481</v>
      </c>
      <c r="V885" t="s">
        <v>16482</v>
      </c>
      <c r="W885" t="s">
        <v>16483</v>
      </c>
      <c r="X885" t="s">
        <v>16484</v>
      </c>
      <c r="Y885" t="s">
        <v>16485</v>
      </c>
      <c r="Z885" t="s">
        <v>16486</v>
      </c>
      <c r="AA885" t="s">
        <v>74</v>
      </c>
      <c r="AB885" t="s">
        <v>16487</v>
      </c>
      <c r="AC885" t="s">
        <v>16488</v>
      </c>
      <c r="AD885" t="s">
        <v>16489</v>
      </c>
      <c r="AE885" t="s">
        <v>16490</v>
      </c>
      <c r="AF885" t="s">
        <v>74</v>
      </c>
      <c r="AG885">
        <v>42</v>
      </c>
      <c r="AH885">
        <v>0</v>
      </c>
      <c r="AI885">
        <v>0</v>
      </c>
      <c r="AJ885">
        <v>13</v>
      </c>
      <c r="AK885">
        <v>13</v>
      </c>
      <c r="AL885" t="s">
        <v>426</v>
      </c>
      <c r="AM885" t="s">
        <v>427</v>
      </c>
      <c r="AN885" t="s">
        <v>428</v>
      </c>
      <c r="AO885" t="s">
        <v>3358</v>
      </c>
      <c r="AP885" t="s">
        <v>3359</v>
      </c>
      <c r="AQ885" t="s">
        <v>74</v>
      </c>
      <c r="AR885" t="s">
        <v>3347</v>
      </c>
      <c r="AS885" t="s">
        <v>3360</v>
      </c>
      <c r="AT885" t="s">
        <v>16491</v>
      </c>
      <c r="AU885">
        <v>2023</v>
      </c>
      <c r="AV885">
        <v>24</v>
      </c>
      <c r="AW885">
        <v>17</v>
      </c>
      <c r="AX885" t="s">
        <v>74</v>
      </c>
      <c r="AY885" t="s">
        <v>74</v>
      </c>
      <c r="AZ885" t="s">
        <v>74</v>
      </c>
      <c r="BA885" t="s">
        <v>74</v>
      </c>
      <c r="BB885" t="s">
        <v>74</v>
      </c>
      <c r="BC885" t="s">
        <v>74</v>
      </c>
      <c r="BD885" t="s">
        <v>74</v>
      </c>
      <c r="BE885" t="s">
        <v>16492</v>
      </c>
      <c r="BF885" t="str">
        <f>HYPERLINK("http://dx.doi.org/10.1002/cbic.202300422","http://dx.doi.org/10.1002/cbic.202300422")</f>
        <v>http://dx.doi.org/10.1002/cbic.202300422</v>
      </c>
      <c r="BG885" t="s">
        <v>74</v>
      </c>
      <c r="BH885" t="s">
        <v>7524</v>
      </c>
      <c r="BI885">
        <v>7</v>
      </c>
      <c r="BJ885" t="s">
        <v>3363</v>
      </c>
      <c r="BK885" t="s">
        <v>119</v>
      </c>
      <c r="BL885" t="s">
        <v>3364</v>
      </c>
      <c r="BM885" t="s">
        <v>16493</v>
      </c>
      <c r="BN885">
        <v>37462478</v>
      </c>
      <c r="BO885" t="s">
        <v>301</v>
      </c>
      <c r="BP885" t="s">
        <v>74</v>
      </c>
      <c r="BQ885" t="s">
        <v>74</v>
      </c>
      <c r="BR885" t="s">
        <v>99</v>
      </c>
      <c r="BS885" t="s">
        <v>16494</v>
      </c>
      <c r="BT885" t="str">
        <f>HYPERLINK("https%3A%2F%2Fwww.webofscience.com%2Fwos%2Fwoscc%2Ffull-record%2FWOS:001038359500001","View Full Record in Web of Science")</f>
        <v>View Full Record in Web of Science</v>
      </c>
    </row>
    <row r="886" spans="1:72" x14ac:dyDescent="0.15">
      <c r="A886" t="s">
        <v>72</v>
      </c>
      <c r="B886" t="s">
        <v>16495</v>
      </c>
      <c r="C886" t="s">
        <v>74</v>
      </c>
      <c r="D886" t="s">
        <v>74</v>
      </c>
      <c r="E886" t="s">
        <v>74</v>
      </c>
      <c r="F886" t="s">
        <v>16496</v>
      </c>
      <c r="G886" t="s">
        <v>74</v>
      </c>
      <c r="H886" t="s">
        <v>74</v>
      </c>
      <c r="I886" t="s">
        <v>16497</v>
      </c>
      <c r="J886" t="s">
        <v>218</v>
      </c>
      <c r="K886" t="s">
        <v>74</v>
      </c>
      <c r="L886" t="s">
        <v>74</v>
      </c>
      <c r="M886" t="s">
        <v>78</v>
      </c>
      <c r="N886" t="s">
        <v>79</v>
      </c>
      <c r="O886" t="s">
        <v>74</v>
      </c>
      <c r="P886" t="s">
        <v>74</v>
      </c>
      <c r="Q886" t="s">
        <v>74</v>
      </c>
      <c r="R886" t="s">
        <v>74</v>
      </c>
      <c r="S886" t="s">
        <v>74</v>
      </c>
      <c r="T886" t="s">
        <v>16498</v>
      </c>
      <c r="U886" t="s">
        <v>16499</v>
      </c>
      <c r="V886" t="s">
        <v>16500</v>
      </c>
      <c r="W886" t="s">
        <v>16501</v>
      </c>
      <c r="X886" t="s">
        <v>16502</v>
      </c>
      <c r="Y886" t="s">
        <v>16503</v>
      </c>
      <c r="Z886" t="s">
        <v>16504</v>
      </c>
      <c r="AA886" t="s">
        <v>16505</v>
      </c>
      <c r="AB886" t="s">
        <v>16506</v>
      </c>
      <c r="AC886" t="s">
        <v>16507</v>
      </c>
      <c r="AD886" t="s">
        <v>16508</v>
      </c>
      <c r="AE886" t="s">
        <v>16509</v>
      </c>
      <c r="AF886" t="s">
        <v>74</v>
      </c>
      <c r="AG886">
        <v>90</v>
      </c>
      <c r="AH886">
        <v>0</v>
      </c>
      <c r="AI886">
        <v>0</v>
      </c>
      <c r="AJ886">
        <v>7</v>
      </c>
      <c r="AK886">
        <v>7</v>
      </c>
      <c r="AL886" t="s">
        <v>87</v>
      </c>
      <c r="AM886" t="s">
        <v>88</v>
      </c>
      <c r="AN886" t="s">
        <v>89</v>
      </c>
      <c r="AO886" t="s">
        <v>74</v>
      </c>
      <c r="AP886" t="s">
        <v>227</v>
      </c>
      <c r="AQ886" t="s">
        <v>74</v>
      </c>
      <c r="AR886" t="s">
        <v>218</v>
      </c>
      <c r="AS886" t="s">
        <v>228</v>
      </c>
      <c r="AT886" t="s">
        <v>11302</v>
      </c>
      <c r="AU886">
        <v>2023</v>
      </c>
      <c r="AV886">
        <v>4</v>
      </c>
      <c r="AW886">
        <v>4</v>
      </c>
      <c r="AX886" t="s">
        <v>74</v>
      </c>
      <c r="AY886" t="s">
        <v>74</v>
      </c>
      <c r="AZ886" t="s">
        <v>74</v>
      </c>
      <c r="BA886" t="s">
        <v>74</v>
      </c>
      <c r="BB886" t="s">
        <v>74</v>
      </c>
      <c r="BC886" t="s">
        <v>74</v>
      </c>
      <c r="BD886" t="s">
        <v>16510</v>
      </c>
      <c r="BE886" t="s">
        <v>16511</v>
      </c>
      <c r="BF886" t="str">
        <f>HYPERLINK("http://dx.doi.org/10.1002/mco2.317","http://dx.doi.org/10.1002/mco2.317")</f>
        <v>http://dx.doi.org/10.1002/mco2.317</v>
      </c>
      <c r="BG886" t="s">
        <v>74</v>
      </c>
      <c r="BH886" t="s">
        <v>74</v>
      </c>
      <c r="BI886">
        <v>23</v>
      </c>
      <c r="BJ886" t="s">
        <v>231</v>
      </c>
      <c r="BK886" t="s">
        <v>96</v>
      </c>
      <c r="BL886" t="s">
        <v>232</v>
      </c>
      <c r="BM886" t="s">
        <v>16512</v>
      </c>
      <c r="BN886">
        <v>37457661</v>
      </c>
      <c r="BO886" t="s">
        <v>98</v>
      </c>
      <c r="BP886" t="s">
        <v>74</v>
      </c>
      <c r="BQ886" t="s">
        <v>74</v>
      </c>
      <c r="BR886" t="s">
        <v>99</v>
      </c>
      <c r="BS886" t="s">
        <v>16513</v>
      </c>
      <c r="BT886" t="str">
        <f>HYPERLINK("https%3A%2F%2Fwww.webofscience.com%2Fwos%2Fwoscc%2Ffull-record%2FWOS:001031582900001","View Full Record in Web of Science")</f>
        <v>View Full Record in Web of Science</v>
      </c>
    </row>
    <row r="887" spans="1:72" x14ac:dyDescent="0.15">
      <c r="A887" t="s">
        <v>72</v>
      </c>
      <c r="B887" t="s">
        <v>16514</v>
      </c>
      <c r="C887" t="s">
        <v>74</v>
      </c>
      <c r="D887" t="s">
        <v>74</v>
      </c>
      <c r="E887" t="s">
        <v>74</v>
      </c>
      <c r="F887" t="s">
        <v>16515</v>
      </c>
      <c r="G887" t="s">
        <v>74</v>
      </c>
      <c r="H887" t="s">
        <v>74</v>
      </c>
      <c r="I887" t="s">
        <v>16516</v>
      </c>
      <c r="J887" t="s">
        <v>15749</v>
      </c>
      <c r="K887" t="s">
        <v>74</v>
      </c>
      <c r="L887" t="s">
        <v>74</v>
      </c>
      <c r="M887" t="s">
        <v>78</v>
      </c>
      <c r="N887" t="s">
        <v>79</v>
      </c>
      <c r="O887" t="s">
        <v>74</v>
      </c>
      <c r="P887" t="s">
        <v>74</v>
      </c>
      <c r="Q887" t="s">
        <v>74</v>
      </c>
      <c r="R887" t="s">
        <v>74</v>
      </c>
      <c r="S887" t="s">
        <v>74</v>
      </c>
      <c r="T887" t="s">
        <v>74</v>
      </c>
      <c r="U887" t="s">
        <v>16517</v>
      </c>
      <c r="V887" t="s">
        <v>16518</v>
      </c>
      <c r="W887" t="s">
        <v>16519</v>
      </c>
      <c r="X887" t="s">
        <v>16520</v>
      </c>
      <c r="Y887" t="s">
        <v>16521</v>
      </c>
      <c r="Z887" t="s">
        <v>16522</v>
      </c>
      <c r="AA887" t="s">
        <v>74</v>
      </c>
      <c r="AB887" t="s">
        <v>74</v>
      </c>
      <c r="AC887" t="s">
        <v>16523</v>
      </c>
      <c r="AD887" t="s">
        <v>16523</v>
      </c>
      <c r="AE887" t="s">
        <v>16523</v>
      </c>
      <c r="AF887" t="s">
        <v>74</v>
      </c>
      <c r="AG887">
        <v>69</v>
      </c>
      <c r="AH887">
        <v>0</v>
      </c>
      <c r="AI887">
        <v>0</v>
      </c>
      <c r="AJ887">
        <v>0</v>
      </c>
      <c r="AK887">
        <v>0</v>
      </c>
      <c r="AL887" t="s">
        <v>87</v>
      </c>
      <c r="AM887" t="s">
        <v>88</v>
      </c>
      <c r="AN887" t="s">
        <v>89</v>
      </c>
      <c r="AO887" t="s">
        <v>15759</v>
      </c>
      <c r="AP887" t="s">
        <v>15760</v>
      </c>
      <c r="AQ887" t="s">
        <v>74</v>
      </c>
      <c r="AR887" t="s">
        <v>15761</v>
      </c>
      <c r="AS887" t="s">
        <v>15762</v>
      </c>
      <c r="AT887" t="s">
        <v>11302</v>
      </c>
      <c r="AU887">
        <v>2023</v>
      </c>
      <c r="AV887">
        <v>175</v>
      </c>
      <c r="AW887">
        <v>5</v>
      </c>
      <c r="AX887" t="s">
        <v>74</v>
      </c>
      <c r="AY887" t="s">
        <v>74</v>
      </c>
      <c r="AZ887" t="s">
        <v>74</v>
      </c>
      <c r="BA887" t="s">
        <v>74</v>
      </c>
      <c r="BB887" t="s">
        <v>74</v>
      </c>
      <c r="BC887" t="s">
        <v>74</v>
      </c>
      <c r="BD887" t="s">
        <v>16524</v>
      </c>
      <c r="BE887" t="s">
        <v>16525</v>
      </c>
      <c r="BF887" t="str">
        <f>HYPERLINK("http://dx.doi.org/10.1111/ppl.14022","http://dx.doi.org/10.1111/ppl.14022")</f>
        <v>http://dx.doi.org/10.1111/ppl.14022</v>
      </c>
      <c r="BG887" t="s">
        <v>74</v>
      </c>
      <c r="BH887" t="s">
        <v>74</v>
      </c>
      <c r="BI887">
        <v>16</v>
      </c>
      <c r="BJ887" t="s">
        <v>1751</v>
      </c>
      <c r="BK887" t="s">
        <v>119</v>
      </c>
      <c r="BL887" t="s">
        <v>1751</v>
      </c>
      <c r="BM887" t="s">
        <v>16526</v>
      </c>
      <c r="BN887" t="s">
        <v>74</v>
      </c>
      <c r="BO887" t="s">
        <v>301</v>
      </c>
      <c r="BP887" t="s">
        <v>74</v>
      </c>
      <c r="BQ887" t="s">
        <v>74</v>
      </c>
      <c r="BR887" t="s">
        <v>99</v>
      </c>
      <c r="BS887" t="s">
        <v>16527</v>
      </c>
      <c r="BT887" t="str">
        <f>HYPERLINK("https%3A%2F%2Fwww.webofscience.com%2Fwos%2Fwoscc%2Ffull-record%2FWOS:001068917100001","View Full Record in Web of Science")</f>
        <v>View Full Record in Web of Science</v>
      </c>
    </row>
    <row r="888" spans="1:72" x14ac:dyDescent="0.15">
      <c r="A888" t="s">
        <v>72</v>
      </c>
      <c r="B888" t="s">
        <v>16528</v>
      </c>
      <c r="C888" t="s">
        <v>74</v>
      </c>
      <c r="D888" t="s">
        <v>74</v>
      </c>
      <c r="E888" t="s">
        <v>74</v>
      </c>
      <c r="F888" t="s">
        <v>16529</v>
      </c>
      <c r="G888" t="s">
        <v>74</v>
      </c>
      <c r="H888" t="s">
        <v>74</v>
      </c>
      <c r="I888" t="s">
        <v>16530</v>
      </c>
      <c r="J888" t="s">
        <v>6732</v>
      </c>
      <c r="K888" t="s">
        <v>74</v>
      </c>
      <c r="L888" t="s">
        <v>74</v>
      </c>
      <c r="M888" t="s">
        <v>78</v>
      </c>
      <c r="N888" t="s">
        <v>79</v>
      </c>
      <c r="O888" t="s">
        <v>74</v>
      </c>
      <c r="P888" t="s">
        <v>74</v>
      </c>
      <c r="Q888" t="s">
        <v>74</v>
      </c>
      <c r="R888" t="s">
        <v>74</v>
      </c>
      <c r="S888" t="s">
        <v>74</v>
      </c>
      <c r="T888" t="s">
        <v>16531</v>
      </c>
      <c r="U888" t="s">
        <v>16532</v>
      </c>
      <c r="V888" t="s">
        <v>16533</v>
      </c>
      <c r="W888" t="s">
        <v>16534</v>
      </c>
      <c r="X888" t="s">
        <v>16535</v>
      </c>
      <c r="Y888" t="s">
        <v>16536</v>
      </c>
      <c r="Z888" t="s">
        <v>16537</v>
      </c>
      <c r="AA888" t="s">
        <v>74</v>
      </c>
      <c r="AB888" t="s">
        <v>74</v>
      </c>
      <c r="AC888" t="s">
        <v>16538</v>
      </c>
      <c r="AD888" t="s">
        <v>16538</v>
      </c>
      <c r="AE888" t="s">
        <v>16538</v>
      </c>
      <c r="AF888" t="s">
        <v>74</v>
      </c>
      <c r="AG888">
        <v>71</v>
      </c>
      <c r="AH888">
        <v>0</v>
      </c>
      <c r="AI888">
        <v>0</v>
      </c>
      <c r="AJ888">
        <v>3</v>
      </c>
      <c r="AK888">
        <v>3</v>
      </c>
      <c r="AL888" t="s">
        <v>87</v>
      </c>
      <c r="AM888" t="s">
        <v>88</v>
      </c>
      <c r="AN888" t="s">
        <v>89</v>
      </c>
      <c r="AO888" t="s">
        <v>6742</v>
      </c>
      <c r="AP888" t="s">
        <v>74</v>
      </c>
      <c r="AQ888" t="s">
        <v>74</v>
      </c>
      <c r="AR888" t="s">
        <v>6743</v>
      </c>
      <c r="AS888" t="s">
        <v>6744</v>
      </c>
      <c r="AT888" t="s">
        <v>11302</v>
      </c>
      <c r="AU888">
        <v>2023</v>
      </c>
      <c r="AV888">
        <v>13</v>
      </c>
      <c r="AW888">
        <v>8</v>
      </c>
      <c r="AX888" t="s">
        <v>74</v>
      </c>
      <c r="AY888" t="s">
        <v>74</v>
      </c>
      <c r="AZ888" t="s">
        <v>74</v>
      </c>
      <c r="BA888" t="s">
        <v>74</v>
      </c>
      <c r="BB888" t="s">
        <v>74</v>
      </c>
      <c r="BC888" t="s">
        <v>74</v>
      </c>
      <c r="BD888" t="s">
        <v>16539</v>
      </c>
      <c r="BE888" t="s">
        <v>16540</v>
      </c>
      <c r="BF888" t="str">
        <f>HYPERLINK("http://dx.doi.org/10.1002/ece3.10374","http://dx.doi.org/10.1002/ece3.10374")</f>
        <v>http://dx.doi.org/10.1002/ece3.10374</v>
      </c>
      <c r="BG888" t="s">
        <v>74</v>
      </c>
      <c r="BH888" t="s">
        <v>74</v>
      </c>
      <c r="BI888">
        <v>18</v>
      </c>
      <c r="BJ888" t="s">
        <v>6747</v>
      </c>
      <c r="BK888" t="s">
        <v>119</v>
      </c>
      <c r="BL888" t="s">
        <v>6748</v>
      </c>
      <c r="BM888" t="s">
        <v>16541</v>
      </c>
      <c r="BN888">
        <v>37636866</v>
      </c>
      <c r="BO888" t="s">
        <v>234</v>
      </c>
      <c r="BP888" t="s">
        <v>74</v>
      </c>
      <c r="BQ888" t="s">
        <v>74</v>
      </c>
      <c r="BR888" t="s">
        <v>99</v>
      </c>
      <c r="BS888" t="s">
        <v>16542</v>
      </c>
      <c r="BT888" t="str">
        <f>HYPERLINK("https%3A%2F%2Fwww.webofscience.com%2Fwos%2Fwoscc%2Ffull-record%2FWOS:001054800500001","View Full Record in Web of Science")</f>
        <v>View Full Record in Web of Science</v>
      </c>
    </row>
    <row r="889" spans="1:72" x14ac:dyDescent="0.15">
      <c r="A889" t="s">
        <v>72</v>
      </c>
      <c r="B889" t="s">
        <v>16543</v>
      </c>
      <c r="C889" t="s">
        <v>74</v>
      </c>
      <c r="D889" t="s">
        <v>74</v>
      </c>
      <c r="E889" t="s">
        <v>74</v>
      </c>
      <c r="F889" t="s">
        <v>16544</v>
      </c>
      <c r="G889" t="s">
        <v>74</v>
      </c>
      <c r="H889" t="s">
        <v>74</v>
      </c>
      <c r="I889" t="s">
        <v>16545</v>
      </c>
      <c r="J889" t="s">
        <v>16546</v>
      </c>
      <c r="K889" t="s">
        <v>74</v>
      </c>
      <c r="L889" t="s">
        <v>74</v>
      </c>
      <c r="M889" t="s">
        <v>78</v>
      </c>
      <c r="N889" t="s">
        <v>338</v>
      </c>
      <c r="O889" t="s">
        <v>74</v>
      </c>
      <c r="P889" t="s">
        <v>74</v>
      </c>
      <c r="Q889" t="s">
        <v>74</v>
      </c>
      <c r="R889" t="s">
        <v>74</v>
      </c>
      <c r="S889" t="s">
        <v>74</v>
      </c>
      <c r="T889" t="s">
        <v>74</v>
      </c>
      <c r="U889" t="s">
        <v>16547</v>
      </c>
      <c r="V889" t="s">
        <v>16548</v>
      </c>
      <c r="W889" t="s">
        <v>16549</v>
      </c>
      <c r="X889" t="s">
        <v>3665</v>
      </c>
      <c r="Y889" t="s">
        <v>16550</v>
      </c>
      <c r="Z889" t="s">
        <v>16551</v>
      </c>
      <c r="AA889" t="s">
        <v>74</v>
      </c>
      <c r="AB889" t="s">
        <v>74</v>
      </c>
      <c r="AC889" t="s">
        <v>16552</v>
      </c>
      <c r="AD889" t="s">
        <v>3742</v>
      </c>
      <c r="AE889" t="s">
        <v>16553</v>
      </c>
      <c r="AF889" t="s">
        <v>74</v>
      </c>
      <c r="AG889">
        <v>95</v>
      </c>
      <c r="AH889">
        <v>0</v>
      </c>
      <c r="AI889">
        <v>0</v>
      </c>
      <c r="AJ889">
        <v>5</v>
      </c>
      <c r="AK889">
        <v>5</v>
      </c>
      <c r="AL889" t="s">
        <v>87</v>
      </c>
      <c r="AM889" t="s">
        <v>88</v>
      </c>
      <c r="AN889" t="s">
        <v>89</v>
      </c>
      <c r="AO889" t="s">
        <v>16554</v>
      </c>
      <c r="AP889" t="s">
        <v>16555</v>
      </c>
      <c r="AQ889" t="s">
        <v>74</v>
      </c>
      <c r="AR889" t="s">
        <v>16556</v>
      </c>
      <c r="AS889" t="s">
        <v>16557</v>
      </c>
      <c r="AT889" t="s">
        <v>15292</v>
      </c>
      <c r="AU889">
        <v>2023</v>
      </c>
      <c r="AV889" t="s">
        <v>74</v>
      </c>
      <c r="AW889" t="s">
        <v>74</v>
      </c>
      <c r="AX889" t="s">
        <v>74</v>
      </c>
      <c r="AY889" t="s">
        <v>74</v>
      </c>
      <c r="AZ889" t="s">
        <v>74</v>
      </c>
      <c r="BA889" t="s">
        <v>74</v>
      </c>
      <c r="BB889" t="s">
        <v>74</v>
      </c>
      <c r="BC889" t="s">
        <v>74</v>
      </c>
      <c r="BD889" t="s">
        <v>74</v>
      </c>
      <c r="BE889" t="s">
        <v>16558</v>
      </c>
      <c r="BF889" t="str">
        <f>HYPERLINK("http://dx.doi.org/10.1111/mice.13078","http://dx.doi.org/10.1111/mice.13078")</f>
        <v>http://dx.doi.org/10.1111/mice.13078</v>
      </c>
      <c r="BG889" t="s">
        <v>74</v>
      </c>
      <c r="BH889" t="s">
        <v>7524</v>
      </c>
      <c r="BI889">
        <v>15</v>
      </c>
      <c r="BJ889" t="s">
        <v>16559</v>
      </c>
      <c r="BK889" t="s">
        <v>119</v>
      </c>
      <c r="BL889" t="s">
        <v>16560</v>
      </c>
      <c r="BM889" t="s">
        <v>16561</v>
      </c>
      <c r="BN889" t="s">
        <v>74</v>
      </c>
      <c r="BO889" t="s">
        <v>16562</v>
      </c>
      <c r="BP889" t="s">
        <v>74</v>
      </c>
      <c r="BQ889" t="s">
        <v>74</v>
      </c>
      <c r="BR889" t="s">
        <v>99</v>
      </c>
      <c r="BS889" t="s">
        <v>16563</v>
      </c>
      <c r="BT889" t="str">
        <f>HYPERLINK("https%3A%2F%2Fwww.webofscience.com%2Fwos%2Fwoscc%2Ffull-record%2FWOS:001038618400001","View Full Record in Web of Science")</f>
        <v>View Full Record in Web of Science</v>
      </c>
    </row>
    <row r="890" spans="1:72" x14ac:dyDescent="0.15">
      <c r="A890" t="s">
        <v>72</v>
      </c>
      <c r="B890" t="s">
        <v>11307</v>
      </c>
      <c r="C890" t="s">
        <v>74</v>
      </c>
      <c r="D890" t="s">
        <v>74</v>
      </c>
      <c r="E890" t="s">
        <v>74</v>
      </c>
      <c r="F890" t="s">
        <v>11307</v>
      </c>
      <c r="G890" t="s">
        <v>74</v>
      </c>
      <c r="H890" t="s">
        <v>74</v>
      </c>
      <c r="I890" t="s">
        <v>16564</v>
      </c>
      <c r="J890" t="s">
        <v>16565</v>
      </c>
      <c r="K890" t="s">
        <v>74</v>
      </c>
      <c r="L890" t="s">
        <v>74</v>
      </c>
      <c r="M890" t="s">
        <v>78</v>
      </c>
      <c r="N890" t="s">
        <v>16566</v>
      </c>
      <c r="O890" t="s">
        <v>74</v>
      </c>
      <c r="P890" t="s">
        <v>74</v>
      </c>
      <c r="Q890" t="s">
        <v>74</v>
      </c>
      <c r="R890" t="s">
        <v>74</v>
      </c>
      <c r="S890" t="s">
        <v>74</v>
      </c>
      <c r="T890" t="s">
        <v>74</v>
      </c>
      <c r="U890" t="s">
        <v>74</v>
      </c>
      <c r="V890" t="s">
        <v>74</v>
      </c>
      <c r="W890" t="s">
        <v>74</v>
      </c>
      <c r="X890" t="s">
        <v>74</v>
      </c>
      <c r="Y890" t="s">
        <v>74</v>
      </c>
      <c r="Z890" t="s">
        <v>74</v>
      </c>
      <c r="AA890" t="s">
        <v>74</v>
      </c>
      <c r="AB890" t="s">
        <v>74</v>
      </c>
      <c r="AC890" t="s">
        <v>74</v>
      </c>
      <c r="AD890" t="s">
        <v>74</v>
      </c>
      <c r="AE890" t="s">
        <v>74</v>
      </c>
      <c r="AF890" t="s">
        <v>74</v>
      </c>
      <c r="AG890">
        <v>0</v>
      </c>
      <c r="AH890">
        <v>0</v>
      </c>
      <c r="AI890">
        <v>0</v>
      </c>
      <c r="AJ890">
        <v>0</v>
      </c>
      <c r="AK890">
        <v>0</v>
      </c>
      <c r="AL890" t="s">
        <v>87</v>
      </c>
      <c r="AM890" t="s">
        <v>88</v>
      </c>
      <c r="AN890" t="s">
        <v>89</v>
      </c>
      <c r="AO890" t="s">
        <v>16567</v>
      </c>
      <c r="AP890" t="s">
        <v>16568</v>
      </c>
      <c r="AQ890" t="s">
        <v>74</v>
      </c>
      <c r="AR890" t="s">
        <v>16569</v>
      </c>
      <c r="AS890" t="s">
        <v>16570</v>
      </c>
      <c r="AT890" t="s">
        <v>11302</v>
      </c>
      <c r="AU890">
        <v>2023</v>
      </c>
      <c r="AV890">
        <v>39</v>
      </c>
      <c r="AW890">
        <v>4</v>
      </c>
      <c r="AX890" t="s">
        <v>74</v>
      </c>
      <c r="AY890" t="s">
        <v>74</v>
      </c>
      <c r="AZ890" t="s">
        <v>9665</v>
      </c>
      <c r="BA890" t="s">
        <v>74</v>
      </c>
      <c r="BB890">
        <v>28</v>
      </c>
      <c r="BC890">
        <v>28</v>
      </c>
      <c r="BD890" t="s">
        <v>74</v>
      </c>
      <c r="BE890" t="s">
        <v>74</v>
      </c>
      <c r="BF890" t="s">
        <v>74</v>
      </c>
      <c r="BG890" t="s">
        <v>74</v>
      </c>
      <c r="BH890" t="s">
        <v>74</v>
      </c>
      <c r="BI890">
        <v>1</v>
      </c>
      <c r="BJ890" t="s">
        <v>3107</v>
      </c>
      <c r="BK890" t="s">
        <v>96</v>
      </c>
      <c r="BL890" t="s">
        <v>3107</v>
      </c>
      <c r="BM890" t="s">
        <v>16571</v>
      </c>
      <c r="BN890" t="s">
        <v>74</v>
      </c>
      <c r="BO890" t="s">
        <v>74</v>
      </c>
      <c r="BP890" t="s">
        <v>74</v>
      </c>
      <c r="BQ890" t="s">
        <v>74</v>
      </c>
      <c r="BR890" t="s">
        <v>99</v>
      </c>
      <c r="BS890" t="s">
        <v>16572</v>
      </c>
      <c r="BT890" t="str">
        <f>HYPERLINK("https%3A%2F%2Fwww.webofscience.com%2Fwos%2Fwoscc%2Ffull-record%2FWOS:001057175800004","View Full Record in Web of Science")</f>
        <v>View Full Record in Web of Science</v>
      </c>
    </row>
    <row r="891" spans="1:72" x14ac:dyDescent="0.15">
      <c r="A891" t="s">
        <v>72</v>
      </c>
      <c r="B891" t="s">
        <v>16573</v>
      </c>
      <c r="C891" t="s">
        <v>74</v>
      </c>
      <c r="D891" t="s">
        <v>74</v>
      </c>
      <c r="E891" t="s">
        <v>74</v>
      </c>
      <c r="F891" t="s">
        <v>16574</v>
      </c>
      <c r="G891" t="s">
        <v>74</v>
      </c>
      <c r="H891" t="s">
        <v>74</v>
      </c>
      <c r="I891" t="s">
        <v>16575</v>
      </c>
      <c r="J891" t="s">
        <v>9345</v>
      </c>
      <c r="K891" t="s">
        <v>74</v>
      </c>
      <c r="L891" t="s">
        <v>74</v>
      </c>
      <c r="M891" t="s">
        <v>78</v>
      </c>
      <c r="N891" t="s">
        <v>594</v>
      </c>
      <c r="O891" t="s">
        <v>74</v>
      </c>
      <c r="P891" t="s">
        <v>74</v>
      </c>
      <c r="Q891" t="s">
        <v>74</v>
      </c>
      <c r="R891" t="s">
        <v>74</v>
      </c>
      <c r="S891" t="s">
        <v>74</v>
      </c>
      <c r="T891" t="s">
        <v>16576</v>
      </c>
      <c r="U891" t="s">
        <v>16577</v>
      </c>
      <c r="V891" t="s">
        <v>16578</v>
      </c>
      <c r="W891" t="s">
        <v>16579</v>
      </c>
      <c r="X891" t="s">
        <v>16580</v>
      </c>
      <c r="Y891" t="s">
        <v>16581</v>
      </c>
      <c r="Z891" t="s">
        <v>16582</v>
      </c>
      <c r="AA891" t="s">
        <v>74</v>
      </c>
      <c r="AB891" t="s">
        <v>74</v>
      </c>
      <c r="AC891" t="s">
        <v>74</v>
      </c>
      <c r="AD891" t="s">
        <v>74</v>
      </c>
      <c r="AE891" t="s">
        <v>74</v>
      </c>
      <c r="AF891" t="s">
        <v>74</v>
      </c>
      <c r="AG891">
        <v>54</v>
      </c>
      <c r="AH891">
        <v>0</v>
      </c>
      <c r="AI891">
        <v>0</v>
      </c>
      <c r="AJ891">
        <v>2</v>
      </c>
      <c r="AK891">
        <v>2</v>
      </c>
      <c r="AL891" t="s">
        <v>87</v>
      </c>
      <c r="AM891" t="s">
        <v>88</v>
      </c>
      <c r="AN891" t="s">
        <v>89</v>
      </c>
      <c r="AO891" t="s">
        <v>9356</v>
      </c>
      <c r="AP891" t="s">
        <v>9357</v>
      </c>
      <c r="AQ891" t="s">
        <v>74</v>
      </c>
      <c r="AR891" t="s">
        <v>9358</v>
      </c>
      <c r="AS891" t="s">
        <v>9359</v>
      </c>
      <c r="AT891" t="s">
        <v>16583</v>
      </c>
      <c r="AU891">
        <v>2023</v>
      </c>
      <c r="AV891" t="s">
        <v>74</v>
      </c>
      <c r="AW891" t="s">
        <v>74</v>
      </c>
      <c r="AX891" t="s">
        <v>74</v>
      </c>
      <c r="AY891" t="s">
        <v>74</v>
      </c>
      <c r="AZ891" t="s">
        <v>74</v>
      </c>
      <c r="BA891" t="s">
        <v>74</v>
      </c>
      <c r="BB891" t="s">
        <v>74</v>
      </c>
      <c r="BC891" t="s">
        <v>74</v>
      </c>
      <c r="BD891" t="s">
        <v>74</v>
      </c>
      <c r="BE891" t="s">
        <v>16584</v>
      </c>
      <c r="BF891" t="str">
        <f>HYPERLINK("http://dx.doi.org/10.1111/exd.14899","http://dx.doi.org/10.1111/exd.14899")</f>
        <v>http://dx.doi.org/10.1111/exd.14899</v>
      </c>
      <c r="BG891" t="s">
        <v>74</v>
      </c>
      <c r="BH891" t="s">
        <v>16585</v>
      </c>
      <c r="BI891">
        <v>11</v>
      </c>
      <c r="BJ891" t="s">
        <v>2541</v>
      </c>
      <c r="BK891" t="s">
        <v>119</v>
      </c>
      <c r="BL891" t="s">
        <v>2541</v>
      </c>
      <c r="BM891" t="s">
        <v>16586</v>
      </c>
      <c r="BN891">
        <v>37522747</v>
      </c>
      <c r="BO891" t="s">
        <v>122</v>
      </c>
      <c r="BP891" t="s">
        <v>74</v>
      </c>
      <c r="BQ891" t="s">
        <v>74</v>
      </c>
      <c r="BR891" t="s">
        <v>99</v>
      </c>
      <c r="BS891" t="s">
        <v>16587</v>
      </c>
      <c r="BT891" t="str">
        <f>HYPERLINK("https%3A%2F%2Fwww.webofscience.com%2Fwos%2Fwoscc%2Ffull-record%2FWOS:001037544800001","View Full Record in Web of Science")</f>
        <v>View Full Record in Web of Science</v>
      </c>
    </row>
    <row r="892" spans="1:72" x14ac:dyDescent="0.15">
      <c r="A892" t="s">
        <v>72</v>
      </c>
      <c r="B892" t="s">
        <v>16588</v>
      </c>
      <c r="C892" t="s">
        <v>74</v>
      </c>
      <c r="D892" t="s">
        <v>74</v>
      </c>
      <c r="E892" t="s">
        <v>74</v>
      </c>
      <c r="F892" t="s">
        <v>16589</v>
      </c>
      <c r="G892" t="s">
        <v>74</v>
      </c>
      <c r="H892" t="s">
        <v>74</v>
      </c>
      <c r="I892" t="s">
        <v>16590</v>
      </c>
      <c r="J892" t="s">
        <v>1275</v>
      </c>
      <c r="K892" t="s">
        <v>74</v>
      </c>
      <c r="L892" t="s">
        <v>74</v>
      </c>
      <c r="M892" t="s">
        <v>78</v>
      </c>
      <c r="N892" t="s">
        <v>338</v>
      </c>
      <c r="O892" t="s">
        <v>74</v>
      </c>
      <c r="P892" t="s">
        <v>74</v>
      </c>
      <c r="Q892" t="s">
        <v>74</v>
      </c>
      <c r="R892" t="s">
        <v>74</v>
      </c>
      <c r="S892" t="s">
        <v>74</v>
      </c>
      <c r="T892" t="s">
        <v>16591</v>
      </c>
      <c r="U892" t="s">
        <v>16592</v>
      </c>
      <c r="V892" t="s">
        <v>16593</v>
      </c>
      <c r="W892" t="s">
        <v>16594</v>
      </c>
      <c r="X892" t="s">
        <v>16595</v>
      </c>
      <c r="Y892" t="s">
        <v>16596</v>
      </c>
      <c r="Z892" t="s">
        <v>16597</v>
      </c>
      <c r="AA892" t="s">
        <v>74</v>
      </c>
      <c r="AB892" t="s">
        <v>74</v>
      </c>
      <c r="AC892" t="s">
        <v>16598</v>
      </c>
      <c r="AD892" t="s">
        <v>16599</v>
      </c>
      <c r="AE892" t="s">
        <v>16600</v>
      </c>
      <c r="AF892" t="s">
        <v>74</v>
      </c>
      <c r="AG892">
        <v>53</v>
      </c>
      <c r="AH892">
        <v>0</v>
      </c>
      <c r="AI892">
        <v>0</v>
      </c>
      <c r="AJ892">
        <v>4</v>
      </c>
      <c r="AK892">
        <v>4</v>
      </c>
      <c r="AL892" t="s">
        <v>87</v>
      </c>
      <c r="AM892" t="s">
        <v>88</v>
      </c>
      <c r="AN892" t="s">
        <v>89</v>
      </c>
      <c r="AO892" t="s">
        <v>1285</v>
      </c>
      <c r="AP892" t="s">
        <v>1286</v>
      </c>
      <c r="AQ892" t="s">
        <v>74</v>
      </c>
      <c r="AR892" t="s">
        <v>1287</v>
      </c>
      <c r="AS892" t="s">
        <v>1288</v>
      </c>
      <c r="AT892" t="s">
        <v>16583</v>
      </c>
      <c r="AU892">
        <v>2023</v>
      </c>
      <c r="AV892" t="s">
        <v>74</v>
      </c>
      <c r="AW892" t="s">
        <v>74</v>
      </c>
      <c r="AX892" t="s">
        <v>74</v>
      </c>
      <c r="AY892" t="s">
        <v>74</v>
      </c>
      <c r="AZ892" t="s">
        <v>74</v>
      </c>
      <c r="BA892" t="s">
        <v>74</v>
      </c>
      <c r="BB892" t="s">
        <v>74</v>
      </c>
      <c r="BC892" t="s">
        <v>74</v>
      </c>
      <c r="BD892" t="s">
        <v>74</v>
      </c>
      <c r="BE892" t="s">
        <v>16601</v>
      </c>
      <c r="BF892" t="str">
        <f>HYPERLINK("http://dx.doi.org/10.1002/mp.16653","http://dx.doi.org/10.1002/mp.16653")</f>
        <v>http://dx.doi.org/10.1002/mp.16653</v>
      </c>
      <c r="BG892" t="s">
        <v>74</v>
      </c>
      <c r="BH892" t="s">
        <v>16585</v>
      </c>
      <c r="BI892">
        <v>15</v>
      </c>
      <c r="BJ892" t="s">
        <v>1290</v>
      </c>
      <c r="BK892" t="s">
        <v>119</v>
      </c>
      <c r="BL892" t="s">
        <v>1290</v>
      </c>
      <c r="BM892" t="s">
        <v>16602</v>
      </c>
      <c r="BN892">
        <v>37523268</v>
      </c>
      <c r="BO892" t="s">
        <v>74</v>
      </c>
      <c r="BP892" t="s">
        <v>74</v>
      </c>
      <c r="BQ892" t="s">
        <v>74</v>
      </c>
      <c r="BR892" t="s">
        <v>99</v>
      </c>
      <c r="BS892" t="s">
        <v>16603</v>
      </c>
      <c r="BT892" t="str">
        <f>HYPERLINK("https%3A%2F%2Fwww.webofscience.com%2Fwos%2Fwoscc%2Ffull-record%2FWOS:001037659400001","View Full Record in Web of Science")</f>
        <v>View Full Record in Web of Science</v>
      </c>
    </row>
    <row r="893" spans="1:72" x14ac:dyDescent="0.15">
      <c r="A893" t="s">
        <v>72</v>
      </c>
      <c r="B893" t="s">
        <v>16604</v>
      </c>
      <c r="C893" t="s">
        <v>74</v>
      </c>
      <c r="D893" t="s">
        <v>74</v>
      </c>
      <c r="E893" t="s">
        <v>74</v>
      </c>
      <c r="F893" t="s">
        <v>16605</v>
      </c>
      <c r="G893" t="s">
        <v>74</v>
      </c>
      <c r="H893" t="s">
        <v>74</v>
      </c>
      <c r="I893" t="s">
        <v>16606</v>
      </c>
      <c r="J893" t="s">
        <v>2358</v>
      </c>
      <c r="K893" t="s">
        <v>74</v>
      </c>
      <c r="L893" t="s">
        <v>74</v>
      </c>
      <c r="M893" t="s">
        <v>78</v>
      </c>
      <c r="N893" t="s">
        <v>338</v>
      </c>
      <c r="O893" t="s">
        <v>74</v>
      </c>
      <c r="P893" t="s">
        <v>74</v>
      </c>
      <c r="Q893" t="s">
        <v>74</v>
      </c>
      <c r="R893" t="s">
        <v>74</v>
      </c>
      <c r="S893" t="s">
        <v>74</v>
      </c>
      <c r="T893" t="s">
        <v>16607</v>
      </c>
      <c r="U893" t="s">
        <v>16608</v>
      </c>
      <c r="V893" t="s">
        <v>16609</v>
      </c>
      <c r="W893" t="s">
        <v>16610</v>
      </c>
      <c r="X893" t="s">
        <v>16611</v>
      </c>
      <c r="Y893" t="s">
        <v>16612</v>
      </c>
      <c r="Z893" t="s">
        <v>16613</v>
      </c>
      <c r="AA893" t="s">
        <v>74</v>
      </c>
      <c r="AB893" t="s">
        <v>74</v>
      </c>
      <c r="AC893" t="s">
        <v>74</v>
      </c>
      <c r="AD893" t="s">
        <v>74</v>
      </c>
      <c r="AE893" t="s">
        <v>74</v>
      </c>
      <c r="AF893" t="s">
        <v>74</v>
      </c>
      <c r="AG893">
        <v>41</v>
      </c>
      <c r="AH893">
        <v>0</v>
      </c>
      <c r="AI893">
        <v>0</v>
      </c>
      <c r="AJ893">
        <v>0</v>
      </c>
      <c r="AK893">
        <v>0</v>
      </c>
      <c r="AL893" t="s">
        <v>87</v>
      </c>
      <c r="AM893" t="s">
        <v>88</v>
      </c>
      <c r="AN893" t="s">
        <v>89</v>
      </c>
      <c r="AO893" t="s">
        <v>2369</v>
      </c>
      <c r="AP893" t="s">
        <v>2370</v>
      </c>
      <c r="AQ893" t="s">
        <v>74</v>
      </c>
      <c r="AR893" t="s">
        <v>2371</v>
      </c>
      <c r="AS893" t="s">
        <v>2372</v>
      </c>
      <c r="AT893" t="s">
        <v>16583</v>
      </c>
      <c r="AU893">
        <v>2023</v>
      </c>
      <c r="AV893" t="s">
        <v>74</v>
      </c>
      <c r="AW893" t="s">
        <v>74</v>
      </c>
      <c r="AX893" t="s">
        <v>74</v>
      </c>
      <c r="AY893" t="s">
        <v>74</v>
      </c>
      <c r="AZ893" t="s">
        <v>74</v>
      </c>
      <c r="BA893" t="s">
        <v>74</v>
      </c>
      <c r="BB893" t="s">
        <v>74</v>
      </c>
      <c r="BC893" t="s">
        <v>74</v>
      </c>
      <c r="BD893" t="s">
        <v>74</v>
      </c>
      <c r="BE893" t="s">
        <v>16614</v>
      </c>
      <c r="BF893" t="str">
        <f>HYPERLINK("http://dx.doi.org/10.1002/rcs.2559","http://dx.doi.org/10.1002/rcs.2559")</f>
        <v>http://dx.doi.org/10.1002/rcs.2559</v>
      </c>
      <c r="BG893" t="s">
        <v>74</v>
      </c>
      <c r="BH893" t="s">
        <v>16585</v>
      </c>
      <c r="BI893">
        <v>9</v>
      </c>
      <c r="BJ893" t="s">
        <v>2374</v>
      </c>
      <c r="BK893" t="s">
        <v>119</v>
      </c>
      <c r="BL893" t="s">
        <v>2374</v>
      </c>
      <c r="BM893" t="s">
        <v>16615</v>
      </c>
      <c r="BN893">
        <v>37522379</v>
      </c>
      <c r="BO893" t="s">
        <v>74</v>
      </c>
      <c r="BP893" t="s">
        <v>74</v>
      </c>
      <c r="BQ893" t="s">
        <v>74</v>
      </c>
      <c r="BR893" t="s">
        <v>99</v>
      </c>
      <c r="BS893" t="s">
        <v>16616</v>
      </c>
      <c r="BT893" t="str">
        <f>HYPERLINK("https%3A%2F%2Fwww.webofscience.com%2Fwos%2Fwoscc%2Ffull-record%2FWOS:001037402500001","View Full Record in Web of Science")</f>
        <v>View Full Record in Web of Science</v>
      </c>
    </row>
    <row r="894" spans="1:72" x14ac:dyDescent="0.15">
      <c r="A894" t="s">
        <v>72</v>
      </c>
      <c r="B894" t="s">
        <v>16617</v>
      </c>
      <c r="C894" t="s">
        <v>74</v>
      </c>
      <c r="D894" t="s">
        <v>74</v>
      </c>
      <c r="E894" t="s">
        <v>74</v>
      </c>
      <c r="F894" t="s">
        <v>16618</v>
      </c>
      <c r="G894" t="s">
        <v>74</v>
      </c>
      <c r="H894" t="s">
        <v>74</v>
      </c>
      <c r="I894" t="s">
        <v>16619</v>
      </c>
      <c r="J894" t="s">
        <v>16620</v>
      </c>
      <c r="K894" t="s">
        <v>74</v>
      </c>
      <c r="L894" t="s">
        <v>74</v>
      </c>
      <c r="M894" t="s">
        <v>78</v>
      </c>
      <c r="N894" t="s">
        <v>338</v>
      </c>
      <c r="O894" t="s">
        <v>74</v>
      </c>
      <c r="P894" t="s">
        <v>74</v>
      </c>
      <c r="Q894" t="s">
        <v>74</v>
      </c>
      <c r="R894" t="s">
        <v>74</v>
      </c>
      <c r="S894" t="s">
        <v>74</v>
      </c>
      <c r="T894" t="s">
        <v>74</v>
      </c>
      <c r="U894" t="s">
        <v>16621</v>
      </c>
      <c r="V894" t="s">
        <v>16622</v>
      </c>
      <c r="W894" t="s">
        <v>16623</v>
      </c>
      <c r="X894" t="s">
        <v>16624</v>
      </c>
      <c r="Y894" t="s">
        <v>16625</v>
      </c>
      <c r="Z894" t="s">
        <v>16626</v>
      </c>
      <c r="AA894" t="s">
        <v>74</v>
      </c>
      <c r="AB894" t="s">
        <v>16627</v>
      </c>
      <c r="AC894" t="s">
        <v>74</v>
      </c>
      <c r="AD894" t="s">
        <v>74</v>
      </c>
      <c r="AE894" t="s">
        <v>74</v>
      </c>
      <c r="AF894" t="s">
        <v>74</v>
      </c>
      <c r="AG894">
        <v>28</v>
      </c>
      <c r="AH894">
        <v>0</v>
      </c>
      <c r="AI894">
        <v>0</v>
      </c>
      <c r="AJ894">
        <v>2</v>
      </c>
      <c r="AK894">
        <v>2</v>
      </c>
      <c r="AL894" t="s">
        <v>87</v>
      </c>
      <c r="AM894" t="s">
        <v>88</v>
      </c>
      <c r="AN894" t="s">
        <v>89</v>
      </c>
      <c r="AO894" t="s">
        <v>16628</v>
      </c>
      <c r="AP894" t="s">
        <v>16629</v>
      </c>
      <c r="AQ894" t="s">
        <v>74</v>
      </c>
      <c r="AR894" t="s">
        <v>16630</v>
      </c>
      <c r="AS894" t="s">
        <v>16631</v>
      </c>
      <c r="AT894" t="s">
        <v>16583</v>
      </c>
      <c r="AU894">
        <v>2023</v>
      </c>
      <c r="AV894" t="s">
        <v>74</v>
      </c>
      <c r="AW894" t="s">
        <v>74</v>
      </c>
      <c r="AX894" t="s">
        <v>74</v>
      </c>
      <c r="AY894" t="s">
        <v>74</v>
      </c>
      <c r="AZ894" t="s">
        <v>74</v>
      </c>
      <c r="BA894" t="s">
        <v>74</v>
      </c>
      <c r="BB894" t="s">
        <v>74</v>
      </c>
      <c r="BC894" t="s">
        <v>74</v>
      </c>
      <c r="BD894" t="s">
        <v>74</v>
      </c>
      <c r="BE894" t="s">
        <v>16632</v>
      </c>
      <c r="BF894" t="str">
        <f>HYPERLINK("http://dx.doi.org/10.1002/nur.22332","http://dx.doi.org/10.1002/nur.22332")</f>
        <v>http://dx.doi.org/10.1002/nur.22332</v>
      </c>
      <c r="BG894" t="s">
        <v>74</v>
      </c>
      <c r="BH894" t="s">
        <v>16585</v>
      </c>
      <c r="BI894">
        <v>5</v>
      </c>
      <c r="BJ894" t="s">
        <v>5811</v>
      </c>
      <c r="BK894" t="s">
        <v>409</v>
      </c>
      <c r="BL894" t="s">
        <v>5811</v>
      </c>
      <c r="BM894" t="s">
        <v>16633</v>
      </c>
      <c r="BN894">
        <v>37525299</v>
      </c>
      <c r="BO894" t="s">
        <v>301</v>
      </c>
      <c r="BP894" t="s">
        <v>74</v>
      </c>
      <c r="BQ894" t="s">
        <v>74</v>
      </c>
      <c r="BR894" t="s">
        <v>99</v>
      </c>
      <c r="BS894" t="s">
        <v>16634</v>
      </c>
      <c r="BT894" t="str">
        <f>HYPERLINK("https%3A%2F%2Fwww.webofscience.com%2Fwos%2Fwoscc%2Ffull-record%2FWOS:001040077100001","View Full Record in Web of Science")</f>
        <v>View Full Record in Web of Science</v>
      </c>
    </row>
    <row r="895" spans="1:72" x14ac:dyDescent="0.15">
      <c r="A895" t="s">
        <v>72</v>
      </c>
      <c r="B895" t="s">
        <v>16635</v>
      </c>
      <c r="C895" t="s">
        <v>74</v>
      </c>
      <c r="D895" t="s">
        <v>74</v>
      </c>
      <c r="E895" t="s">
        <v>74</v>
      </c>
      <c r="F895" t="s">
        <v>16636</v>
      </c>
      <c r="G895" t="s">
        <v>74</v>
      </c>
      <c r="H895" t="s">
        <v>74</v>
      </c>
      <c r="I895" t="s">
        <v>16637</v>
      </c>
      <c r="J895" t="s">
        <v>16638</v>
      </c>
      <c r="K895" t="s">
        <v>74</v>
      </c>
      <c r="L895" t="s">
        <v>74</v>
      </c>
      <c r="M895" t="s">
        <v>78</v>
      </c>
      <c r="N895" t="s">
        <v>338</v>
      </c>
      <c r="O895" t="s">
        <v>74</v>
      </c>
      <c r="P895" t="s">
        <v>74</v>
      </c>
      <c r="Q895" t="s">
        <v>74</v>
      </c>
      <c r="R895" t="s">
        <v>74</v>
      </c>
      <c r="S895" t="s">
        <v>74</v>
      </c>
      <c r="T895" t="s">
        <v>16639</v>
      </c>
      <c r="U895" t="s">
        <v>16640</v>
      </c>
      <c r="V895" t="s">
        <v>16641</v>
      </c>
      <c r="W895" t="s">
        <v>16642</v>
      </c>
      <c r="X895" t="s">
        <v>16643</v>
      </c>
      <c r="Y895" t="s">
        <v>16644</v>
      </c>
      <c r="Z895" t="s">
        <v>16645</v>
      </c>
      <c r="AA895" t="s">
        <v>74</v>
      </c>
      <c r="AB895" t="s">
        <v>16646</v>
      </c>
      <c r="AC895" t="s">
        <v>16647</v>
      </c>
      <c r="AD895" t="s">
        <v>16648</v>
      </c>
      <c r="AE895" t="s">
        <v>16649</v>
      </c>
      <c r="AF895" t="s">
        <v>74</v>
      </c>
      <c r="AG895">
        <v>23</v>
      </c>
      <c r="AH895">
        <v>0</v>
      </c>
      <c r="AI895">
        <v>0</v>
      </c>
      <c r="AJ895">
        <v>0</v>
      </c>
      <c r="AK895">
        <v>0</v>
      </c>
      <c r="AL895" t="s">
        <v>87</v>
      </c>
      <c r="AM895" t="s">
        <v>88</v>
      </c>
      <c r="AN895" t="s">
        <v>89</v>
      </c>
      <c r="AO895" t="s">
        <v>16650</v>
      </c>
      <c r="AP895" t="s">
        <v>16651</v>
      </c>
      <c r="AQ895" t="s">
        <v>74</v>
      </c>
      <c r="AR895" t="s">
        <v>16652</v>
      </c>
      <c r="AS895" t="s">
        <v>16653</v>
      </c>
      <c r="AT895" t="s">
        <v>16583</v>
      </c>
      <c r="AU895">
        <v>2023</v>
      </c>
      <c r="AV895" t="s">
        <v>74</v>
      </c>
      <c r="AW895" t="s">
        <v>74</v>
      </c>
      <c r="AX895" t="s">
        <v>74</v>
      </c>
      <c r="AY895" t="s">
        <v>74</v>
      </c>
      <c r="AZ895" t="s">
        <v>74</v>
      </c>
      <c r="BA895" t="s">
        <v>74</v>
      </c>
      <c r="BB895" t="s">
        <v>74</v>
      </c>
      <c r="BC895" t="s">
        <v>74</v>
      </c>
      <c r="BD895" t="s">
        <v>74</v>
      </c>
      <c r="BE895" t="s">
        <v>16654</v>
      </c>
      <c r="BF895" t="str">
        <f>HYPERLINK("http://dx.doi.org/10.1111/jog.15757","http://dx.doi.org/10.1111/jog.15757")</f>
        <v>http://dx.doi.org/10.1111/jog.15757</v>
      </c>
      <c r="BG895" t="s">
        <v>74</v>
      </c>
      <c r="BH895" t="s">
        <v>16585</v>
      </c>
      <c r="BI895">
        <v>8</v>
      </c>
      <c r="BJ895" t="s">
        <v>1229</v>
      </c>
      <c r="BK895" t="s">
        <v>119</v>
      </c>
      <c r="BL895" t="s">
        <v>1229</v>
      </c>
      <c r="BM895" t="s">
        <v>16655</v>
      </c>
      <c r="BN895">
        <v>37522305</v>
      </c>
      <c r="BO895" t="s">
        <v>301</v>
      </c>
      <c r="BP895" t="s">
        <v>74</v>
      </c>
      <c r="BQ895" t="s">
        <v>74</v>
      </c>
      <c r="BR895" t="s">
        <v>99</v>
      </c>
      <c r="BS895" t="s">
        <v>16656</v>
      </c>
      <c r="BT895" t="str">
        <f>HYPERLINK("https%3A%2F%2Fwww.webofscience.com%2Fwos%2Fwoscc%2Ffull-record%2FWOS:001040384800001","View Full Record in Web of Science")</f>
        <v>View Full Record in Web of Science</v>
      </c>
    </row>
    <row r="896" spans="1:72" x14ac:dyDescent="0.15">
      <c r="A896" t="s">
        <v>72</v>
      </c>
      <c r="B896" t="s">
        <v>16657</v>
      </c>
      <c r="C896" t="s">
        <v>74</v>
      </c>
      <c r="D896" t="s">
        <v>74</v>
      </c>
      <c r="E896" t="s">
        <v>74</v>
      </c>
      <c r="F896" t="s">
        <v>16658</v>
      </c>
      <c r="G896" t="s">
        <v>74</v>
      </c>
      <c r="H896" t="s">
        <v>74</v>
      </c>
      <c r="I896" t="s">
        <v>16659</v>
      </c>
      <c r="J896" t="s">
        <v>1001</v>
      </c>
      <c r="K896" t="s">
        <v>74</v>
      </c>
      <c r="L896" t="s">
        <v>74</v>
      </c>
      <c r="M896" t="s">
        <v>78</v>
      </c>
      <c r="N896" t="s">
        <v>79</v>
      </c>
      <c r="O896" t="s">
        <v>74</v>
      </c>
      <c r="P896" t="s">
        <v>74</v>
      </c>
      <c r="Q896" t="s">
        <v>74</v>
      </c>
      <c r="R896" t="s">
        <v>74</v>
      </c>
      <c r="S896" t="s">
        <v>74</v>
      </c>
      <c r="T896" t="s">
        <v>16660</v>
      </c>
      <c r="U896" t="s">
        <v>16661</v>
      </c>
      <c r="V896" t="s">
        <v>16662</v>
      </c>
      <c r="W896" t="s">
        <v>16663</v>
      </c>
      <c r="X896" t="s">
        <v>16664</v>
      </c>
      <c r="Y896" t="s">
        <v>16665</v>
      </c>
      <c r="Z896" t="s">
        <v>16666</v>
      </c>
      <c r="AA896" t="s">
        <v>16667</v>
      </c>
      <c r="AB896" t="s">
        <v>16668</v>
      </c>
      <c r="AC896" t="s">
        <v>16669</v>
      </c>
      <c r="AD896" t="s">
        <v>16670</v>
      </c>
      <c r="AE896" t="s">
        <v>16671</v>
      </c>
      <c r="AF896" t="s">
        <v>74</v>
      </c>
      <c r="AG896">
        <v>41</v>
      </c>
      <c r="AH896">
        <v>0</v>
      </c>
      <c r="AI896">
        <v>0</v>
      </c>
      <c r="AJ896">
        <v>4</v>
      </c>
      <c r="AK896">
        <v>4</v>
      </c>
      <c r="AL896" t="s">
        <v>426</v>
      </c>
      <c r="AM896" t="s">
        <v>427</v>
      </c>
      <c r="AN896" t="s">
        <v>428</v>
      </c>
      <c r="AO896" t="s">
        <v>1014</v>
      </c>
      <c r="AP896" t="s">
        <v>1015</v>
      </c>
      <c r="AQ896" t="s">
        <v>74</v>
      </c>
      <c r="AR896" t="s">
        <v>1016</v>
      </c>
      <c r="AS896" t="s">
        <v>1017</v>
      </c>
      <c r="AT896" t="s">
        <v>16672</v>
      </c>
      <c r="AU896">
        <v>2023</v>
      </c>
      <c r="AV896">
        <v>62</v>
      </c>
      <c r="AW896">
        <v>36</v>
      </c>
      <c r="AX896" t="s">
        <v>74</v>
      </c>
      <c r="AY896" t="s">
        <v>74</v>
      </c>
      <c r="AZ896" t="s">
        <v>74</v>
      </c>
      <c r="BA896" t="s">
        <v>74</v>
      </c>
      <c r="BB896" t="s">
        <v>74</v>
      </c>
      <c r="BC896" t="s">
        <v>74</v>
      </c>
      <c r="BD896" t="s">
        <v>74</v>
      </c>
      <c r="BE896" t="s">
        <v>16673</v>
      </c>
      <c r="BF896" t="str">
        <f>HYPERLINK("http://dx.doi.org/10.1002/anie.202308022","http://dx.doi.org/10.1002/anie.202308022")</f>
        <v>http://dx.doi.org/10.1002/anie.202308022</v>
      </c>
      <c r="BG896" t="s">
        <v>74</v>
      </c>
      <c r="BH896" t="s">
        <v>16585</v>
      </c>
      <c r="BI896">
        <v>5</v>
      </c>
      <c r="BJ896" t="s">
        <v>523</v>
      </c>
      <c r="BK896" t="s">
        <v>119</v>
      </c>
      <c r="BL896" t="s">
        <v>524</v>
      </c>
      <c r="BM896" t="s">
        <v>16674</v>
      </c>
      <c r="BN896">
        <v>37468437</v>
      </c>
      <c r="BO896" t="s">
        <v>122</v>
      </c>
      <c r="BP896" t="s">
        <v>74</v>
      </c>
      <c r="BQ896" t="s">
        <v>74</v>
      </c>
      <c r="BR896" t="s">
        <v>99</v>
      </c>
      <c r="BS896" t="s">
        <v>16675</v>
      </c>
      <c r="BT896" t="str">
        <f>HYPERLINK("https%3A%2F%2Fwww.webofscience.com%2Fwos%2Fwoscc%2Ffull-record%2FWOS:001039659900001","View Full Record in Web of Science")</f>
        <v>View Full Record in Web of Science</v>
      </c>
    </row>
    <row r="897" spans="1:72" x14ac:dyDescent="0.15">
      <c r="A897" t="s">
        <v>72</v>
      </c>
      <c r="B897" t="s">
        <v>16676</v>
      </c>
      <c r="C897" t="s">
        <v>74</v>
      </c>
      <c r="D897" t="s">
        <v>74</v>
      </c>
      <c r="E897" t="s">
        <v>74</v>
      </c>
      <c r="F897" t="s">
        <v>16677</v>
      </c>
      <c r="G897" t="s">
        <v>74</v>
      </c>
      <c r="H897" t="s">
        <v>74</v>
      </c>
      <c r="I897" t="s">
        <v>16678</v>
      </c>
      <c r="J897" t="s">
        <v>10317</v>
      </c>
      <c r="K897" t="s">
        <v>74</v>
      </c>
      <c r="L897" t="s">
        <v>74</v>
      </c>
      <c r="M897" t="s">
        <v>78</v>
      </c>
      <c r="N897" t="s">
        <v>288</v>
      </c>
      <c r="O897" t="s">
        <v>74</v>
      </c>
      <c r="P897" t="s">
        <v>74</v>
      </c>
      <c r="Q897" t="s">
        <v>74</v>
      </c>
      <c r="R897" t="s">
        <v>74</v>
      </c>
      <c r="S897" t="s">
        <v>74</v>
      </c>
      <c r="T897" t="s">
        <v>16679</v>
      </c>
      <c r="U897" t="s">
        <v>74</v>
      </c>
      <c r="V897" t="s">
        <v>74</v>
      </c>
      <c r="W897" t="s">
        <v>16680</v>
      </c>
      <c r="X897" t="s">
        <v>74</v>
      </c>
      <c r="Y897" t="s">
        <v>16681</v>
      </c>
      <c r="Z897" t="s">
        <v>16682</v>
      </c>
      <c r="AA897" t="s">
        <v>74</v>
      </c>
      <c r="AB897" t="s">
        <v>16683</v>
      </c>
      <c r="AC897" t="s">
        <v>74</v>
      </c>
      <c r="AD897" t="s">
        <v>74</v>
      </c>
      <c r="AE897" t="s">
        <v>74</v>
      </c>
      <c r="AF897" t="s">
        <v>74</v>
      </c>
      <c r="AG897">
        <v>8</v>
      </c>
      <c r="AH897">
        <v>1</v>
      </c>
      <c r="AI897">
        <v>1</v>
      </c>
      <c r="AJ897">
        <v>0</v>
      </c>
      <c r="AK897">
        <v>0</v>
      </c>
      <c r="AL897" t="s">
        <v>87</v>
      </c>
      <c r="AM897" t="s">
        <v>88</v>
      </c>
      <c r="AN897" t="s">
        <v>89</v>
      </c>
      <c r="AO897" t="s">
        <v>10324</v>
      </c>
      <c r="AP897" t="s">
        <v>10325</v>
      </c>
      <c r="AQ897" t="s">
        <v>74</v>
      </c>
      <c r="AR897" t="s">
        <v>10326</v>
      </c>
      <c r="AS897" t="s">
        <v>10327</v>
      </c>
      <c r="AT897" t="s">
        <v>10328</v>
      </c>
      <c r="AU897">
        <v>2023</v>
      </c>
      <c r="AV897">
        <v>219</v>
      </c>
      <c r="AW897">
        <v>6</v>
      </c>
      <c r="AX897" t="s">
        <v>74</v>
      </c>
      <c r="AY897" t="s">
        <v>74</v>
      </c>
      <c r="AZ897" t="s">
        <v>74</v>
      </c>
      <c r="BA897" t="s">
        <v>74</v>
      </c>
      <c r="BB897">
        <v>275</v>
      </c>
      <c r="BC897">
        <v>277</v>
      </c>
      <c r="BD897" t="s">
        <v>74</v>
      </c>
      <c r="BE897" t="s">
        <v>16684</v>
      </c>
      <c r="BF897" t="str">
        <f>HYPERLINK("http://dx.doi.org/10.5694/mja2.52057","http://dx.doi.org/10.5694/mja2.52057")</f>
        <v>http://dx.doi.org/10.5694/mja2.52057</v>
      </c>
      <c r="BG897" t="s">
        <v>74</v>
      </c>
      <c r="BH897" t="s">
        <v>16585</v>
      </c>
      <c r="BI897">
        <v>3</v>
      </c>
      <c r="BJ897" t="s">
        <v>4689</v>
      </c>
      <c r="BK897" t="s">
        <v>119</v>
      </c>
      <c r="BL897" t="s">
        <v>4690</v>
      </c>
      <c r="BM897" t="s">
        <v>10330</v>
      </c>
      <c r="BN897">
        <v>37519197</v>
      </c>
      <c r="BO897" t="s">
        <v>301</v>
      </c>
      <c r="BP897" t="s">
        <v>74</v>
      </c>
      <c r="BQ897" t="s">
        <v>74</v>
      </c>
      <c r="BR897" t="s">
        <v>99</v>
      </c>
      <c r="BS897" t="s">
        <v>16685</v>
      </c>
      <c r="BT897" t="str">
        <f>HYPERLINK("https%3A%2F%2Fwww.webofscience.com%2Fwos%2Fwoscc%2Ffull-record%2FWOS:001040163700001","View Full Record in Web of Science")</f>
        <v>View Full Record in Web of Science</v>
      </c>
    </row>
    <row r="898" spans="1:72" x14ac:dyDescent="0.15">
      <c r="A898" t="s">
        <v>72</v>
      </c>
      <c r="B898" t="s">
        <v>16686</v>
      </c>
      <c r="C898" t="s">
        <v>74</v>
      </c>
      <c r="D898" t="s">
        <v>74</v>
      </c>
      <c r="E898" t="s">
        <v>74</v>
      </c>
      <c r="F898" t="s">
        <v>16687</v>
      </c>
      <c r="G898" t="s">
        <v>74</v>
      </c>
      <c r="H898" t="s">
        <v>74</v>
      </c>
      <c r="I898" t="s">
        <v>16688</v>
      </c>
      <c r="J898" t="s">
        <v>16689</v>
      </c>
      <c r="K898" t="s">
        <v>74</v>
      </c>
      <c r="L898" t="s">
        <v>74</v>
      </c>
      <c r="M898" t="s">
        <v>78</v>
      </c>
      <c r="N898" t="s">
        <v>338</v>
      </c>
      <c r="O898" t="s">
        <v>74</v>
      </c>
      <c r="P898" t="s">
        <v>74</v>
      </c>
      <c r="Q898" t="s">
        <v>74</v>
      </c>
      <c r="R898" t="s">
        <v>74</v>
      </c>
      <c r="S898" t="s">
        <v>74</v>
      </c>
      <c r="T898" t="s">
        <v>74</v>
      </c>
      <c r="U898" t="s">
        <v>16690</v>
      </c>
      <c r="V898" t="s">
        <v>16691</v>
      </c>
      <c r="W898" t="s">
        <v>16692</v>
      </c>
      <c r="X898" t="s">
        <v>16693</v>
      </c>
      <c r="Y898" t="s">
        <v>16694</v>
      </c>
      <c r="Z898" t="s">
        <v>16695</v>
      </c>
      <c r="AA898" t="s">
        <v>74</v>
      </c>
      <c r="AB898" t="s">
        <v>16696</v>
      </c>
      <c r="AC898" t="s">
        <v>16697</v>
      </c>
      <c r="AD898" t="s">
        <v>16698</v>
      </c>
      <c r="AE898" t="s">
        <v>16699</v>
      </c>
      <c r="AF898" t="s">
        <v>74</v>
      </c>
      <c r="AG898">
        <v>118</v>
      </c>
      <c r="AH898">
        <v>0</v>
      </c>
      <c r="AI898">
        <v>0</v>
      </c>
      <c r="AJ898">
        <v>3</v>
      </c>
      <c r="AK898">
        <v>3</v>
      </c>
      <c r="AL898" t="s">
        <v>87</v>
      </c>
      <c r="AM898" t="s">
        <v>88</v>
      </c>
      <c r="AN898" t="s">
        <v>89</v>
      </c>
      <c r="AO898" t="s">
        <v>16700</v>
      </c>
      <c r="AP898" t="s">
        <v>16701</v>
      </c>
      <c r="AQ898" t="s">
        <v>74</v>
      </c>
      <c r="AR898" t="s">
        <v>16702</v>
      </c>
      <c r="AS898" t="s">
        <v>16703</v>
      </c>
      <c r="AT898" t="s">
        <v>16583</v>
      </c>
      <c r="AU898">
        <v>2023</v>
      </c>
      <c r="AV898" t="s">
        <v>74</v>
      </c>
      <c r="AW898" t="s">
        <v>74</v>
      </c>
      <c r="AX898" t="s">
        <v>74</v>
      </c>
      <c r="AY898" t="s">
        <v>74</v>
      </c>
      <c r="AZ898" t="s">
        <v>74</v>
      </c>
      <c r="BA898" t="s">
        <v>74</v>
      </c>
      <c r="BB898" t="s">
        <v>74</v>
      </c>
      <c r="BC898" t="s">
        <v>74</v>
      </c>
      <c r="BD898" t="s">
        <v>74</v>
      </c>
      <c r="BE898" t="s">
        <v>16704</v>
      </c>
      <c r="BF898" t="str">
        <f>HYPERLINK("http://dx.doi.org/10.1111/jasp.13004","http://dx.doi.org/10.1111/jasp.13004")</f>
        <v>http://dx.doi.org/10.1111/jasp.13004</v>
      </c>
      <c r="BG898" t="s">
        <v>74</v>
      </c>
      <c r="BH898" t="s">
        <v>16585</v>
      </c>
      <c r="BI898">
        <v>19</v>
      </c>
      <c r="BJ898" t="s">
        <v>1209</v>
      </c>
      <c r="BK898" t="s">
        <v>546</v>
      </c>
      <c r="BL898" t="s">
        <v>1210</v>
      </c>
      <c r="BM898" t="s">
        <v>16705</v>
      </c>
      <c r="BN898" t="s">
        <v>74</v>
      </c>
      <c r="BO898" t="s">
        <v>74</v>
      </c>
      <c r="BP898" t="s">
        <v>74</v>
      </c>
      <c r="BQ898" t="s">
        <v>74</v>
      </c>
      <c r="BR898" t="s">
        <v>99</v>
      </c>
      <c r="BS898" t="s">
        <v>16706</v>
      </c>
      <c r="BT898" t="str">
        <f>HYPERLINK("https%3A%2F%2Fwww.webofscience.com%2Fwos%2Fwoscc%2Ffull-record%2FWOS:001037460400001","View Full Record in Web of Science")</f>
        <v>View Full Record in Web of Science</v>
      </c>
    </row>
    <row r="899" spans="1:72" x14ac:dyDescent="0.15">
      <c r="A899" t="s">
        <v>72</v>
      </c>
      <c r="B899" t="s">
        <v>16707</v>
      </c>
      <c r="C899" t="s">
        <v>74</v>
      </c>
      <c r="D899" t="s">
        <v>74</v>
      </c>
      <c r="E899" t="s">
        <v>74</v>
      </c>
      <c r="F899" t="s">
        <v>16708</v>
      </c>
      <c r="G899" t="s">
        <v>74</v>
      </c>
      <c r="H899" t="s">
        <v>74</v>
      </c>
      <c r="I899" t="s">
        <v>16709</v>
      </c>
      <c r="J899" t="s">
        <v>16710</v>
      </c>
      <c r="K899" t="s">
        <v>74</v>
      </c>
      <c r="L899" t="s">
        <v>74</v>
      </c>
      <c r="M899" t="s">
        <v>78</v>
      </c>
      <c r="N899" t="s">
        <v>338</v>
      </c>
      <c r="O899" t="s">
        <v>74</v>
      </c>
      <c r="P899" t="s">
        <v>74</v>
      </c>
      <c r="Q899" t="s">
        <v>74</v>
      </c>
      <c r="R899" t="s">
        <v>74</v>
      </c>
      <c r="S899" t="s">
        <v>74</v>
      </c>
      <c r="T899" t="s">
        <v>16711</v>
      </c>
      <c r="U899" t="s">
        <v>16712</v>
      </c>
      <c r="V899" t="s">
        <v>16713</v>
      </c>
      <c r="W899" t="s">
        <v>16714</v>
      </c>
      <c r="X899" t="s">
        <v>16715</v>
      </c>
      <c r="Y899" t="s">
        <v>16716</v>
      </c>
      <c r="Z899" t="s">
        <v>16717</v>
      </c>
      <c r="AA899" t="s">
        <v>74</v>
      </c>
      <c r="AB899" t="s">
        <v>16718</v>
      </c>
      <c r="AC899" t="s">
        <v>16719</v>
      </c>
      <c r="AD899" t="s">
        <v>16720</v>
      </c>
      <c r="AE899" t="s">
        <v>16721</v>
      </c>
      <c r="AF899" t="s">
        <v>74</v>
      </c>
      <c r="AG899">
        <v>30</v>
      </c>
      <c r="AH899">
        <v>0</v>
      </c>
      <c r="AI899">
        <v>0</v>
      </c>
      <c r="AJ899">
        <v>0</v>
      </c>
      <c r="AK899">
        <v>0</v>
      </c>
      <c r="AL899" t="s">
        <v>87</v>
      </c>
      <c r="AM899" t="s">
        <v>88</v>
      </c>
      <c r="AN899" t="s">
        <v>89</v>
      </c>
      <c r="AO899" t="s">
        <v>16722</v>
      </c>
      <c r="AP899" t="s">
        <v>16723</v>
      </c>
      <c r="AQ899" t="s">
        <v>74</v>
      </c>
      <c r="AR899" t="s">
        <v>16724</v>
      </c>
      <c r="AS899" t="s">
        <v>16725</v>
      </c>
      <c r="AT899" t="s">
        <v>16583</v>
      </c>
      <c r="AU899">
        <v>2023</v>
      </c>
      <c r="AV899" t="s">
        <v>74</v>
      </c>
      <c r="AW899" t="s">
        <v>74</v>
      </c>
      <c r="AX899" t="s">
        <v>74</v>
      </c>
      <c r="AY899" t="s">
        <v>74</v>
      </c>
      <c r="AZ899" t="s">
        <v>74</v>
      </c>
      <c r="BA899" t="s">
        <v>74</v>
      </c>
      <c r="BB899" t="s">
        <v>74</v>
      </c>
      <c r="BC899" t="s">
        <v>74</v>
      </c>
      <c r="BD899" t="s">
        <v>74</v>
      </c>
      <c r="BE899" t="s">
        <v>16726</v>
      </c>
      <c r="BF899" t="str">
        <f>HYPERLINK("http://dx.doi.org/10.1111/iju.15262","http://dx.doi.org/10.1111/iju.15262")</f>
        <v>http://dx.doi.org/10.1111/iju.15262</v>
      </c>
      <c r="BG899" t="s">
        <v>74</v>
      </c>
      <c r="BH899" t="s">
        <v>16585</v>
      </c>
      <c r="BI899">
        <v>7</v>
      </c>
      <c r="BJ899" t="s">
        <v>16104</v>
      </c>
      <c r="BK899" t="s">
        <v>119</v>
      </c>
      <c r="BL899" t="s">
        <v>16104</v>
      </c>
      <c r="BM899" t="s">
        <v>16727</v>
      </c>
      <c r="BN899">
        <v>37522577</v>
      </c>
      <c r="BO899" t="s">
        <v>74</v>
      </c>
      <c r="BP899" t="s">
        <v>74</v>
      </c>
      <c r="BQ899" t="s">
        <v>74</v>
      </c>
      <c r="BR899" t="s">
        <v>99</v>
      </c>
      <c r="BS899" t="s">
        <v>16728</v>
      </c>
      <c r="BT899" t="str">
        <f>HYPERLINK("https%3A%2F%2Fwww.webofscience.com%2Fwos%2Fwoscc%2Ffull-record%2FWOS:001038344100001","View Full Record in Web of Science")</f>
        <v>View Full Record in Web of Science</v>
      </c>
    </row>
    <row r="900" spans="1:72" x14ac:dyDescent="0.15">
      <c r="A900" t="s">
        <v>72</v>
      </c>
      <c r="B900" t="s">
        <v>16729</v>
      </c>
      <c r="C900" t="s">
        <v>74</v>
      </c>
      <c r="D900" t="s">
        <v>74</v>
      </c>
      <c r="E900" t="s">
        <v>74</v>
      </c>
      <c r="F900" t="s">
        <v>16730</v>
      </c>
      <c r="G900" t="s">
        <v>74</v>
      </c>
      <c r="H900" t="s">
        <v>74</v>
      </c>
      <c r="I900" t="s">
        <v>16731</v>
      </c>
      <c r="J900" t="s">
        <v>16732</v>
      </c>
      <c r="K900" t="s">
        <v>74</v>
      </c>
      <c r="L900" t="s">
        <v>74</v>
      </c>
      <c r="M900" t="s">
        <v>78</v>
      </c>
      <c r="N900" t="s">
        <v>338</v>
      </c>
      <c r="O900" t="s">
        <v>74</v>
      </c>
      <c r="P900" t="s">
        <v>74</v>
      </c>
      <c r="Q900" t="s">
        <v>74</v>
      </c>
      <c r="R900" t="s">
        <v>74</v>
      </c>
      <c r="S900" t="s">
        <v>74</v>
      </c>
      <c r="T900" t="s">
        <v>16733</v>
      </c>
      <c r="U900" t="s">
        <v>16734</v>
      </c>
      <c r="V900" t="s">
        <v>16735</v>
      </c>
      <c r="W900" t="s">
        <v>16736</v>
      </c>
      <c r="X900" t="s">
        <v>16737</v>
      </c>
      <c r="Y900" t="s">
        <v>16738</v>
      </c>
      <c r="Z900" t="s">
        <v>16739</v>
      </c>
      <c r="AA900" t="s">
        <v>74</v>
      </c>
      <c r="AB900" t="s">
        <v>16740</v>
      </c>
      <c r="AC900" t="s">
        <v>16741</v>
      </c>
      <c r="AD900" t="s">
        <v>16741</v>
      </c>
      <c r="AE900" t="s">
        <v>16742</v>
      </c>
      <c r="AF900" t="s">
        <v>74</v>
      </c>
      <c r="AG900">
        <v>99</v>
      </c>
      <c r="AH900">
        <v>0</v>
      </c>
      <c r="AI900">
        <v>0</v>
      </c>
      <c r="AJ900">
        <v>11</v>
      </c>
      <c r="AK900">
        <v>11</v>
      </c>
      <c r="AL900" t="s">
        <v>87</v>
      </c>
      <c r="AM900" t="s">
        <v>88</v>
      </c>
      <c r="AN900" t="s">
        <v>89</v>
      </c>
      <c r="AO900" t="s">
        <v>16743</v>
      </c>
      <c r="AP900" t="s">
        <v>16744</v>
      </c>
      <c r="AQ900" t="s">
        <v>74</v>
      </c>
      <c r="AR900" t="s">
        <v>16745</v>
      </c>
      <c r="AS900" t="s">
        <v>16746</v>
      </c>
      <c r="AT900" t="s">
        <v>16583</v>
      </c>
      <c r="AU900">
        <v>2023</v>
      </c>
      <c r="AV900" t="s">
        <v>74</v>
      </c>
      <c r="AW900" t="s">
        <v>74</v>
      </c>
      <c r="AX900" t="s">
        <v>74</v>
      </c>
      <c r="AY900" t="s">
        <v>74</v>
      </c>
      <c r="AZ900" t="s">
        <v>74</v>
      </c>
      <c r="BA900" t="s">
        <v>74</v>
      </c>
      <c r="BB900" t="s">
        <v>74</v>
      </c>
      <c r="BC900" t="s">
        <v>74</v>
      </c>
      <c r="BD900" t="s">
        <v>74</v>
      </c>
      <c r="BE900" t="s">
        <v>16747</v>
      </c>
      <c r="BF900" t="str">
        <f>HYPERLINK("http://dx.doi.org/10.1002/smj.3541","http://dx.doi.org/10.1002/smj.3541")</f>
        <v>http://dx.doi.org/10.1002/smj.3541</v>
      </c>
      <c r="BG900" t="s">
        <v>74</v>
      </c>
      <c r="BH900" t="s">
        <v>16585</v>
      </c>
      <c r="BI900">
        <v>23</v>
      </c>
      <c r="BJ900" t="s">
        <v>16748</v>
      </c>
      <c r="BK900" t="s">
        <v>546</v>
      </c>
      <c r="BL900" t="s">
        <v>547</v>
      </c>
      <c r="BM900" t="s">
        <v>16749</v>
      </c>
      <c r="BN900" t="s">
        <v>74</v>
      </c>
      <c r="BO900" t="s">
        <v>122</v>
      </c>
      <c r="BP900" t="s">
        <v>74</v>
      </c>
      <c r="BQ900" t="s">
        <v>74</v>
      </c>
      <c r="BR900" t="s">
        <v>99</v>
      </c>
      <c r="BS900" t="s">
        <v>16750</v>
      </c>
      <c r="BT900" t="str">
        <f>HYPERLINK("https%3A%2F%2Fwww.webofscience.com%2Fwos%2Fwoscc%2Ffull-record%2FWOS:001040168000001","View Full Record in Web of Science")</f>
        <v>View Full Record in Web of Science</v>
      </c>
    </row>
    <row r="901" spans="1:72" x14ac:dyDescent="0.15">
      <c r="A901" t="s">
        <v>72</v>
      </c>
      <c r="B901" t="s">
        <v>16751</v>
      </c>
      <c r="C901" t="s">
        <v>74</v>
      </c>
      <c r="D901" t="s">
        <v>74</v>
      </c>
      <c r="E901" t="s">
        <v>74</v>
      </c>
      <c r="F901" t="s">
        <v>16752</v>
      </c>
      <c r="G901" t="s">
        <v>74</v>
      </c>
      <c r="H901" t="s">
        <v>74</v>
      </c>
      <c r="I901" t="s">
        <v>16753</v>
      </c>
      <c r="J901" t="s">
        <v>16754</v>
      </c>
      <c r="K901" t="s">
        <v>74</v>
      </c>
      <c r="L901" t="s">
        <v>74</v>
      </c>
      <c r="M901" t="s">
        <v>78</v>
      </c>
      <c r="N901" t="s">
        <v>338</v>
      </c>
      <c r="O901" t="s">
        <v>74</v>
      </c>
      <c r="P901" t="s">
        <v>74</v>
      </c>
      <c r="Q901" t="s">
        <v>74</v>
      </c>
      <c r="R901" t="s">
        <v>74</v>
      </c>
      <c r="S901" t="s">
        <v>74</v>
      </c>
      <c r="T901" t="s">
        <v>16755</v>
      </c>
      <c r="U901" t="s">
        <v>16756</v>
      </c>
      <c r="V901" t="s">
        <v>16757</v>
      </c>
      <c r="W901" t="s">
        <v>16758</v>
      </c>
      <c r="X901" t="s">
        <v>16759</v>
      </c>
      <c r="Y901" t="s">
        <v>16760</v>
      </c>
      <c r="Z901" t="s">
        <v>16761</v>
      </c>
      <c r="AA901" t="s">
        <v>74</v>
      </c>
      <c r="AB901" t="s">
        <v>74</v>
      </c>
      <c r="AC901" t="s">
        <v>16762</v>
      </c>
      <c r="AD901" t="s">
        <v>16763</v>
      </c>
      <c r="AE901" t="s">
        <v>16764</v>
      </c>
      <c r="AF901" t="s">
        <v>74</v>
      </c>
      <c r="AG901">
        <v>33</v>
      </c>
      <c r="AH901">
        <v>0</v>
      </c>
      <c r="AI901">
        <v>0</v>
      </c>
      <c r="AJ901">
        <v>0</v>
      </c>
      <c r="AK901">
        <v>0</v>
      </c>
      <c r="AL901" t="s">
        <v>87</v>
      </c>
      <c r="AM901" t="s">
        <v>88</v>
      </c>
      <c r="AN901" t="s">
        <v>89</v>
      </c>
      <c r="AO901" t="s">
        <v>16765</v>
      </c>
      <c r="AP901" t="s">
        <v>16766</v>
      </c>
      <c r="AQ901" t="s">
        <v>74</v>
      </c>
      <c r="AR901" t="s">
        <v>16767</v>
      </c>
      <c r="AS901" t="s">
        <v>16768</v>
      </c>
      <c r="AT901" t="s">
        <v>16583</v>
      </c>
      <c r="AU901">
        <v>2023</v>
      </c>
      <c r="AV901" t="s">
        <v>74</v>
      </c>
      <c r="AW901" t="s">
        <v>74</v>
      </c>
      <c r="AX901" t="s">
        <v>74</v>
      </c>
      <c r="AY901" t="s">
        <v>74</v>
      </c>
      <c r="AZ901" t="s">
        <v>74</v>
      </c>
      <c r="BA901" t="s">
        <v>74</v>
      </c>
      <c r="BB901" t="s">
        <v>74</v>
      </c>
      <c r="BC901" t="s">
        <v>74</v>
      </c>
      <c r="BD901" t="s">
        <v>74</v>
      </c>
      <c r="BE901" t="s">
        <v>16769</v>
      </c>
      <c r="BF901" t="str">
        <f>HYPERLINK("http://dx.doi.org/10.1002/clc.24087","http://dx.doi.org/10.1002/clc.24087")</f>
        <v>http://dx.doi.org/10.1002/clc.24087</v>
      </c>
      <c r="BG901" t="s">
        <v>74</v>
      </c>
      <c r="BH901" t="s">
        <v>16585</v>
      </c>
      <c r="BI901">
        <v>8</v>
      </c>
      <c r="BJ901" t="s">
        <v>1849</v>
      </c>
      <c r="BK901" t="s">
        <v>119</v>
      </c>
      <c r="BL901" t="s">
        <v>1850</v>
      </c>
      <c r="BM901" t="s">
        <v>16770</v>
      </c>
      <c r="BN901">
        <v>37522647</v>
      </c>
      <c r="BO901" t="s">
        <v>234</v>
      </c>
      <c r="BP901" t="s">
        <v>74</v>
      </c>
      <c r="BQ901" t="s">
        <v>74</v>
      </c>
      <c r="BR901" t="s">
        <v>99</v>
      </c>
      <c r="BS901" t="s">
        <v>16771</v>
      </c>
      <c r="BT901" t="str">
        <f>HYPERLINK("https%3A%2F%2Fwww.webofscience.com%2Fwos%2Fwoscc%2Ffull-record%2FWOS:001037527100001","View Full Record in Web of Science")</f>
        <v>View Full Record in Web of Science</v>
      </c>
    </row>
    <row r="902" spans="1:72" x14ac:dyDescent="0.15">
      <c r="A902" t="s">
        <v>72</v>
      </c>
      <c r="B902" t="s">
        <v>16772</v>
      </c>
      <c r="C902" t="s">
        <v>74</v>
      </c>
      <c r="D902" t="s">
        <v>74</v>
      </c>
      <c r="E902" t="s">
        <v>74</v>
      </c>
      <c r="F902" t="s">
        <v>16773</v>
      </c>
      <c r="G902" t="s">
        <v>74</v>
      </c>
      <c r="H902" t="s">
        <v>74</v>
      </c>
      <c r="I902" t="s">
        <v>16774</v>
      </c>
      <c r="J902" t="s">
        <v>1773</v>
      </c>
      <c r="K902" t="s">
        <v>74</v>
      </c>
      <c r="L902" t="s">
        <v>74</v>
      </c>
      <c r="M902" t="s">
        <v>78</v>
      </c>
      <c r="N902" t="s">
        <v>3392</v>
      </c>
      <c r="O902" t="s">
        <v>74</v>
      </c>
      <c r="P902" t="s">
        <v>74</v>
      </c>
      <c r="Q902" t="s">
        <v>74</v>
      </c>
      <c r="R902" t="s">
        <v>74</v>
      </c>
      <c r="S902" t="s">
        <v>74</v>
      </c>
      <c r="T902" t="s">
        <v>16775</v>
      </c>
      <c r="U902" t="s">
        <v>16776</v>
      </c>
      <c r="V902" t="s">
        <v>16777</v>
      </c>
      <c r="W902" t="s">
        <v>16778</v>
      </c>
      <c r="X902" t="s">
        <v>16779</v>
      </c>
      <c r="Y902" t="s">
        <v>16780</v>
      </c>
      <c r="Z902" t="s">
        <v>16781</v>
      </c>
      <c r="AA902" t="s">
        <v>74</v>
      </c>
      <c r="AB902" t="s">
        <v>16782</v>
      </c>
      <c r="AC902" t="s">
        <v>16783</v>
      </c>
      <c r="AD902" t="s">
        <v>16784</v>
      </c>
      <c r="AE902" t="s">
        <v>16785</v>
      </c>
      <c r="AF902" t="s">
        <v>74</v>
      </c>
      <c r="AG902">
        <v>126</v>
      </c>
      <c r="AH902">
        <v>0</v>
      </c>
      <c r="AI902">
        <v>0</v>
      </c>
      <c r="AJ902">
        <v>56</v>
      </c>
      <c r="AK902">
        <v>56</v>
      </c>
      <c r="AL902" t="s">
        <v>426</v>
      </c>
      <c r="AM902" t="s">
        <v>427</v>
      </c>
      <c r="AN902" t="s">
        <v>428</v>
      </c>
      <c r="AO902" t="s">
        <v>1785</v>
      </c>
      <c r="AP902" t="s">
        <v>1786</v>
      </c>
      <c r="AQ902" t="s">
        <v>74</v>
      </c>
      <c r="AR902" t="s">
        <v>1787</v>
      </c>
      <c r="AS902" t="s">
        <v>1788</v>
      </c>
      <c r="AT902" t="s">
        <v>6725</v>
      </c>
      <c r="AU902">
        <v>2023</v>
      </c>
      <c r="AV902">
        <v>35</v>
      </c>
      <c r="AW902">
        <v>35</v>
      </c>
      <c r="AX902" t="s">
        <v>74</v>
      </c>
      <c r="AY902" t="s">
        <v>74</v>
      </c>
      <c r="AZ902" t="s">
        <v>74</v>
      </c>
      <c r="BA902" t="s">
        <v>74</v>
      </c>
      <c r="BB902" t="s">
        <v>74</v>
      </c>
      <c r="BC902" t="s">
        <v>74</v>
      </c>
      <c r="BD902" t="s">
        <v>74</v>
      </c>
      <c r="BE902" t="s">
        <v>16786</v>
      </c>
      <c r="BF902" t="str">
        <f>HYPERLINK("http://dx.doi.org/10.1002/adma.202302452","http://dx.doi.org/10.1002/adma.202302452")</f>
        <v>http://dx.doi.org/10.1002/adma.202302452</v>
      </c>
      <c r="BG902" t="s">
        <v>74</v>
      </c>
      <c r="BH902" t="s">
        <v>16585</v>
      </c>
      <c r="BI902">
        <v>13</v>
      </c>
      <c r="BJ902" t="s">
        <v>609</v>
      </c>
      <c r="BK902" t="s">
        <v>119</v>
      </c>
      <c r="BL902" t="s">
        <v>610</v>
      </c>
      <c r="BM902" t="s">
        <v>16787</v>
      </c>
      <c r="BN902">
        <v>37201949</v>
      </c>
      <c r="BO902" t="s">
        <v>122</v>
      </c>
      <c r="BP902" t="s">
        <v>74</v>
      </c>
      <c r="BQ902" t="s">
        <v>74</v>
      </c>
      <c r="BR902" t="s">
        <v>99</v>
      </c>
      <c r="BS902" t="s">
        <v>16788</v>
      </c>
      <c r="BT902" t="str">
        <f>HYPERLINK("https%3A%2F%2Fwww.webofscience.com%2Fwos%2Fwoscc%2Ffull-record%2FWOS:001040100500001","View Full Record in Web of Science")</f>
        <v>View Full Record in Web of Science</v>
      </c>
    </row>
    <row r="903" spans="1:72" x14ac:dyDescent="0.15">
      <c r="A903" t="s">
        <v>72</v>
      </c>
      <c r="B903" t="s">
        <v>16789</v>
      </c>
      <c r="C903" t="s">
        <v>74</v>
      </c>
      <c r="D903" t="s">
        <v>74</v>
      </c>
      <c r="E903" t="s">
        <v>74</v>
      </c>
      <c r="F903" t="s">
        <v>16790</v>
      </c>
      <c r="G903" t="s">
        <v>74</v>
      </c>
      <c r="H903" t="s">
        <v>74</v>
      </c>
      <c r="I903" t="s">
        <v>16791</v>
      </c>
      <c r="J903" t="s">
        <v>1067</v>
      </c>
      <c r="K903" t="s">
        <v>74</v>
      </c>
      <c r="L903" t="s">
        <v>74</v>
      </c>
      <c r="M903" t="s">
        <v>78</v>
      </c>
      <c r="N903" t="s">
        <v>338</v>
      </c>
      <c r="O903" t="s">
        <v>74</v>
      </c>
      <c r="P903" t="s">
        <v>74</v>
      </c>
      <c r="Q903" t="s">
        <v>74</v>
      </c>
      <c r="R903" t="s">
        <v>74</v>
      </c>
      <c r="S903" t="s">
        <v>74</v>
      </c>
      <c r="T903" t="s">
        <v>16792</v>
      </c>
      <c r="U903" t="s">
        <v>16793</v>
      </c>
      <c r="V903" t="s">
        <v>16794</v>
      </c>
      <c r="W903" t="s">
        <v>16795</v>
      </c>
      <c r="X903" t="s">
        <v>16796</v>
      </c>
      <c r="Y903" t="s">
        <v>16797</v>
      </c>
      <c r="Z903" t="s">
        <v>16798</v>
      </c>
      <c r="AA903" t="s">
        <v>74</v>
      </c>
      <c r="AB903" t="s">
        <v>16799</v>
      </c>
      <c r="AC903" t="s">
        <v>16800</v>
      </c>
      <c r="AD903" t="s">
        <v>16800</v>
      </c>
      <c r="AE903" t="s">
        <v>16800</v>
      </c>
      <c r="AF903" t="s">
        <v>74</v>
      </c>
      <c r="AG903">
        <v>51</v>
      </c>
      <c r="AH903">
        <v>0</v>
      </c>
      <c r="AI903">
        <v>0</v>
      </c>
      <c r="AJ903">
        <v>0</v>
      </c>
      <c r="AK903">
        <v>0</v>
      </c>
      <c r="AL903" t="s">
        <v>87</v>
      </c>
      <c r="AM903" t="s">
        <v>88</v>
      </c>
      <c r="AN903" t="s">
        <v>89</v>
      </c>
      <c r="AO903" t="s">
        <v>1077</v>
      </c>
      <c r="AP903" t="s">
        <v>1078</v>
      </c>
      <c r="AQ903" t="s">
        <v>74</v>
      </c>
      <c r="AR903" t="s">
        <v>1079</v>
      </c>
      <c r="AS903" t="s">
        <v>1080</v>
      </c>
      <c r="AT903" t="s">
        <v>16583</v>
      </c>
      <c r="AU903">
        <v>2023</v>
      </c>
      <c r="AV903" t="s">
        <v>74</v>
      </c>
      <c r="AW903" t="s">
        <v>74</v>
      </c>
      <c r="AX903" t="s">
        <v>74</v>
      </c>
      <c r="AY903" t="s">
        <v>74</v>
      </c>
      <c r="AZ903" t="s">
        <v>74</v>
      </c>
      <c r="BA903" t="s">
        <v>74</v>
      </c>
      <c r="BB903" t="s">
        <v>74</v>
      </c>
      <c r="BC903" t="s">
        <v>74</v>
      </c>
      <c r="BD903" t="s">
        <v>74</v>
      </c>
      <c r="BE903" t="s">
        <v>16801</v>
      </c>
      <c r="BF903" t="str">
        <f>HYPERLINK("http://dx.doi.org/10.1002/sd.2708","http://dx.doi.org/10.1002/sd.2708")</f>
        <v>http://dx.doi.org/10.1002/sd.2708</v>
      </c>
      <c r="BG903" t="s">
        <v>74</v>
      </c>
      <c r="BH903" t="s">
        <v>16585</v>
      </c>
      <c r="BI903">
        <v>18</v>
      </c>
      <c r="BJ903" t="s">
        <v>1082</v>
      </c>
      <c r="BK903" t="s">
        <v>546</v>
      </c>
      <c r="BL903" t="s">
        <v>1083</v>
      </c>
      <c r="BM903" t="s">
        <v>16802</v>
      </c>
      <c r="BN903" t="s">
        <v>74</v>
      </c>
      <c r="BO903" t="s">
        <v>4580</v>
      </c>
      <c r="BP903" t="s">
        <v>74</v>
      </c>
      <c r="BQ903" t="s">
        <v>74</v>
      </c>
      <c r="BR903" t="s">
        <v>99</v>
      </c>
      <c r="BS903" t="s">
        <v>16803</v>
      </c>
      <c r="BT903" t="str">
        <f>HYPERLINK("https%3A%2F%2Fwww.webofscience.com%2Fwos%2Fwoscc%2Ffull-record%2FWOS:001040824300001","View Full Record in Web of Science")</f>
        <v>View Full Record in Web of Science</v>
      </c>
    </row>
    <row r="904" spans="1:72" x14ac:dyDescent="0.15">
      <c r="A904" t="s">
        <v>72</v>
      </c>
      <c r="B904" t="s">
        <v>16804</v>
      </c>
      <c r="C904" t="s">
        <v>74</v>
      </c>
      <c r="D904" t="s">
        <v>74</v>
      </c>
      <c r="E904" t="s">
        <v>74</v>
      </c>
      <c r="F904" t="s">
        <v>16805</v>
      </c>
      <c r="G904" t="s">
        <v>74</v>
      </c>
      <c r="H904" t="s">
        <v>74</v>
      </c>
      <c r="I904" t="s">
        <v>16806</v>
      </c>
      <c r="J904" t="s">
        <v>6692</v>
      </c>
      <c r="K904" t="s">
        <v>74</v>
      </c>
      <c r="L904" t="s">
        <v>74</v>
      </c>
      <c r="M904" t="s">
        <v>78</v>
      </c>
      <c r="N904" t="s">
        <v>338</v>
      </c>
      <c r="O904" t="s">
        <v>74</v>
      </c>
      <c r="P904" t="s">
        <v>74</v>
      </c>
      <c r="Q904" t="s">
        <v>74</v>
      </c>
      <c r="R904" t="s">
        <v>74</v>
      </c>
      <c r="S904" t="s">
        <v>74</v>
      </c>
      <c r="T904" t="s">
        <v>16807</v>
      </c>
      <c r="U904" t="s">
        <v>16808</v>
      </c>
      <c r="V904" t="s">
        <v>16809</v>
      </c>
      <c r="W904" t="s">
        <v>16810</v>
      </c>
      <c r="X904" t="s">
        <v>16811</v>
      </c>
      <c r="Y904" t="s">
        <v>16812</v>
      </c>
      <c r="Z904" t="s">
        <v>16813</v>
      </c>
      <c r="AA904" t="s">
        <v>74</v>
      </c>
      <c r="AB904" t="s">
        <v>16814</v>
      </c>
      <c r="AC904" t="s">
        <v>16815</v>
      </c>
      <c r="AD904" t="s">
        <v>16816</v>
      </c>
      <c r="AE904" t="s">
        <v>16817</v>
      </c>
      <c r="AF904" t="s">
        <v>74</v>
      </c>
      <c r="AG904">
        <v>62</v>
      </c>
      <c r="AH904">
        <v>0</v>
      </c>
      <c r="AI904">
        <v>0</v>
      </c>
      <c r="AJ904">
        <v>1</v>
      </c>
      <c r="AK904">
        <v>1</v>
      </c>
      <c r="AL904" t="s">
        <v>87</v>
      </c>
      <c r="AM904" t="s">
        <v>88</v>
      </c>
      <c r="AN904" t="s">
        <v>89</v>
      </c>
      <c r="AO904" t="s">
        <v>6704</v>
      </c>
      <c r="AP904" t="s">
        <v>6705</v>
      </c>
      <c r="AQ904" t="s">
        <v>74</v>
      </c>
      <c r="AR904" t="s">
        <v>6706</v>
      </c>
      <c r="AS904" t="s">
        <v>6707</v>
      </c>
      <c r="AT904" t="s">
        <v>16583</v>
      </c>
      <c r="AU904">
        <v>2023</v>
      </c>
      <c r="AV904" t="s">
        <v>74</v>
      </c>
      <c r="AW904" t="s">
        <v>74</v>
      </c>
      <c r="AX904" t="s">
        <v>74</v>
      </c>
      <c r="AY904" t="s">
        <v>74</v>
      </c>
      <c r="AZ904" t="s">
        <v>74</v>
      </c>
      <c r="BA904" t="s">
        <v>74</v>
      </c>
      <c r="BB904" t="s">
        <v>74</v>
      </c>
      <c r="BC904" t="s">
        <v>74</v>
      </c>
      <c r="BD904" t="s">
        <v>74</v>
      </c>
      <c r="BE904" t="s">
        <v>16818</v>
      </c>
      <c r="BF904" t="str">
        <f>HYPERLINK("http://dx.doi.org/10.1002/nbm.5006","http://dx.doi.org/10.1002/nbm.5006")</f>
        <v>http://dx.doi.org/10.1002/nbm.5006</v>
      </c>
      <c r="BG904" t="s">
        <v>74</v>
      </c>
      <c r="BH904" t="s">
        <v>16585</v>
      </c>
      <c r="BI904">
        <v>18</v>
      </c>
      <c r="BJ904" t="s">
        <v>6709</v>
      </c>
      <c r="BK904" t="s">
        <v>119</v>
      </c>
      <c r="BL904" t="s">
        <v>6709</v>
      </c>
      <c r="BM904" t="s">
        <v>16819</v>
      </c>
      <c r="BN904">
        <v>37524504</v>
      </c>
      <c r="BO904" t="s">
        <v>122</v>
      </c>
      <c r="BP904" t="s">
        <v>74</v>
      </c>
      <c r="BQ904" t="s">
        <v>74</v>
      </c>
      <c r="BR904" t="s">
        <v>99</v>
      </c>
      <c r="BS904" t="s">
        <v>16820</v>
      </c>
      <c r="BT904" t="str">
        <f>HYPERLINK("https%3A%2F%2Fwww.webofscience.com%2Fwos%2Fwoscc%2Ffull-record%2FWOS:001039940600001","View Full Record in Web of Science")</f>
        <v>View Full Record in Web of Science</v>
      </c>
    </row>
    <row r="905" spans="1:72" x14ac:dyDescent="0.15">
      <c r="A905" t="s">
        <v>72</v>
      </c>
      <c r="B905" t="s">
        <v>16821</v>
      </c>
      <c r="C905" t="s">
        <v>74</v>
      </c>
      <c r="D905" t="s">
        <v>74</v>
      </c>
      <c r="E905" t="s">
        <v>74</v>
      </c>
      <c r="F905" t="s">
        <v>16822</v>
      </c>
      <c r="G905" t="s">
        <v>74</v>
      </c>
      <c r="H905" t="s">
        <v>74</v>
      </c>
      <c r="I905" t="s">
        <v>16823</v>
      </c>
      <c r="J905" t="s">
        <v>6312</v>
      </c>
      <c r="K905" t="s">
        <v>74</v>
      </c>
      <c r="L905" t="s">
        <v>74</v>
      </c>
      <c r="M905" t="s">
        <v>78</v>
      </c>
      <c r="N905" t="s">
        <v>79</v>
      </c>
      <c r="O905" t="s">
        <v>74</v>
      </c>
      <c r="P905" t="s">
        <v>74</v>
      </c>
      <c r="Q905" t="s">
        <v>74</v>
      </c>
      <c r="R905" t="s">
        <v>74</v>
      </c>
      <c r="S905" t="s">
        <v>74</v>
      </c>
      <c r="T905" t="s">
        <v>16824</v>
      </c>
      <c r="U905" t="s">
        <v>16825</v>
      </c>
      <c r="V905" t="s">
        <v>16826</v>
      </c>
      <c r="W905" t="s">
        <v>16827</v>
      </c>
      <c r="X905" t="s">
        <v>16828</v>
      </c>
      <c r="Y905" t="s">
        <v>16829</v>
      </c>
      <c r="Z905" t="s">
        <v>16830</v>
      </c>
      <c r="AA905" t="s">
        <v>16831</v>
      </c>
      <c r="AB905" t="s">
        <v>16832</v>
      </c>
      <c r="AC905" t="s">
        <v>16833</v>
      </c>
      <c r="AD905" t="s">
        <v>16834</v>
      </c>
      <c r="AE905" t="s">
        <v>16835</v>
      </c>
      <c r="AF905" t="s">
        <v>74</v>
      </c>
      <c r="AG905">
        <v>63</v>
      </c>
      <c r="AH905">
        <v>0</v>
      </c>
      <c r="AI905">
        <v>0</v>
      </c>
      <c r="AJ905">
        <v>2</v>
      </c>
      <c r="AK905">
        <v>2</v>
      </c>
      <c r="AL905" t="s">
        <v>87</v>
      </c>
      <c r="AM905" t="s">
        <v>88</v>
      </c>
      <c r="AN905" t="s">
        <v>89</v>
      </c>
      <c r="AO905" t="s">
        <v>6324</v>
      </c>
      <c r="AP905" t="s">
        <v>6325</v>
      </c>
      <c r="AQ905" t="s">
        <v>74</v>
      </c>
      <c r="AR905" t="s">
        <v>6326</v>
      </c>
      <c r="AS905" t="s">
        <v>6327</v>
      </c>
      <c r="AT905" t="s">
        <v>13320</v>
      </c>
      <c r="AU905">
        <v>2023</v>
      </c>
      <c r="AV905">
        <v>24</v>
      </c>
      <c r="AW905">
        <v>9</v>
      </c>
      <c r="AX905" t="s">
        <v>74</v>
      </c>
      <c r="AY905" t="s">
        <v>74</v>
      </c>
      <c r="AZ905" t="s">
        <v>74</v>
      </c>
      <c r="BA905" t="s">
        <v>74</v>
      </c>
      <c r="BB905" t="s">
        <v>74</v>
      </c>
      <c r="BC905" t="s">
        <v>74</v>
      </c>
      <c r="BD905" t="s">
        <v>74</v>
      </c>
      <c r="BE905" t="s">
        <v>16836</v>
      </c>
      <c r="BF905" t="str">
        <f>HYPERLINK("http://dx.doi.org/10.15252/embr.202357181","http://dx.doi.org/10.15252/embr.202357181")</f>
        <v>http://dx.doi.org/10.15252/embr.202357181</v>
      </c>
      <c r="BG905" t="s">
        <v>74</v>
      </c>
      <c r="BH905" t="s">
        <v>16585</v>
      </c>
      <c r="BI905">
        <v>22</v>
      </c>
      <c r="BJ905" t="s">
        <v>6211</v>
      </c>
      <c r="BK905" t="s">
        <v>119</v>
      </c>
      <c r="BL905" t="s">
        <v>6211</v>
      </c>
      <c r="BM905" t="s">
        <v>16837</v>
      </c>
      <c r="BN905">
        <v>37522754</v>
      </c>
      <c r="BO905" t="s">
        <v>16838</v>
      </c>
      <c r="BP905" t="s">
        <v>74</v>
      </c>
      <c r="BQ905" t="s">
        <v>74</v>
      </c>
      <c r="BR905" t="s">
        <v>99</v>
      </c>
      <c r="BS905" t="s">
        <v>16839</v>
      </c>
      <c r="BT905" t="str">
        <f>HYPERLINK("https%3A%2F%2Fwww.webofscience.com%2Fwos%2Fwoscc%2Ffull-record%2FWOS:001039881900001","View Full Record in Web of Science")</f>
        <v>View Full Record in Web of Science</v>
      </c>
    </row>
    <row r="906" spans="1:72" x14ac:dyDescent="0.15">
      <c r="A906" t="s">
        <v>72</v>
      </c>
      <c r="B906" t="s">
        <v>16840</v>
      </c>
      <c r="C906" t="s">
        <v>74</v>
      </c>
      <c r="D906" t="s">
        <v>74</v>
      </c>
      <c r="E906" t="s">
        <v>74</v>
      </c>
      <c r="F906" t="s">
        <v>16841</v>
      </c>
      <c r="G906" t="s">
        <v>74</v>
      </c>
      <c r="H906" t="s">
        <v>74</v>
      </c>
      <c r="I906" t="s">
        <v>16842</v>
      </c>
      <c r="J906" t="s">
        <v>16843</v>
      </c>
      <c r="K906" t="s">
        <v>74</v>
      </c>
      <c r="L906" t="s">
        <v>74</v>
      </c>
      <c r="M906" t="s">
        <v>78</v>
      </c>
      <c r="N906" t="s">
        <v>338</v>
      </c>
      <c r="O906" t="s">
        <v>74</v>
      </c>
      <c r="P906" t="s">
        <v>74</v>
      </c>
      <c r="Q906" t="s">
        <v>74</v>
      </c>
      <c r="R906" t="s">
        <v>74</v>
      </c>
      <c r="S906" t="s">
        <v>74</v>
      </c>
      <c r="T906" t="s">
        <v>74</v>
      </c>
      <c r="U906" t="s">
        <v>16844</v>
      </c>
      <c r="V906" t="s">
        <v>16845</v>
      </c>
      <c r="W906" t="s">
        <v>16846</v>
      </c>
      <c r="X906" t="s">
        <v>74</v>
      </c>
      <c r="Y906" t="s">
        <v>16847</v>
      </c>
      <c r="Z906" t="s">
        <v>16848</v>
      </c>
      <c r="AA906" t="s">
        <v>74</v>
      </c>
      <c r="AB906" t="s">
        <v>16849</v>
      </c>
      <c r="AC906" t="s">
        <v>74</v>
      </c>
      <c r="AD906" t="s">
        <v>74</v>
      </c>
      <c r="AE906" t="s">
        <v>74</v>
      </c>
      <c r="AF906" t="s">
        <v>74</v>
      </c>
      <c r="AG906">
        <v>28</v>
      </c>
      <c r="AH906">
        <v>0</v>
      </c>
      <c r="AI906">
        <v>0</v>
      </c>
      <c r="AJ906">
        <v>0</v>
      </c>
      <c r="AK906">
        <v>0</v>
      </c>
      <c r="AL906" t="s">
        <v>87</v>
      </c>
      <c r="AM906" t="s">
        <v>88</v>
      </c>
      <c r="AN906" t="s">
        <v>89</v>
      </c>
      <c r="AO906" t="s">
        <v>16850</v>
      </c>
      <c r="AP906" t="s">
        <v>16851</v>
      </c>
      <c r="AQ906" t="s">
        <v>74</v>
      </c>
      <c r="AR906" t="s">
        <v>16852</v>
      </c>
      <c r="AS906" t="s">
        <v>16853</v>
      </c>
      <c r="AT906" t="s">
        <v>16583</v>
      </c>
      <c r="AU906">
        <v>2023</v>
      </c>
      <c r="AV906" t="s">
        <v>74</v>
      </c>
      <c r="AW906" t="s">
        <v>74</v>
      </c>
      <c r="AX906" t="s">
        <v>74</v>
      </c>
      <c r="AY906" t="s">
        <v>74</v>
      </c>
      <c r="AZ906" t="s">
        <v>74</v>
      </c>
      <c r="BA906" t="s">
        <v>74</v>
      </c>
      <c r="BB906" t="s">
        <v>74</v>
      </c>
      <c r="BC906" t="s">
        <v>74</v>
      </c>
      <c r="BD906" t="s">
        <v>74</v>
      </c>
      <c r="BE906" t="s">
        <v>16854</v>
      </c>
      <c r="BF906" t="str">
        <f>HYPERLINK("http://dx.doi.org/10.1111/caje.12667","http://dx.doi.org/10.1111/caje.12667")</f>
        <v>http://dx.doi.org/10.1111/caje.12667</v>
      </c>
      <c r="BG906" t="s">
        <v>74</v>
      </c>
      <c r="BH906" t="s">
        <v>16585</v>
      </c>
      <c r="BI906">
        <v>40</v>
      </c>
      <c r="BJ906" t="s">
        <v>4132</v>
      </c>
      <c r="BK906" t="s">
        <v>546</v>
      </c>
      <c r="BL906" t="s">
        <v>547</v>
      </c>
      <c r="BM906" t="s">
        <v>16855</v>
      </c>
      <c r="BN906" t="s">
        <v>74</v>
      </c>
      <c r="BO906" t="s">
        <v>301</v>
      </c>
      <c r="BP906" t="s">
        <v>74</v>
      </c>
      <c r="BQ906" t="s">
        <v>74</v>
      </c>
      <c r="BR906" t="s">
        <v>99</v>
      </c>
      <c r="BS906" t="s">
        <v>16856</v>
      </c>
      <c r="BT906" t="str">
        <f>HYPERLINK("https%3A%2F%2Fwww.webofscience.com%2Fwos%2Fwoscc%2Ffull-record%2FWOS:001039409300001","View Full Record in Web of Science")</f>
        <v>View Full Record in Web of Science</v>
      </c>
    </row>
    <row r="907" spans="1:72" x14ac:dyDescent="0.15">
      <c r="A907" t="s">
        <v>72</v>
      </c>
      <c r="B907" t="s">
        <v>16857</v>
      </c>
      <c r="C907" t="s">
        <v>74</v>
      </c>
      <c r="D907" t="s">
        <v>74</v>
      </c>
      <c r="E907" t="s">
        <v>74</v>
      </c>
      <c r="F907" t="s">
        <v>16858</v>
      </c>
      <c r="G907" t="s">
        <v>74</v>
      </c>
      <c r="H907" t="s">
        <v>74</v>
      </c>
      <c r="I907" t="s">
        <v>16859</v>
      </c>
      <c r="J907" t="s">
        <v>16860</v>
      </c>
      <c r="K907" t="s">
        <v>74</v>
      </c>
      <c r="L907" t="s">
        <v>74</v>
      </c>
      <c r="M907" t="s">
        <v>78</v>
      </c>
      <c r="N907" t="s">
        <v>338</v>
      </c>
      <c r="O907" t="s">
        <v>74</v>
      </c>
      <c r="P907" t="s">
        <v>74</v>
      </c>
      <c r="Q907" t="s">
        <v>74</v>
      </c>
      <c r="R907" t="s">
        <v>74</v>
      </c>
      <c r="S907" t="s">
        <v>74</v>
      </c>
      <c r="T907" t="s">
        <v>74</v>
      </c>
      <c r="U907" t="s">
        <v>74</v>
      </c>
      <c r="V907" t="s">
        <v>16861</v>
      </c>
      <c r="W907" t="s">
        <v>16862</v>
      </c>
      <c r="X907" t="s">
        <v>16863</v>
      </c>
      <c r="Y907" t="s">
        <v>16864</v>
      </c>
      <c r="Z907" t="s">
        <v>16865</v>
      </c>
      <c r="AA907" t="s">
        <v>74</v>
      </c>
      <c r="AB907" t="s">
        <v>74</v>
      </c>
      <c r="AC907" t="s">
        <v>16866</v>
      </c>
      <c r="AD907" t="s">
        <v>16867</v>
      </c>
      <c r="AE907" t="s">
        <v>16868</v>
      </c>
      <c r="AF907" t="s">
        <v>74</v>
      </c>
      <c r="AG907">
        <v>24</v>
      </c>
      <c r="AH907">
        <v>1</v>
      </c>
      <c r="AI907">
        <v>1</v>
      </c>
      <c r="AJ907">
        <v>0</v>
      </c>
      <c r="AK907">
        <v>0</v>
      </c>
      <c r="AL907" t="s">
        <v>426</v>
      </c>
      <c r="AM907" t="s">
        <v>427</v>
      </c>
      <c r="AN907" t="s">
        <v>428</v>
      </c>
      <c r="AO907" t="s">
        <v>16869</v>
      </c>
      <c r="AP907" t="s">
        <v>16870</v>
      </c>
      <c r="AQ907" t="s">
        <v>74</v>
      </c>
      <c r="AR907" t="s">
        <v>16871</v>
      </c>
      <c r="AS907" t="s">
        <v>16872</v>
      </c>
      <c r="AT907" t="s">
        <v>16583</v>
      </c>
      <c r="AU907">
        <v>2023</v>
      </c>
      <c r="AV907" t="s">
        <v>74</v>
      </c>
      <c r="AW907" t="s">
        <v>74</v>
      </c>
      <c r="AX907" t="s">
        <v>74</v>
      </c>
      <c r="AY907" t="s">
        <v>74</v>
      </c>
      <c r="AZ907" t="s">
        <v>74</v>
      </c>
      <c r="BA907" t="s">
        <v>74</v>
      </c>
      <c r="BB907" t="s">
        <v>74</v>
      </c>
      <c r="BC907" t="s">
        <v>74</v>
      </c>
      <c r="BD907" t="s">
        <v>74</v>
      </c>
      <c r="BE907" t="s">
        <v>16873</v>
      </c>
      <c r="BF907" t="str">
        <f>HYPERLINK("http://dx.doi.org/10.1002/malq.202100076","http://dx.doi.org/10.1002/malq.202100076")</f>
        <v>http://dx.doi.org/10.1002/malq.202100076</v>
      </c>
      <c r="BG907" t="s">
        <v>74</v>
      </c>
      <c r="BH907" t="s">
        <v>16585</v>
      </c>
      <c r="BI907">
        <v>27</v>
      </c>
      <c r="BJ907" t="s">
        <v>16874</v>
      </c>
      <c r="BK907" t="s">
        <v>119</v>
      </c>
      <c r="BL907" t="s">
        <v>16875</v>
      </c>
      <c r="BM907" t="s">
        <v>16876</v>
      </c>
      <c r="BN907" t="s">
        <v>74</v>
      </c>
      <c r="BO907" t="s">
        <v>5713</v>
      </c>
      <c r="BP907" t="s">
        <v>74</v>
      </c>
      <c r="BQ907" t="s">
        <v>74</v>
      </c>
      <c r="BR907" t="s">
        <v>99</v>
      </c>
      <c r="BS907" t="s">
        <v>16877</v>
      </c>
      <c r="BT907" t="str">
        <f>HYPERLINK("https%3A%2F%2Fwww.webofscience.com%2Fwos%2Fwoscc%2Ffull-record%2FWOS:001039545900001","View Full Record in Web of Science")</f>
        <v>View Full Record in Web of Science</v>
      </c>
    </row>
    <row r="908" spans="1:72" x14ac:dyDescent="0.15">
      <c r="A908" t="s">
        <v>72</v>
      </c>
      <c r="B908" t="s">
        <v>16878</v>
      </c>
      <c r="C908" t="s">
        <v>74</v>
      </c>
      <c r="D908" t="s">
        <v>74</v>
      </c>
      <c r="E908" t="s">
        <v>74</v>
      </c>
      <c r="F908" t="s">
        <v>16879</v>
      </c>
      <c r="G908" t="s">
        <v>74</v>
      </c>
      <c r="H908" t="s">
        <v>74</v>
      </c>
      <c r="I908" t="s">
        <v>16880</v>
      </c>
      <c r="J908" t="s">
        <v>1275</v>
      </c>
      <c r="K908" t="s">
        <v>74</v>
      </c>
      <c r="L908" t="s">
        <v>74</v>
      </c>
      <c r="M908" t="s">
        <v>78</v>
      </c>
      <c r="N908" t="s">
        <v>338</v>
      </c>
      <c r="O908" t="s">
        <v>74</v>
      </c>
      <c r="P908" t="s">
        <v>74</v>
      </c>
      <c r="Q908" t="s">
        <v>74</v>
      </c>
      <c r="R908" t="s">
        <v>74</v>
      </c>
      <c r="S908" t="s">
        <v>74</v>
      </c>
      <c r="T908" t="s">
        <v>16881</v>
      </c>
      <c r="U908" t="s">
        <v>16882</v>
      </c>
      <c r="V908" t="s">
        <v>16883</v>
      </c>
      <c r="W908" t="s">
        <v>16884</v>
      </c>
      <c r="X908" t="s">
        <v>16885</v>
      </c>
      <c r="Y908" t="s">
        <v>16886</v>
      </c>
      <c r="Z908" t="s">
        <v>16887</v>
      </c>
      <c r="AA908" t="s">
        <v>74</v>
      </c>
      <c r="AB908" t="s">
        <v>74</v>
      </c>
      <c r="AC908" t="s">
        <v>16888</v>
      </c>
      <c r="AD908" t="s">
        <v>16889</v>
      </c>
      <c r="AE908" t="s">
        <v>16890</v>
      </c>
      <c r="AF908" t="s">
        <v>74</v>
      </c>
      <c r="AG908">
        <v>35</v>
      </c>
      <c r="AH908">
        <v>0</v>
      </c>
      <c r="AI908">
        <v>0</v>
      </c>
      <c r="AJ908">
        <v>0</v>
      </c>
      <c r="AK908">
        <v>0</v>
      </c>
      <c r="AL908" t="s">
        <v>87</v>
      </c>
      <c r="AM908" t="s">
        <v>88</v>
      </c>
      <c r="AN908" t="s">
        <v>89</v>
      </c>
      <c r="AO908" t="s">
        <v>1285</v>
      </c>
      <c r="AP908" t="s">
        <v>1286</v>
      </c>
      <c r="AQ908" t="s">
        <v>74</v>
      </c>
      <c r="AR908" t="s">
        <v>1287</v>
      </c>
      <c r="AS908" t="s">
        <v>1288</v>
      </c>
      <c r="AT908" t="s">
        <v>16583</v>
      </c>
      <c r="AU908">
        <v>2023</v>
      </c>
      <c r="AV908" t="s">
        <v>74</v>
      </c>
      <c r="AW908" t="s">
        <v>74</v>
      </c>
      <c r="AX908" t="s">
        <v>74</v>
      </c>
      <c r="AY908" t="s">
        <v>74</v>
      </c>
      <c r="AZ908" t="s">
        <v>74</v>
      </c>
      <c r="BA908" t="s">
        <v>74</v>
      </c>
      <c r="BB908" t="s">
        <v>74</v>
      </c>
      <c r="BC908" t="s">
        <v>74</v>
      </c>
      <c r="BD908" t="s">
        <v>74</v>
      </c>
      <c r="BE908" t="s">
        <v>16891</v>
      </c>
      <c r="BF908" t="str">
        <f>HYPERLINK("http://dx.doi.org/10.1002/mp.16652","http://dx.doi.org/10.1002/mp.16652")</f>
        <v>http://dx.doi.org/10.1002/mp.16652</v>
      </c>
      <c r="BG908" t="s">
        <v>74</v>
      </c>
      <c r="BH908" t="s">
        <v>16585</v>
      </c>
      <c r="BI908">
        <v>11</v>
      </c>
      <c r="BJ908" t="s">
        <v>1290</v>
      </c>
      <c r="BK908" t="s">
        <v>119</v>
      </c>
      <c r="BL908" t="s">
        <v>1290</v>
      </c>
      <c r="BM908" t="s">
        <v>16892</v>
      </c>
      <c r="BN908">
        <v>37523236</v>
      </c>
      <c r="BO908" t="s">
        <v>74</v>
      </c>
      <c r="BP908" t="s">
        <v>74</v>
      </c>
      <c r="BQ908" t="s">
        <v>74</v>
      </c>
      <c r="BR908" t="s">
        <v>99</v>
      </c>
      <c r="BS908" t="s">
        <v>16893</v>
      </c>
      <c r="BT908" t="str">
        <f>HYPERLINK("https%3A%2F%2Fwww.webofscience.com%2Fwos%2Fwoscc%2Ffull-record%2FWOS:001037661300001","View Full Record in Web of Science")</f>
        <v>View Full Record in Web of Science</v>
      </c>
    </row>
    <row r="909" spans="1:72" x14ac:dyDescent="0.15">
      <c r="A909" t="s">
        <v>72</v>
      </c>
      <c r="B909" t="s">
        <v>16894</v>
      </c>
      <c r="C909" t="s">
        <v>74</v>
      </c>
      <c r="D909" t="s">
        <v>74</v>
      </c>
      <c r="E909" t="s">
        <v>74</v>
      </c>
      <c r="F909" t="s">
        <v>16895</v>
      </c>
      <c r="G909" t="s">
        <v>74</v>
      </c>
      <c r="H909" t="s">
        <v>74</v>
      </c>
      <c r="I909" t="s">
        <v>16896</v>
      </c>
      <c r="J909" t="s">
        <v>12929</v>
      </c>
      <c r="K909" t="s">
        <v>74</v>
      </c>
      <c r="L909" t="s">
        <v>74</v>
      </c>
      <c r="M909" t="s">
        <v>78</v>
      </c>
      <c r="N909" t="s">
        <v>79</v>
      </c>
      <c r="O909" t="s">
        <v>74</v>
      </c>
      <c r="P909" t="s">
        <v>74</v>
      </c>
      <c r="Q909" t="s">
        <v>74</v>
      </c>
      <c r="R909" t="s">
        <v>74</v>
      </c>
      <c r="S909" t="s">
        <v>74</v>
      </c>
      <c r="T909" t="s">
        <v>16897</v>
      </c>
      <c r="U909" t="s">
        <v>16898</v>
      </c>
      <c r="V909" t="s">
        <v>16899</v>
      </c>
      <c r="W909" t="s">
        <v>16900</v>
      </c>
      <c r="X909" t="s">
        <v>16901</v>
      </c>
      <c r="Y909" t="s">
        <v>16902</v>
      </c>
      <c r="Z909" t="s">
        <v>16903</v>
      </c>
      <c r="AA909" t="s">
        <v>16904</v>
      </c>
      <c r="AB909" t="s">
        <v>16905</v>
      </c>
      <c r="AC909" t="s">
        <v>16906</v>
      </c>
      <c r="AD909" t="s">
        <v>16907</v>
      </c>
      <c r="AE909" t="s">
        <v>16908</v>
      </c>
      <c r="AF909" t="s">
        <v>74</v>
      </c>
      <c r="AG909">
        <v>39</v>
      </c>
      <c r="AH909">
        <v>0</v>
      </c>
      <c r="AI909">
        <v>0</v>
      </c>
      <c r="AJ909">
        <v>8</v>
      </c>
      <c r="AK909">
        <v>8</v>
      </c>
      <c r="AL909" t="s">
        <v>87</v>
      </c>
      <c r="AM909" t="s">
        <v>88</v>
      </c>
      <c r="AN909" t="s">
        <v>89</v>
      </c>
      <c r="AO909" t="s">
        <v>12938</v>
      </c>
      <c r="AP909" t="s">
        <v>12939</v>
      </c>
      <c r="AQ909" t="s">
        <v>74</v>
      </c>
      <c r="AR909" t="s">
        <v>12940</v>
      </c>
      <c r="AS909" t="s">
        <v>12941</v>
      </c>
      <c r="AT909" t="s">
        <v>185</v>
      </c>
      <c r="AU909">
        <v>2023</v>
      </c>
      <c r="AV909">
        <v>47</v>
      </c>
      <c r="AW909">
        <v>15</v>
      </c>
      <c r="AX909" t="s">
        <v>74</v>
      </c>
      <c r="AY909" t="s">
        <v>74</v>
      </c>
      <c r="AZ909" t="s">
        <v>74</v>
      </c>
      <c r="BA909" t="s">
        <v>74</v>
      </c>
      <c r="BB909">
        <v>2791</v>
      </c>
      <c r="BC909">
        <v>2814</v>
      </c>
      <c r="BD909" t="s">
        <v>74</v>
      </c>
      <c r="BE909" t="s">
        <v>16909</v>
      </c>
      <c r="BF909" t="str">
        <f>HYPERLINK("http://dx.doi.org/10.1002/nag.3598","http://dx.doi.org/10.1002/nag.3598")</f>
        <v>http://dx.doi.org/10.1002/nag.3598</v>
      </c>
      <c r="BG909" t="s">
        <v>74</v>
      </c>
      <c r="BH909" t="s">
        <v>16585</v>
      </c>
      <c r="BI909">
        <v>24</v>
      </c>
      <c r="BJ909" t="s">
        <v>12943</v>
      </c>
      <c r="BK909" t="s">
        <v>119</v>
      </c>
      <c r="BL909" t="s">
        <v>12944</v>
      </c>
      <c r="BM909" t="s">
        <v>16910</v>
      </c>
      <c r="BN909" t="s">
        <v>74</v>
      </c>
      <c r="BO909" t="s">
        <v>74</v>
      </c>
      <c r="BP909" t="s">
        <v>74</v>
      </c>
      <c r="BQ909" t="s">
        <v>74</v>
      </c>
      <c r="BR909" t="s">
        <v>99</v>
      </c>
      <c r="BS909" t="s">
        <v>16911</v>
      </c>
      <c r="BT909" t="str">
        <f>HYPERLINK("https%3A%2F%2Fwww.webofscience.com%2Fwos%2Fwoscc%2Ffull-record%2FWOS:001037240500001","View Full Record in Web of Science")</f>
        <v>View Full Record in Web of Science</v>
      </c>
    </row>
    <row r="910" spans="1:72" x14ac:dyDescent="0.15">
      <c r="A910" t="s">
        <v>72</v>
      </c>
      <c r="B910" t="s">
        <v>16912</v>
      </c>
      <c r="C910" t="s">
        <v>74</v>
      </c>
      <c r="D910" t="s">
        <v>74</v>
      </c>
      <c r="E910" t="s">
        <v>74</v>
      </c>
      <c r="F910" t="s">
        <v>16913</v>
      </c>
      <c r="G910" t="s">
        <v>74</v>
      </c>
      <c r="H910" t="s">
        <v>74</v>
      </c>
      <c r="I910" t="s">
        <v>16914</v>
      </c>
      <c r="J910" t="s">
        <v>5218</v>
      </c>
      <c r="K910" t="s">
        <v>74</v>
      </c>
      <c r="L910" t="s">
        <v>74</v>
      </c>
      <c r="M910" t="s">
        <v>78</v>
      </c>
      <c r="N910" t="s">
        <v>594</v>
      </c>
      <c r="O910" t="s">
        <v>74</v>
      </c>
      <c r="P910" t="s">
        <v>74</v>
      </c>
      <c r="Q910" t="s">
        <v>74</v>
      </c>
      <c r="R910" t="s">
        <v>74</v>
      </c>
      <c r="S910" t="s">
        <v>74</v>
      </c>
      <c r="T910" t="s">
        <v>16915</v>
      </c>
      <c r="U910" t="s">
        <v>16916</v>
      </c>
      <c r="V910" t="s">
        <v>16917</v>
      </c>
      <c r="W910" t="s">
        <v>16918</v>
      </c>
      <c r="X910" t="s">
        <v>16919</v>
      </c>
      <c r="Y910" t="s">
        <v>16920</v>
      </c>
      <c r="Z910" t="s">
        <v>16921</v>
      </c>
      <c r="AA910" t="s">
        <v>74</v>
      </c>
      <c r="AB910" t="s">
        <v>16922</v>
      </c>
      <c r="AC910" t="s">
        <v>16923</v>
      </c>
      <c r="AD910" t="s">
        <v>16924</v>
      </c>
      <c r="AE910" t="s">
        <v>16925</v>
      </c>
      <c r="AF910" t="s">
        <v>74</v>
      </c>
      <c r="AG910">
        <v>185</v>
      </c>
      <c r="AH910">
        <v>0</v>
      </c>
      <c r="AI910">
        <v>0</v>
      </c>
      <c r="AJ910">
        <v>0</v>
      </c>
      <c r="AK910">
        <v>0</v>
      </c>
      <c r="AL910" t="s">
        <v>87</v>
      </c>
      <c r="AM910" t="s">
        <v>88</v>
      </c>
      <c r="AN910" t="s">
        <v>89</v>
      </c>
      <c r="AO910" t="s">
        <v>5229</v>
      </c>
      <c r="AP910" t="s">
        <v>5230</v>
      </c>
      <c r="AQ910" t="s">
        <v>74</v>
      </c>
      <c r="AR910" t="s">
        <v>5231</v>
      </c>
      <c r="AS910" t="s">
        <v>5232</v>
      </c>
      <c r="AT910" t="s">
        <v>16583</v>
      </c>
      <c r="AU910">
        <v>2023</v>
      </c>
      <c r="AV910" t="s">
        <v>74</v>
      </c>
      <c r="AW910" t="s">
        <v>74</v>
      </c>
      <c r="AX910" t="s">
        <v>74</v>
      </c>
      <c r="AY910" t="s">
        <v>74</v>
      </c>
      <c r="AZ910" t="s">
        <v>74</v>
      </c>
      <c r="BA910" t="s">
        <v>74</v>
      </c>
      <c r="BB910" t="s">
        <v>74</v>
      </c>
      <c r="BC910" t="s">
        <v>74</v>
      </c>
      <c r="BD910" t="s">
        <v>74</v>
      </c>
      <c r="BE910" t="s">
        <v>16926</v>
      </c>
      <c r="BF910" t="str">
        <f>HYPERLINK("http://dx.doi.org/10.1111/imr.13254","http://dx.doi.org/10.1111/imr.13254")</f>
        <v>http://dx.doi.org/10.1111/imr.13254</v>
      </c>
      <c r="BG910" t="s">
        <v>74</v>
      </c>
      <c r="BH910" t="s">
        <v>16585</v>
      </c>
      <c r="BI910">
        <v>18</v>
      </c>
      <c r="BJ910" t="s">
        <v>5234</v>
      </c>
      <c r="BK910" t="s">
        <v>119</v>
      </c>
      <c r="BL910" t="s">
        <v>5234</v>
      </c>
      <c r="BM910" t="s">
        <v>16927</v>
      </c>
      <c r="BN910">
        <v>37522861</v>
      </c>
      <c r="BO910" t="s">
        <v>122</v>
      </c>
      <c r="BP910" t="s">
        <v>74</v>
      </c>
      <c r="BQ910" t="s">
        <v>74</v>
      </c>
      <c r="BR910" t="s">
        <v>99</v>
      </c>
      <c r="BS910" t="s">
        <v>16928</v>
      </c>
      <c r="BT910" t="str">
        <f>HYPERLINK("https%3A%2F%2Fwww.webofscience.com%2Fwos%2Fwoscc%2Ffull-record%2FWOS:001039904900001","View Full Record in Web of Science")</f>
        <v>View Full Record in Web of Science</v>
      </c>
    </row>
    <row r="911" spans="1:72" x14ac:dyDescent="0.15">
      <c r="A911" t="s">
        <v>72</v>
      </c>
      <c r="B911" t="s">
        <v>16929</v>
      </c>
      <c r="C911" t="s">
        <v>74</v>
      </c>
      <c r="D911" t="s">
        <v>74</v>
      </c>
      <c r="E911" t="s">
        <v>74</v>
      </c>
      <c r="F911" t="s">
        <v>16930</v>
      </c>
      <c r="G911" t="s">
        <v>74</v>
      </c>
      <c r="H911" t="s">
        <v>74</v>
      </c>
      <c r="I911" t="s">
        <v>16931</v>
      </c>
      <c r="J911" t="s">
        <v>1568</v>
      </c>
      <c r="K911" t="s">
        <v>74</v>
      </c>
      <c r="L911" t="s">
        <v>74</v>
      </c>
      <c r="M911" t="s">
        <v>78</v>
      </c>
      <c r="N911" t="s">
        <v>338</v>
      </c>
      <c r="O911" t="s">
        <v>74</v>
      </c>
      <c r="P911" t="s">
        <v>74</v>
      </c>
      <c r="Q911" t="s">
        <v>74</v>
      </c>
      <c r="R911" t="s">
        <v>74</v>
      </c>
      <c r="S911" t="s">
        <v>74</v>
      </c>
      <c r="T911" t="s">
        <v>16932</v>
      </c>
      <c r="U911" t="s">
        <v>16933</v>
      </c>
      <c r="V911" t="s">
        <v>16934</v>
      </c>
      <c r="W911" t="s">
        <v>16935</v>
      </c>
      <c r="X911" t="s">
        <v>16936</v>
      </c>
      <c r="Y911" t="s">
        <v>16937</v>
      </c>
      <c r="Z911" t="s">
        <v>16938</v>
      </c>
      <c r="AA911" t="s">
        <v>74</v>
      </c>
      <c r="AB911" t="s">
        <v>16939</v>
      </c>
      <c r="AC911" t="s">
        <v>74</v>
      </c>
      <c r="AD911" t="s">
        <v>74</v>
      </c>
      <c r="AE911" t="s">
        <v>74</v>
      </c>
      <c r="AF911" t="s">
        <v>74</v>
      </c>
      <c r="AG911">
        <v>45</v>
      </c>
      <c r="AH911">
        <v>0</v>
      </c>
      <c r="AI911">
        <v>0</v>
      </c>
      <c r="AJ911">
        <v>1</v>
      </c>
      <c r="AK911">
        <v>1</v>
      </c>
      <c r="AL911" t="s">
        <v>87</v>
      </c>
      <c r="AM911" t="s">
        <v>88</v>
      </c>
      <c r="AN911" t="s">
        <v>89</v>
      </c>
      <c r="AO911" t="s">
        <v>1578</v>
      </c>
      <c r="AP911" t="s">
        <v>74</v>
      </c>
      <c r="AQ911" t="s">
        <v>74</v>
      </c>
      <c r="AR911" t="s">
        <v>1579</v>
      </c>
      <c r="AS911" t="s">
        <v>1580</v>
      </c>
      <c r="AT911" t="s">
        <v>16583</v>
      </c>
      <c r="AU911">
        <v>2023</v>
      </c>
      <c r="AV911" t="s">
        <v>74</v>
      </c>
      <c r="AW911" t="s">
        <v>74</v>
      </c>
      <c r="AX911" t="s">
        <v>74</v>
      </c>
      <c r="AY911" t="s">
        <v>74</v>
      </c>
      <c r="AZ911" t="s">
        <v>74</v>
      </c>
      <c r="BA911" t="s">
        <v>74</v>
      </c>
      <c r="BB911" t="s">
        <v>74</v>
      </c>
      <c r="BC911" t="s">
        <v>74</v>
      </c>
      <c r="BD911" t="s">
        <v>74</v>
      </c>
      <c r="BE911" t="s">
        <v>16940</v>
      </c>
      <c r="BF911" t="str">
        <f>HYPERLINK("http://dx.doi.org/10.1002/cam4.6355","http://dx.doi.org/10.1002/cam4.6355")</f>
        <v>http://dx.doi.org/10.1002/cam4.6355</v>
      </c>
      <c r="BG911" t="s">
        <v>74</v>
      </c>
      <c r="BH911" t="s">
        <v>16585</v>
      </c>
      <c r="BI911">
        <v>12</v>
      </c>
      <c r="BJ911" t="s">
        <v>789</v>
      </c>
      <c r="BK911" t="s">
        <v>119</v>
      </c>
      <c r="BL911" t="s">
        <v>789</v>
      </c>
      <c r="BM911" t="s">
        <v>16941</v>
      </c>
      <c r="BN911">
        <v>37519127</v>
      </c>
      <c r="BO911" t="s">
        <v>6786</v>
      </c>
      <c r="BP911" t="s">
        <v>74</v>
      </c>
      <c r="BQ911" t="s">
        <v>74</v>
      </c>
      <c r="BR911" t="s">
        <v>99</v>
      </c>
      <c r="BS911" t="s">
        <v>16942</v>
      </c>
      <c r="BT911" t="str">
        <f>HYPERLINK("https%3A%2F%2Fwww.webofscience.com%2Fwos%2Fwoscc%2Ffull-record%2FWOS:001040306900001","View Full Record in Web of Science")</f>
        <v>View Full Record in Web of Science</v>
      </c>
    </row>
    <row r="912" spans="1:72" x14ac:dyDescent="0.15">
      <c r="A912" t="s">
        <v>72</v>
      </c>
      <c r="B912" t="s">
        <v>16943</v>
      </c>
      <c r="C912" t="s">
        <v>74</v>
      </c>
      <c r="D912" t="s">
        <v>74</v>
      </c>
      <c r="E912" t="s">
        <v>74</v>
      </c>
      <c r="F912" t="s">
        <v>16944</v>
      </c>
      <c r="G912" t="s">
        <v>74</v>
      </c>
      <c r="H912" t="s">
        <v>74</v>
      </c>
      <c r="I912" t="s">
        <v>16945</v>
      </c>
      <c r="J912" t="s">
        <v>875</v>
      </c>
      <c r="K912" t="s">
        <v>74</v>
      </c>
      <c r="L912" t="s">
        <v>74</v>
      </c>
      <c r="M912" t="s">
        <v>78</v>
      </c>
      <c r="N912" t="s">
        <v>338</v>
      </c>
      <c r="O912" t="s">
        <v>74</v>
      </c>
      <c r="P912" t="s">
        <v>74</v>
      </c>
      <c r="Q912" t="s">
        <v>74</v>
      </c>
      <c r="R912" t="s">
        <v>74</v>
      </c>
      <c r="S912" t="s">
        <v>74</v>
      </c>
      <c r="T912" t="s">
        <v>16946</v>
      </c>
      <c r="U912" t="s">
        <v>16947</v>
      </c>
      <c r="V912" t="s">
        <v>16948</v>
      </c>
      <c r="W912" t="s">
        <v>16949</v>
      </c>
      <c r="X912" t="s">
        <v>16950</v>
      </c>
      <c r="Y912" t="s">
        <v>16951</v>
      </c>
      <c r="Z912" t="s">
        <v>16952</v>
      </c>
      <c r="AA912" t="s">
        <v>74</v>
      </c>
      <c r="AB912" t="s">
        <v>74</v>
      </c>
      <c r="AC912" t="s">
        <v>16953</v>
      </c>
      <c r="AD912" t="s">
        <v>16954</v>
      </c>
      <c r="AE912" t="s">
        <v>16955</v>
      </c>
      <c r="AF912" t="s">
        <v>74</v>
      </c>
      <c r="AG912">
        <v>63</v>
      </c>
      <c r="AH912">
        <v>0</v>
      </c>
      <c r="AI912">
        <v>0</v>
      </c>
      <c r="AJ912">
        <v>29</v>
      </c>
      <c r="AK912">
        <v>29</v>
      </c>
      <c r="AL912" t="s">
        <v>426</v>
      </c>
      <c r="AM912" t="s">
        <v>427</v>
      </c>
      <c r="AN912" t="s">
        <v>428</v>
      </c>
      <c r="AO912" t="s">
        <v>886</v>
      </c>
      <c r="AP912" t="s">
        <v>887</v>
      </c>
      <c r="AQ912" t="s">
        <v>74</v>
      </c>
      <c r="AR912" t="s">
        <v>888</v>
      </c>
      <c r="AS912" t="s">
        <v>889</v>
      </c>
      <c r="AT912" t="s">
        <v>16583</v>
      </c>
      <c r="AU912">
        <v>2023</v>
      </c>
      <c r="AV912" t="s">
        <v>74</v>
      </c>
      <c r="AW912" t="s">
        <v>74</v>
      </c>
      <c r="AX912" t="s">
        <v>74</v>
      </c>
      <c r="AY912" t="s">
        <v>74</v>
      </c>
      <c r="AZ912" t="s">
        <v>74</v>
      </c>
      <c r="BA912" t="s">
        <v>74</v>
      </c>
      <c r="BB912" t="s">
        <v>74</v>
      </c>
      <c r="BC912" t="s">
        <v>74</v>
      </c>
      <c r="BD912" t="s">
        <v>74</v>
      </c>
      <c r="BE912" t="s">
        <v>16956</v>
      </c>
      <c r="BF912" t="str">
        <f>HYPERLINK("http://dx.doi.org/10.1002/adfm.202301804","http://dx.doi.org/10.1002/adfm.202301804")</f>
        <v>http://dx.doi.org/10.1002/adfm.202301804</v>
      </c>
      <c r="BG912" t="s">
        <v>74</v>
      </c>
      <c r="BH912" t="s">
        <v>16585</v>
      </c>
      <c r="BI912">
        <v>12</v>
      </c>
      <c r="BJ912" t="s">
        <v>609</v>
      </c>
      <c r="BK912" t="s">
        <v>119</v>
      </c>
      <c r="BL912" t="s">
        <v>610</v>
      </c>
      <c r="BM912" t="s">
        <v>16957</v>
      </c>
      <c r="BN912" t="s">
        <v>74</v>
      </c>
      <c r="BO912" t="s">
        <v>74</v>
      </c>
      <c r="BP912" t="s">
        <v>74</v>
      </c>
      <c r="BQ912" t="s">
        <v>74</v>
      </c>
      <c r="BR912" t="s">
        <v>99</v>
      </c>
      <c r="BS912" t="s">
        <v>16958</v>
      </c>
      <c r="BT912" t="str">
        <f>HYPERLINK("https%3A%2F%2Fwww.webofscience.com%2Fwos%2Fwoscc%2Ffull-record%2FWOS:001040095600001","View Full Record in Web of Science")</f>
        <v>View Full Record in Web of Science</v>
      </c>
    </row>
    <row r="913" spans="1:72" x14ac:dyDescent="0.15">
      <c r="A913" t="s">
        <v>72</v>
      </c>
      <c r="B913" t="s">
        <v>16959</v>
      </c>
      <c r="C913" t="s">
        <v>74</v>
      </c>
      <c r="D913" t="s">
        <v>74</v>
      </c>
      <c r="E913" t="s">
        <v>74</v>
      </c>
      <c r="F913" t="s">
        <v>16960</v>
      </c>
      <c r="G913" t="s">
        <v>74</v>
      </c>
      <c r="H913" t="s">
        <v>74</v>
      </c>
      <c r="I913" t="s">
        <v>16961</v>
      </c>
      <c r="J913" t="s">
        <v>4407</v>
      </c>
      <c r="K913" t="s">
        <v>74</v>
      </c>
      <c r="L913" t="s">
        <v>74</v>
      </c>
      <c r="M913" t="s">
        <v>78</v>
      </c>
      <c r="N913" t="s">
        <v>594</v>
      </c>
      <c r="O913" t="s">
        <v>74</v>
      </c>
      <c r="P913" t="s">
        <v>74</v>
      </c>
      <c r="Q913" t="s">
        <v>74</v>
      </c>
      <c r="R913" t="s">
        <v>74</v>
      </c>
      <c r="S913" t="s">
        <v>74</v>
      </c>
      <c r="T913" t="s">
        <v>16962</v>
      </c>
      <c r="U913" t="s">
        <v>16963</v>
      </c>
      <c r="V913" t="s">
        <v>16964</v>
      </c>
      <c r="W913" t="s">
        <v>16965</v>
      </c>
      <c r="X913" t="s">
        <v>16966</v>
      </c>
      <c r="Y913" t="s">
        <v>16967</v>
      </c>
      <c r="Z913" t="s">
        <v>16968</v>
      </c>
      <c r="AA913" t="s">
        <v>74</v>
      </c>
      <c r="AB913" t="s">
        <v>16969</v>
      </c>
      <c r="AC913" t="s">
        <v>16970</v>
      </c>
      <c r="AD913" t="s">
        <v>16971</v>
      </c>
      <c r="AE913" t="s">
        <v>16972</v>
      </c>
      <c r="AF913" t="s">
        <v>74</v>
      </c>
      <c r="AG913">
        <v>265</v>
      </c>
      <c r="AH913">
        <v>0</v>
      </c>
      <c r="AI913">
        <v>0</v>
      </c>
      <c r="AJ913">
        <v>15</v>
      </c>
      <c r="AK913">
        <v>15</v>
      </c>
      <c r="AL913" t="s">
        <v>87</v>
      </c>
      <c r="AM913" t="s">
        <v>88</v>
      </c>
      <c r="AN913" t="s">
        <v>89</v>
      </c>
      <c r="AO913" t="s">
        <v>4417</v>
      </c>
      <c r="AP913" t="s">
        <v>4418</v>
      </c>
      <c r="AQ913" t="s">
        <v>74</v>
      </c>
      <c r="AR913" t="s">
        <v>4419</v>
      </c>
      <c r="AS913" t="s">
        <v>4420</v>
      </c>
      <c r="AT913" t="s">
        <v>16583</v>
      </c>
      <c r="AU913">
        <v>2023</v>
      </c>
      <c r="AV913" t="s">
        <v>74</v>
      </c>
      <c r="AW913" t="s">
        <v>74</v>
      </c>
      <c r="AX913" t="s">
        <v>74</v>
      </c>
      <c r="AY913" t="s">
        <v>74</v>
      </c>
      <c r="AZ913" t="s">
        <v>74</v>
      </c>
      <c r="BA913" t="s">
        <v>74</v>
      </c>
      <c r="BB913" t="s">
        <v>74</v>
      </c>
      <c r="BC913" t="s">
        <v>74</v>
      </c>
      <c r="BD913" t="s">
        <v>74</v>
      </c>
      <c r="BE913" t="s">
        <v>16973</v>
      </c>
      <c r="BF913" t="str">
        <f>HYPERLINK("http://dx.doi.org/10.1111/raq.12849","http://dx.doi.org/10.1111/raq.12849")</f>
        <v>http://dx.doi.org/10.1111/raq.12849</v>
      </c>
      <c r="BG913" t="s">
        <v>74</v>
      </c>
      <c r="BH913" t="s">
        <v>16585</v>
      </c>
      <c r="BI913">
        <v>28</v>
      </c>
      <c r="BJ913" t="s">
        <v>4422</v>
      </c>
      <c r="BK913" t="s">
        <v>119</v>
      </c>
      <c r="BL913" t="s">
        <v>4422</v>
      </c>
      <c r="BM913" t="s">
        <v>16974</v>
      </c>
      <c r="BN913" t="s">
        <v>74</v>
      </c>
      <c r="BO913" t="s">
        <v>74</v>
      </c>
      <c r="BP913" t="s">
        <v>74</v>
      </c>
      <c r="BQ913" t="s">
        <v>74</v>
      </c>
      <c r="BR913" t="s">
        <v>99</v>
      </c>
      <c r="BS913" t="s">
        <v>16975</v>
      </c>
      <c r="BT913" t="str">
        <f>HYPERLINK("https%3A%2F%2Fwww.webofscience.com%2Fwos%2Fwoscc%2Ffull-record%2FWOS:001037727200001","View Full Record in Web of Science")</f>
        <v>View Full Record in Web of Science</v>
      </c>
    </row>
    <row r="914" spans="1:72" x14ac:dyDescent="0.15">
      <c r="A914" t="s">
        <v>72</v>
      </c>
      <c r="B914" t="s">
        <v>16976</v>
      </c>
      <c r="C914" t="s">
        <v>74</v>
      </c>
      <c r="D914" t="s">
        <v>74</v>
      </c>
      <c r="E914" t="s">
        <v>74</v>
      </c>
      <c r="F914" t="s">
        <v>16977</v>
      </c>
      <c r="G914" t="s">
        <v>74</v>
      </c>
      <c r="H914" t="s">
        <v>74</v>
      </c>
      <c r="I914" t="s">
        <v>16978</v>
      </c>
      <c r="J914" t="s">
        <v>16979</v>
      </c>
      <c r="K914" t="s">
        <v>74</v>
      </c>
      <c r="L914" t="s">
        <v>74</v>
      </c>
      <c r="M914" t="s">
        <v>78</v>
      </c>
      <c r="N914" t="s">
        <v>1297</v>
      </c>
      <c r="O914" t="s">
        <v>74</v>
      </c>
      <c r="P914" t="s">
        <v>74</v>
      </c>
      <c r="Q914" t="s">
        <v>74</v>
      </c>
      <c r="R914" t="s">
        <v>74</v>
      </c>
      <c r="S914" t="s">
        <v>74</v>
      </c>
      <c r="T914" t="s">
        <v>16980</v>
      </c>
      <c r="U914" t="s">
        <v>74</v>
      </c>
      <c r="V914" t="s">
        <v>74</v>
      </c>
      <c r="W914" t="s">
        <v>74</v>
      </c>
      <c r="X914" t="s">
        <v>74</v>
      </c>
      <c r="Y914" t="s">
        <v>74</v>
      </c>
      <c r="Z914" t="s">
        <v>16981</v>
      </c>
      <c r="AA914" t="s">
        <v>74</v>
      </c>
      <c r="AB914" t="s">
        <v>74</v>
      </c>
      <c r="AC914" t="s">
        <v>74</v>
      </c>
      <c r="AD914" t="s">
        <v>74</v>
      </c>
      <c r="AE914" t="s">
        <v>74</v>
      </c>
      <c r="AF914" t="s">
        <v>74</v>
      </c>
      <c r="AG914">
        <v>0</v>
      </c>
      <c r="AH914">
        <v>0</v>
      </c>
      <c r="AI914">
        <v>0</v>
      </c>
      <c r="AJ914">
        <v>0</v>
      </c>
      <c r="AK914">
        <v>0</v>
      </c>
      <c r="AL914" t="s">
        <v>87</v>
      </c>
      <c r="AM914" t="s">
        <v>88</v>
      </c>
      <c r="AN914" t="s">
        <v>89</v>
      </c>
      <c r="AO914" t="s">
        <v>16982</v>
      </c>
      <c r="AP914" t="s">
        <v>16983</v>
      </c>
      <c r="AQ914" t="s">
        <v>74</v>
      </c>
      <c r="AR914" t="s">
        <v>16984</v>
      </c>
      <c r="AS914" t="s">
        <v>16985</v>
      </c>
      <c r="AT914" t="s">
        <v>16583</v>
      </c>
      <c r="AU914">
        <v>2023</v>
      </c>
      <c r="AV914" t="s">
        <v>74</v>
      </c>
      <c r="AW914" t="s">
        <v>74</v>
      </c>
      <c r="AX914" t="s">
        <v>74</v>
      </c>
      <c r="AY914" t="s">
        <v>74</v>
      </c>
      <c r="AZ914" t="s">
        <v>74</v>
      </c>
      <c r="BA914" t="s">
        <v>74</v>
      </c>
      <c r="BB914" t="s">
        <v>74</v>
      </c>
      <c r="BC914" t="s">
        <v>74</v>
      </c>
      <c r="BD914" t="s">
        <v>74</v>
      </c>
      <c r="BE914" t="s">
        <v>16986</v>
      </c>
      <c r="BF914" t="str">
        <f>HYPERLINK("http://dx.doi.org/10.1111/anoc.12202","http://dx.doi.org/10.1111/anoc.12202")</f>
        <v>http://dx.doi.org/10.1111/anoc.12202</v>
      </c>
      <c r="BG914" t="s">
        <v>74</v>
      </c>
      <c r="BH914" t="s">
        <v>16585</v>
      </c>
      <c r="BI914">
        <v>9</v>
      </c>
      <c r="BJ914" t="s">
        <v>3107</v>
      </c>
      <c r="BK914" t="s">
        <v>96</v>
      </c>
      <c r="BL914" t="s">
        <v>3107</v>
      </c>
      <c r="BM914" t="s">
        <v>16987</v>
      </c>
      <c r="BN914" t="s">
        <v>74</v>
      </c>
      <c r="BO914" t="s">
        <v>74</v>
      </c>
      <c r="BP914" t="s">
        <v>74</v>
      </c>
      <c r="BQ914" t="s">
        <v>74</v>
      </c>
      <c r="BR914" t="s">
        <v>99</v>
      </c>
      <c r="BS914" t="s">
        <v>16988</v>
      </c>
      <c r="BT914" t="str">
        <f>HYPERLINK("https%3A%2F%2Fwww.webofscience.com%2Fwos%2Fwoscc%2Ffull-record%2FWOS:001040849900001","View Full Record in Web of Science")</f>
        <v>View Full Record in Web of Science</v>
      </c>
    </row>
    <row r="915" spans="1:72" x14ac:dyDescent="0.15">
      <c r="A915" t="s">
        <v>72</v>
      </c>
      <c r="B915" t="s">
        <v>16989</v>
      </c>
      <c r="C915" t="s">
        <v>74</v>
      </c>
      <c r="D915" t="s">
        <v>74</v>
      </c>
      <c r="E915" t="s">
        <v>74</v>
      </c>
      <c r="F915" t="s">
        <v>16990</v>
      </c>
      <c r="G915" t="s">
        <v>74</v>
      </c>
      <c r="H915" t="s">
        <v>74</v>
      </c>
      <c r="I915" t="s">
        <v>16991</v>
      </c>
      <c r="J915" t="s">
        <v>16992</v>
      </c>
      <c r="K915" t="s">
        <v>74</v>
      </c>
      <c r="L915" t="s">
        <v>74</v>
      </c>
      <c r="M915" t="s">
        <v>78</v>
      </c>
      <c r="N915" t="s">
        <v>338</v>
      </c>
      <c r="O915" t="s">
        <v>74</v>
      </c>
      <c r="P915" t="s">
        <v>74</v>
      </c>
      <c r="Q915" t="s">
        <v>74</v>
      </c>
      <c r="R915" t="s">
        <v>74</v>
      </c>
      <c r="S915" t="s">
        <v>74</v>
      </c>
      <c r="T915" t="s">
        <v>16993</v>
      </c>
      <c r="U915" t="s">
        <v>16994</v>
      </c>
      <c r="V915" t="s">
        <v>16995</v>
      </c>
      <c r="W915" t="s">
        <v>16996</v>
      </c>
      <c r="X915" t="s">
        <v>16997</v>
      </c>
      <c r="Y915" t="s">
        <v>16998</v>
      </c>
      <c r="Z915" t="s">
        <v>16999</v>
      </c>
      <c r="AA915" t="s">
        <v>74</v>
      </c>
      <c r="AB915" t="s">
        <v>74</v>
      </c>
      <c r="AC915" t="s">
        <v>17000</v>
      </c>
      <c r="AD915" t="s">
        <v>17001</v>
      </c>
      <c r="AE915" t="s">
        <v>17002</v>
      </c>
      <c r="AF915" t="s">
        <v>74</v>
      </c>
      <c r="AG915">
        <v>45</v>
      </c>
      <c r="AH915">
        <v>0</v>
      </c>
      <c r="AI915">
        <v>0</v>
      </c>
      <c r="AJ915">
        <v>0</v>
      </c>
      <c r="AK915">
        <v>0</v>
      </c>
      <c r="AL915" t="s">
        <v>87</v>
      </c>
      <c r="AM915" t="s">
        <v>88</v>
      </c>
      <c r="AN915" t="s">
        <v>89</v>
      </c>
      <c r="AO915" t="s">
        <v>17003</v>
      </c>
      <c r="AP915" t="s">
        <v>17004</v>
      </c>
      <c r="AQ915" t="s">
        <v>74</v>
      </c>
      <c r="AR915" t="s">
        <v>17005</v>
      </c>
      <c r="AS915" t="s">
        <v>17006</v>
      </c>
      <c r="AT915" t="s">
        <v>16583</v>
      </c>
      <c r="AU915">
        <v>2023</v>
      </c>
      <c r="AV915" t="s">
        <v>74</v>
      </c>
      <c r="AW915" t="s">
        <v>74</v>
      </c>
      <c r="AX915" t="s">
        <v>74</v>
      </c>
      <c r="AY915" t="s">
        <v>74</v>
      </c>
      <c r="AZ915" t="s">
        <v>74</v>
      </c>
      <c r="BA915" t="s">
        <v>74</v>
      </c>
      <c r="BB915" t="s">
        <v>74</v>
      </c>
      <c r="BC915" t="s">
        <v>74</v>
      </c>
      <c r="BD915" t="s">
        <v>74</v>
      </c>
      <c r="BE915" t="s">
        <v>17007</v>
      </c>
      <c r="BF915" t="str">
        <f>HYPERLINK("http://dx.doi.org/10.1111/pim.13007","http://dx.doi.org/10.1111/pim.13007")</f>
        <v>http://dx.doi.org/10.1111/pim.13007</v>
      </c>
      <c r="BG915" t="s">
        <v>74</v>
      </c>
      <c r="BH915" t="s">
        <v>16585</v>
      </c>
      <c r="BI915">
        <v>9</v>
      </c>
      <c r="BJ915" t="s">
        <v>17008</v>
      </c>
      <c r="BK915" t="s">
        <v>119</v>
      </c>
      <c r="BL915" t="s">
        <v>17008</v>
      </c>
      <c r="BM915" t="s">
        <v>17009</v>
      </c>
      <c r="BN915">
        <v>37524537</v>
      </c>
      <c r="BO915" t="s">
        <v>74</v>
      </c>
      <c r="BP915" t="s">
        <v>74</v>
      </c>
      <c r="BQ915" t="s">
        <v>74</v>
      </c>
      <c r="BR915" t="s">
        <v>99</v>
      </c>
      <c r="BS915" t="s">
        <v>17010</v>
      </c>
      <c r="BT915" t="str">
        <f>HYPERLINK("https%3A%2F%2Fwww.webofscience.com%2Fwos%2Fwoscc%2Ffull-record%2FWOS:001040815300001","View Full Record in Web of Science")</f>
        <v>View Full Record in Web of Science</v>
      </c>
    </row>
    <row r="916" spans="1:72" x14ac:dyDescent="0.15">
      <c r="A916" t="s">
        <v>72</v>
      </c>
      <c r="B916" t="s">
        <v>17011</v>
      </c>
      <c r="C916" t="s">
        <v>74</v>
      </c>
      <c r="D916" t="s">
        <v>74</v>
      </c>
      <c r="E916" t="s">
        <v>74</v>
      </c>
      <c r="F916" t="s">
        <v>17012</v>
      </c>
      <c r="G916" t="s">
        <v>74</v>
      </c>
      <c r="H916" t="s">
        <v>74</v>
      </c>
      <c r="I916" t="s">
        <v>17013</v>
      </c>
      <c r="J916" t="s">
        <v>3936</v>
      </c>
      <c r="K916" t="s">
        <v>74</v>
      </c>
      <c r="L916" t="s">
        <v>74</v>
      </c>
      <c r="M916" t="s">
        <v>78</v>
      </c>
      <c r="N916" t="s">
        <v>338</v>
      </c>
      <c r="O916" t="s">
        <v>74</v>
      </c>
      <c r="P916" t="s">
        <v>74</v>
      </c>
      <c r="Q916" t="s">
        <v>74</v>
      </c>
      <c r="R916" t="s">
        <v>74</v>
      </c>
      <c r="S916" t="s">
        <v>74</v>
      </c>
      <c r="T916" t="s">
        <v>17014</v>
      </c>
      <c r="U916" t="s">
        <v>17015</v>
      </c>
      <c r="V916" t="s">
        <v>17016</v>
      </c>
      <c r="W916" t="s">
        <v>17017</v>
      </c>
      <c r="X916" t="s">
        <v>17018</v>
      </c>
      <c r="Y916" t="s">
        <v>17019</v>
      </c>
      <c r="Z916" t="s">
        <v>17020</v>
      </c>
      <c r="AA916" t="s">
        <v>74</v>
      </c>
      <c r="AB916" t="s">
        <v>17021</v>
      </c>
      <c r="AC916" t="s">
        <v>74</v>
      </c>
      <c r="AD916" t="s">
        <v>74</v>
      </c>
      <c r="AE916" t="s">
        <v>74</v>
      </c>
      <c r="AF916" t="s">
        <v>74</v>
      </c>
      <c r="AG916">
        <v>34</v>
      </c>
      <c r="AH916">
        <v>0</v>
      </c>
      <c r="AI916">
        <v>0</v>
      </c>
      <c r="AJ916">
        <v>2</v>
      </c>
      <c r="AK916">
        <v>2</v>
      </c>
      <c r="AL916" t="s">
        <v>87</v>
      </c>
      <c r="AM916" t="s">
        <v>88</v>
      </c>
      <c r="AN916" t="s">
        <v>89</v>
      </c>
      <c r="AO916" t="s">
        <v>3947</v>
      </c>
      <c r="AP916" t="s">
        <v>3948</v>
      </c>
      <c r="AQ916" t="s">
        <v>74</v>
      </c>
      <c r="AR916" t="s">
        <v>3949</v>
      </c>
      <c r="AS916" t="s">
        <v>3950</v>
      </c>
      <c r="AT916" t="s">
        <v>17022</v>
      </c>
      <c r="AU916">
        <v>2023</v>
      </c>
      <c r="AV916" t="s">
        <v>74</v>
      </c>
      <c r="AW916" t="s">
        <v>74</v>
      </c>
      <c r="AX916" t="s">
        <v>74</v>
      </c>
      <c r="AY916" t="s">
        <v>74</v>
      </c>
      <c r="AZ916" t="s">
        <v>74</v>
      </c>
      <c r="BA916" t="s">
        <v>74</v>
      </c>
      <c r="BB916" t="s">
        <v>74</v>
      </c>
      <c r="BC916" t="s">
        <v>74</v>
      </c>
      <c r="BD916" t="s">
        <v>74</v>
      </c>
      <c r="BE916" t="s">
        <v>17023</v>
      </c>
      <c r="BF916" t="str">
        <f>HYPERLINK("http://dx.doi.org/10.1002/pc.27620","http://dx.doi.org/10.1002/pc.27620")</f>
        <v>http://dx.doi.org/10.1002/pc.27620</v>
      </c>
      <c r="BG916" t="s">
        <v>74</v>
      </c>
      <c r="BH916" t="s">
        <v>16585</v>
      </c>
      <c r="BI916">
        <v>18</v>
      </c>
      <c r="BJ916" t="s">
        <v>3952</v>
      </c>
      <c r="BK916" t="s">
        <v>119</v>
      </c>
      <c r="BL916" t="s">
        <v>3953</v>
      </c>
      <c r="BM916" t="s">
        <v>17024</v>
      </c>
      <c r="BN916" t="s">
        <v>74</v>
      </c>
      <c r="BO916" t="s">
        <v>122</v>
      </c>
      <c r="BP916" t="s">
        <v>74</v>
      </c>
      <c r="BQ916" t="s">
        <v>74</v>
      </c>
      <c r="BR916" t="s">
        <v>99</v>
      </c>
      <c r="BS916" t="s">
        <v>17025</v>
      </c>
      <c r="BT916" t="str">
        <f>HYPERLINK("https%3A%2F%2Fwww.webofscience.com%2Fwos%2Fwoscc%2Ffull-record%2FWOS:001040143200001","View Full Record in Web of Science")</f>
        <v>View Full Record in Web of Science</v>
      </c>
    </row>
    <row r="917" spans="1:72" x14ac:dyDescent="0.15">
      <c r="A917" t="s">
        <v>72</v>
      </c>
      <c r="B917" t="s">
        <v>17026</v>
      </c>
      <c r="C917" t="s">
        <v>74</v>
      </c>
      <c r="D917" t="s">
        <v>74</v>
      </c>
      <c r="E917" t="s">
        <v>74</v>
      </c>
      <c r="F917" t="s">
        <v>17027</v>
      </c>
      <c r="G917" t="s">
        <v>74</v>
      </c>
      <c r="H917" t="s">
        <v>74</v>
      </c>
      <c r="I917" t="s">
        <v>17028</v>
      </c>
      <c r="J917" t="s">
        <v>17029</v>
      </c>
      <c r="K917" t="s">
        <v>74</v>
      </c>
      <c r="L917" t="s">
        <v>74</v>
      </c>
      <c r="M917" t="s">
        <v>78</v>
      </c>
      <c r="N917" t="s">
        <v>338</v>
      </c>
      <c r="O917" t="s">
        <v>74</v>
      </c>
      <c r="P917" t="s">
        <v>74</v>
      </c>
      <c r="Q917" t="s">
        <v>74</v>
      </c>
      <c r="R917" t="s">
        <v>74</v>
      </c>
      <c r="S917" t="s">
        <v>74</v>
      </c>
      <c r="T917" t="s">
        <v>17030</v>
      </c>
      <c r="U917" t="s">
        <v>17031</v>
      </c>
      <c r="V917" t="s">
        <v>17032</v>
      </c>
      <c r="W917" t="s">
        <v>17033</v>
      </c>
      <c r="X917" t="s">
        <v>17034</v>
      </c>
      <c r="Y917" t="s">
        <v>17035</v>
      </c>
      <c r="Z917" t="s">
        <v>17036</v>
      </c>
      <c r="AA917" t="s">
        <v>74</v>
      </c>
      <c r="AB917" t="s">
        <v>74</v>
      </c>
      <c r="AC917" t="s">
        <v>17037</v>
      </c>
      <c r="AD917" t="s">
        <v>17038</v>
      </c>
      <c r="AE917" t="s">
        <v>17039</v>
      </c>
      <c r="AF917" t="s">
        <v>74</v>
      </c>
      <c r="AG917">
        <v>47</v>
      </c>
      <c r="AH917">
        <v>0</v>
      </c>
      <c r="AI917">
        <v>0</v>
      </c>
      <c r="AJ917">
        <v>9</v>
      </c>
      <c r="AK917">
        <v>9</v>
      </c>
      <c r="AL917" t="s">
        <v>87</v>
      </c>
      <c r="AM917" t="s">
        <v>88</v>
      </c>
      <c r="AN917" t="s">
        <v>89</v>
      </c>
      <c r="AO917" t="s">
        <v>17040</v>
      </c>
      <c r="AP917" t="s">
        <v>17041</v>
      </c>
      <c r="AQ917" t="s">
        <v>74</v>
      </c>
      <c r="AR917" t="s">
        <v>17042</v>
      </c>
      <c r="AS917" t="s">
        <v>17043</v>
      </c>
      <c r="AT917" t="s">
        <v>17022</v>
      </c>
      <c r="AU917">
        <v>2023</v>
      </c>
      <c r="AV917" t="s">
        <v>74</v>
      </c>
      <c r="AW917" t="s">
        <v>74</v>
      </c>
      <c r="AX917" t="s">
        <v>74</v>
      </c>
      <c r="AY917" t="s">
        <v>74</v>
      </c>
      <c r="AZ917" t="s">
        <v>74</v>
      </c>
      <c r="BA917" t="s">
        <v>74</v>
      </c>
      <c r="BB917" t="s">
        <v>74</v>
      </c>
      <c r="BC917" t="s">
        <v>74</v>
      </c>
      <c r="BD917" t="s">
        <v>74</v>
      </c>
      <c r="BE917" t="s">
        <v>17044</v>
      </c>
      <c r="BF917" t="str">
        <f>HYPERLINK("http://dx.doi.org/10.1002/joc.8199","http://dx.doi.org/10.1002/joc.8199")</f>
        <v>http://dx.doi.org/10.1002/joc.8199</v>
      </c>
      <c r="BG917" t="s">
        <v>74</v>
      </c>
      <c r="BH917" t="s">
        <v>16585</v>
      </c>
      <c r="BI917">
        <v>12</v>
      </c>
      <c r="BJ917" t="s">
        <v>17045</v>
      </c>
      <c r="BK917" t="s">
        <v>119</v>
      </c>
      <c r="BL917" t="s">
        <v>17045</v>
      </c>
      <c r="BM917" t="s">
        <v>17046</v>
      </c>
      <c r="BN917" t="s">
        <v>74</v>
      </c>
      <c r="BO917" t="s">
        <v>301</v>
      </c>
      <c r="BP917" t="s">
        <v>74</v>
      </c>
      <c r="BQ917" t="s">
        <v>74</v>
      </c>
      <c r="BR917" t="s">
        <v>99</v>
      </c>
      <c r="BS917" t="s">
        <v>17047</v>
      </c>
      <c r="BT917" t="str">
        <f>HYPERLINK("https%3A%2F%2Fwww.webofscience.com%2Fwos%2Fwoscc%2Ffull-record%2FWOS:001040325800001","View Full Record in Web of Science")</f>
        <v>View Full Record in Web of Science</v>
      </c>
    </row>
    <row r="918" spans="1:72" x14ac:dyDescent="0.15">
      <c r="A918" t="s">
        <v>72</v>
      </c>
      <c r="B918" t="s">
        <v>17048</v>
      </c>
      <c r="C918" t="s">
        <v>74</v>
      </c>
      <c r="D918" t="s">
        <v>74</v>
      </c>
      <c r="E918" t="s">
        <v>74</v>
      </c>
      <c r="F918" t="s">
        <v>17049</v>
      </c>
      <c r="G918" t="s">
        <v>74</v>
      </c>
      <c r="H918" t="s">
        <v>74</v>
      </c>
      <c r="I918" t="s">
        <v>17050</v>
      </c>
      <c r="J918" t="s">
        <v>17051</v>
      </c>
      <c r="K918" t="s">
        <v>74</v>
      </c>
      <c r="L918" t="s">
        <v>74</v>
      </c>
      <c r="M918" t="s">
        <v>78</v>
      </c>
      <c r="N918" t="s">
        <v>338</v>
      </c>
      <c r="O918" t="s">
        <v>74</v>
      </c>
      <c r="P918" t="s">
        <v>74</v>
      </c>
      <c r="Q918" t="s">
        <v>74</v>
      </c>
      <c r="R918" t="s">
        <v>74</v>
      </c>
      <c r="S918" t="s">
        <v>74</v>
      </c>
      <c r="T918" t="s">
        <v>17052</v>
      </c>
      <c r="U918" t="s">
        <v>17053</v>
      </c>
      <c r="V918" t="s">
        <v>17054</v>
      </c>
      <c r="W918" t="s">
        <v>17055</v>
      </c>
      <c r="X918" t="s">
        <v>17056</v>
      </c>
      <c r="Y918" t="s">
        <v>17057</v>
      </c>
      <c r="Z918" t="s">
        <v>17058</v>
      </c>
      <c r="AA918" t="s">
        <v>17059</v>
      </c>
      <c r="AB918" t="s">
        <v>17060</v>
      </c>
      <c r="AC918" t="s">
        <v>74</v>
      </c>
      <c r="AD918" t="s">
        <v>74</v>
      </c>
      <c r="AE918" t="s">
        <v>74</v>
      </c>
      <c r="AF918" t="s">
        <v>74</v>
      </c>
      <c r="AG918">
        <v>68</v>
      </c>
      <c r="AH918">
        <v>0</v>
      </c>
      <c r="AI918">
        <v>0</v>
      </c>
      <c r="AJ918">
        <v>2</v>
      </c>
      <c r="AK918">
        <v>2</v>
      </c>
      <c r="AL918" t="s">
        <v>87</v>
      </c>
      <c r="AM918" t="s">
        <v>88</v>
      </c>
      <c r="AN918" t="s">
        <v>89</v>
      </c>
      <c r="AO918" t="s">
        <v>17061</v>
      </c>
      <c r="AP918" t="s">
        <v>17062</v>
      </c>
      <c r="AQ918" t="s">
        <v>74</v>
      </c>
      <c r="AR918" t="s">
        <v>17063</v>
      </c>
      <c r="AS918" t="s">
        <v>17064</v>
      </c>
      <c r="AT918" t="s">
        <v>17022</v>
      </c>
      <c r="AU918">
        <v>2023</v>
      </c>
      <c r="AV918" t="s">
        <v>74</v>
      </c>
      <c r="AW918" t="s">
        <v>74</v>
      </c>
      <c r="AX918" t="s">
        <v>74</v>
      </c>
      <c r="AY918" t="s">
        <v>74</v>
      </c>
      <c r="AZ918" t="s">
        <v>74</v>
      </c>
      <c r="BA918" t="s">
        <v>74</v>
      </c>
      <c r="BB918" t="s">
        <v>74</v>
      </c>
      <c r="BC918" t="s">
        <v>74</v>
      </c>
      <c r="BD918" t="s">
        <v>74</v>
      </c>
      <c r="BE918" t="s">
        <v>17065</v>
      </c>
      <c r="BF918" t="str">
        <f>HYPERLINK("http://dx.doi.org/10.1111/1911-3838.12339","http://dx.doi.org/10.1111/1911-3838.12339")</f>
        <v>http://dx.doi.org/10.1111/1911-3838.12339</v>
      </c>
      <c r="BG918" t="s">
        <v>74</v>
      </c>
      <c r="BH918" t="s">
        <v>16585</v>
      </c>
      <c r="BI918">
        <v>26</v>
      </c>
      <c r="BJ918" t="s">
        <v>545</v>
      </c>
      <c r="BK918" t="s">
        <v>96</v>
      </c>
      <c r="BL918" t="s">
        <v>547</v>
      </c>
      <c r="BM918" t="s">
        <v>17066</v>
      </c>
      <c r="BN918" t="s">
        <v>74</v>
      </c>
      <c r="BO918" t="s">
        <v>301</v>
      </c>
      <c r="BP918" t="s">
        <v>74</v>
      </c>
      <c r="BQ918" t="s">
        <v>74</v>
      </c>
      <c r="BR918" t="s">
        <v>99</v>
      </c>
      <c r="BS918" t="s">
        <v>17067</v>
      </c>
      <c r="BT918" t="str">
        <f>HYPERLINK("https%3A%2F%2Fwww.webofscience.com%2Fwos%2Fwoscc%2Ffull-record%2FWOS:001040004700001","View Full Record in Web of Science")</f>
        <v>View Full Record in Web of Science</v>
      </c>
    </row>
    <row r="919" spans="1:72" x14ac:dyDescent="0.15">
      <c r="A919" t="s">
        <v>72</v>
      </c>
      <c r="B919" t="s">
        <v>17068</v>
      </c>
      <c r="C919" t="s">
        <v>74</v>
      </c>
      <c r="D919" t="s">
        <v>74</v>
      </c>
      <c r="E919" t="s">
        <v>74</v>
      </c>
      <c r="F919" t="s">
        <v>17069</v>
      </c>
      <c r="G919" t="s">
        <v>74</v>
      </c>
      <c r="H919" t="s">
        <v>74</v>
      </c>
      <c r="I919" t="s">
        <v>17070</v>
      </c>
      <c r="J919" t="s">
        <v>13515</v>
      </c>
      <c r="K919" t="s">
        <v>74</v>
      </c>
      <c r="L919" t="s">
        <v>74</v>
      </c>
      <c r="M919" t="s">
        <v>78</v>
      </c>
      <c r="N919" t="s">
        <v>338</v>
      </c>
      <c r="O919" t="s">
        <v>74</v>
      </c>
      <c r="P919" t="s">
        <v>74</v>
      </c>
      <c r="Q919" t="s">
        <v>74</v>
      </c>
      <c r="R919" t="s">
        <v>74</v>
      </c>
      <c r="S919" t="s">
        <v>74</v>
      </c>
      <c r="T919" t="s">
        <v>17071</v>
      </c>
      <c r="U919" t="s">
        <v>17072</v>
      </c>
      <c r="V919" t="s">
        <v>17073</v>
      </c>
      <c r="W919" t="s">
        <v>17074</v>
      </c>
      <c r="X919" t="s">
        <v>17075</v>
      </c>
      <c r="Y919" t="s">
        <v>17076</v>
      </c>
      <c r="Z919" t="s">
        <v>17077</v>
      </c>
      <c r="AA919" t="s">
        <v>74</v>
      </c>
      <c r="AB919" t="s">
        <v>17078</v>
      </c>
      <c r="AC919" t="s">
        <v>74</v>
      </c>
      <c r="AD919" t="s">
        <v>74</v>
      </c>
      <c r="AE919" t="s">
        <v>74</v>
      </c>
      <c r="AF919" t="s">
        <v>74</v>
      </c>
      <c r="AG919">
        <v>45</v>
      </c>
      <c r="AH919">
        <v>0</v>
      </c>
      <c r="AI919">
        <v>0</v>
      </c>
      <c r="AJ919">
        <v>0</v>
      </c>
      <c r="AK919">
        <v>0</v>
      </c>
      <c r="AL919" t="s">
        <v>87</v>
      </c>
      <c r="AM919" t="s">
        <v>88</v>
      </c>
      <c r="AN919" t="s">
        <v>89</v>
      </c>
      <c r="AO919" t="s">
        <v>13527</v>
      </c>
      <c r="AP919" t="s">
        <v>13528</v>
      </c>
      <c r="AQ919" t="s">
        <v>74</v>
      </c>
      <c r="AR919" t="s">
        <v>13529</v>
      </c>
      <c r="AS919" t="s">
        <v>13530</v>
      </c>
      <c r="AT919" t="s">
        <v>17022</v>
      </c>
      <c r="AU919">
        <v>2023</v>
      </c>
      <c r="AV919" t="s">
        <v>74</v>
      </c>
      <c r="AW919" t="s">
        <v>74</v>
      </c>
      <c r="AX919" t="s">
        <v>74</v>
      </c>
      <c r="AY919" t="s">
        <v>74</v>
      </c>
      <c r="AZ919" t="s">
        <v>74</v>
      </c>
      <c r="BA919" t="s">
        <v>74</v>
      </c>
      <c r="BB919" t="s">
        <v>74</v>
      </c>
      <c r="BC919" t="s">
        <v>74</v>
      </c>
      <c r="BD919" t="s">
        <v>74</v>
      </c>
      <c r="BE919" t="s">
        <v>17079</v>
      </c>
      <c r="BF919" t="str">
        <f>HYPERLINK("http://dx.doi.org/10.1111/jdi.14063","http://dx.doi.org/10.1111/jdi.14063")</f>
        <v>http://dx.doi.org/10.1111/jdi.14063</v>
      </c>
      <c r="BG919" t="s">
        <v>74</v>
      </c>
      <c r="BH919" t="s">
        <v>16585</v>
      </c>
      <c r="BI919">
        <v>10</v>
      </c>
      <c r="BJ919" t="s">
        <v>2313</v>
      </c>
      <c r="BK919" t="s">
        <v>119</v>
      </c>
      <c r="BL919" t="s">
        <v>2313</v>
      </c>
      <c r="BM919" t="s">
        <v>17080</v>
      </c>
      <c r="BN919">
        <v>37517075</v>
      </c>
      <c r="BO919" t="s">
        <v>234</v>
      </c>
      <c r="BP919" t="s">
        <v>74</v>
      </c>
      <c r="BQ919" t="s">
        <v>74</v>
      </c>
      <c r="BR919" t="s">
        <v>99</v>
      </c>
      <c r="BS919" t="s">
        <v>17081</v>
      </c>
      <c r="BT919" t="str">
        <f>HYPERLINK("https%3A%2F%2Fwww.webofscience.com%2Fwos%2Fwoscc%2Ffull-record%2FWOS:001036826700001","View Full Record in Web of Science")</f>
        <v>View Full Record in Web of Science</v>
      </c>
    </row>
    <row r="920" spans="1:72" x14ac:dyDescent="0.15">
      <c r="A920" t="s">
        <v>72</v>
      </c>
      <c r="B920" t="s">
        <v>17082</v>
      </c>
      <c r="C920" t="s">
        <v>74</v>
      </c>
      <c r="D920" t="s">
        <v>74</v>
      </c>
      <c r="E920" t="s">
        <v>74</v>
      </c>
      <c r="F920" t="s">
        <v>17083</v>
      </c>
      <c r="G920" t="s">
        <v>74</v>
      </c>
      <c r="H920" t="s">
        <v>74</v>
      </c>
      <c r="I920" t="s">
        <v>17084</v>
      </c>
      <c r="J920" t="s">
        <v>17085</v>
      </c>
      <c r="K920" t="s">
        <v>74</v>
      </c>
      <c r="L920" t="s">
        <v>74</v>
      </c>
      <c r="M920" t="s">
        <v>78</v>
      </c>
      <c r="N920" t="s">
        <v>338</v>
      </c>
      <c r="O920" t="s">
        <v>74</v>
      </c>
      <c r="P920" t="s">
        <v>74</v>
      </c>
      <c r="Q920" t="s">
        <v>74</v>
      </c>
      <c r="R920" t="s">
        <v>74</v>
      </c>
      <c r="S920" t="s">
        <v>74</v>
      </c>
      <c r="T920" t="s">
        <v>17086</v>
      </c>
      <c r="U920" t="s">
        <v>17087</v>
      </c>
      <c r="V920" t="s">
        <v>17088</v>
      </c>
      <c r="W920" t="s">
        <v>17089</v>
      </c>
      <c r="X920" t="s">
        <v>17090</v>
      </c>
      <c r="Y920" t="s">
        <v>17091</v>
      </c>
      <c r="Z920" t="s">
        <v>17092</v>
      </c>
      <c r="AA920" t="s">
        <v>74</v>
      </c>
      <c r="AB920" t="s">
        <v>17093</v>
      </c>
      <c r="AC920" t="s">
        <v>17094</v>
      </c>
      <c r="AD920" t="s">
        <v>17095</v>
      </c>
      <c r="AE920" t="s">
        <v>17096</v>
      </c>
      <c r="AF920" t="s">
        <v>74</v>
      </c>
      <c r="AG920">
        <v>25</v>
      </c>
      <c r="AH920">
        <v>0</v>
      </c>
      <c r="AI920">
        <v>0</v>
      </c>
      <c r="AJ920">
        <v>0</v>
      </c>
      <c r="AK920">
        <v>0</v>
      </c>
      <c r="AL920" t="s">
        <v>1866</v>
      </c>
      <c r="AM920" t="s">
        <v>1867</v>
      </c>
      <c r="AN920" t="s">
        <v>1868</v>
      </c>
      <c r="AO920" t="s">
        <v>17097</v>
      </c>
      <c r="AP920" t="s">
        <v>74</v>
      </c>
      <c r="AQ920" t="s">
        <v>74</v>
      </c>
      <c r="AR920" t="s">
        <v>17098</v>
      </c>
      <c r="AS920" t="s">
        <v>17099</v>
      </c>
      <c r="AT920" t="s">
        <v>17022</v>
      </c>
      <c r="AU920">
        <v>2023</v>
      </c>
      <c r="AV920" t="s">
        <v>74</v>
      </c>
      <c r="AW920" t="s">
        <v>74</v>
      </c>
      <c r="AX920" t="s">
        <v>74</v>
      </c>
      <c r="AY920" t="s">
        <v>74</v>
      </c>
      <c r="AZ920" t="s">
        <v>74</v>
      </c>
      <c r="BA920" t="s">
        <v>74</v>
      </c>
      <c r="BB920" t="s">
        <v>74</v>
      </c>
      <c r="BC920" t="s">
        <v>74</v>
      </c>
      <c r="BD920" t="s">
        <v>74</v>
      </c>
      <c r="BE920" t="s">
        <v>17100</v>
      </c>
      <c r="BF920" t="str">
        <f>HYPERLINK("http://dx.doi.org/10.1002/ehf2.14474","http://dx.doi.org/10.1002/ehf2.14474")</f>
        <v>http://dx.doi.org/10.1002/ehf2.14474</v>
      </c>
      <c r="BG920" t="s">
        <v>74</v>
      </c>
      <c r="BH920" t="s">
        <v>16585</v>
      </c>
      <c r="BI920">
        <v>9</v>
      </c>
      <c r="BJ920" t="s">
        <v>1849</v>
      </c>
      <c r="BK920" t="s">
        <v>119</v>
      </c>
      <c r="BL920" t="s">
        <v>1850</v>
      </c>
      <c r="BM920" t="s">
        <v>17101</v>
      </c>
      <c r="BN920">
        <v>37519022</v>
      </c>
      <c r="BO920" t="s">
        <v>234</v>
      </c>
      <c r="BP920" t="s">
        <v>74</v>
      </c>
      <c r="BQ920" t="s">
        <v>74</v>
      </c>
      <c r="BR920" t="s">
        <v>99</v>
      </c>
      <c r="BS920" t="s">
        <v>17102</v>
      </c>
      <c r="BT920" t="str">
        <f>HYPERLINK("https%3A%2F%2Fwww.webofscience.com%2Fwos%2Fwoscc%2Ffull-record%2FWOS:001039408000001","View Full Record in Web of Science")</f>
        <v>View Full Record in Web of Science</v>
      </c>
    </row>
    <row r="921" spans="1:72" x14ac:dyDescent="0.15">
      <c r="A921" t="s">
        <v>72</v>
      </c>
      <c r="B921" t="s">
        <v>17103</v>
      </c>
      <c r="C921" t="s">
        <v>74</v>
      </c>
      <c r="D921" t="s">
        <v>74</v>
      </c>
      <c r="E921" t="s">
        <v>74</v>
      </c>
      <c r="F921" t="s">
        <v>17104</v>
      </c>
      <c r="G921" t="s">
        <v>74</v>
      </c>
      <c r="H921" t="s">
        <v>74</v>
      </c>
      <c r="I921" t="s">
        <v>17105</v>
      </c>
      <c r="J921" t="s">
        <v>1773</v>
      </c>
      <c r="K921" t="s">
        <v>74</v>
      </c>
      <c r="L921" t="s">
        <v>74</v>
      </c>
      <c r="M921" t="s">
        <v>78</v>
      </c>
      <c r="N921" t="s">
        <v>338</v>
      </c>
      <c r="O921" t="s">
        <v>74</v>
      </c>
      <c r="P921" t="s">
        <v>74</v>
      </c>
      <c r="Q921" t="s">
        <v>74</v>
      </c>
      <c r="R921" t="s">
        <v>74</v>
      </c>
      <c r="S921" t="s">
        <v>74</v>
      </c>
      <c r="T921" t="s">
        <v>17106</v>
      </c>
      <c r="U921" t="s">
        <v>17107</v>
      </c>
      <c r="V921" t="s">
        <v>17108</v>
      </c>
      <c r="W921" t="s">
        <v>17109</v>
      </c>
      <c r="X921" t="s">
        <v>17110</v>
      </c>
      <c r="Y921" t="s">
        <v>17111</v>
      </c>
      <c r="Z921" t="s">
        <v>17112</v>
      </c>
      <c r="AA921" t="s">
        <v>17113</v>
      </c>
      <c r="AB921" t="s">
        <v>17114</v>
      </c>
      <c r="AC921" t="s">
        <v>17115</v>
      </c>
      <c r="AD921" t="s">
        <v>17116</v>
      </c>
      <c r="AE921" t="s">
        <v>17117</v>
      </c>
      <c r="AF921" t="s">
        <v>74</v>
      </c>
      <c r="AG921">
        <v>51</v>
      </c>
      <c r="AH921">
        <v>0</v>
      </c>
      <c r="AI921">
        <v>0</v>
      </c>
      <c r="AJ921">
        <v>56</v>
      </c>
      <c r="AK921">
        <v>56</v>
      </c>
      <c r="AL921" t="s">
        <v>426</v>
      </c>
      <c r="AM921" t="s">
        <v>427</v>
      </c>
      <c r="AN921" t="s">
        <v>428</v>
      </c>
      <c r="AO921" t="s">
        <v>1785</v>
      </c>
      <c r="AP921" t="s">
        <v>1786</v>
      </c>
      <c r="AQ921" t="s">
        <v>74</v>
      </c>
      <c r="AR921" t="s">
        <v>1787</v>
      </c>
      <c r="AS921" t="s">
        <v>1788</v>
      </c>
      <c r="AT921" t="s">
        <v>17022</v>
      </c>
      <c r="AU921">
        <v>2023</v>
      </c>
      <c r="AV921" t="s">
        <v>74</v>
      </c>
      <c r="AW921" t="s">
        <v>74</v>
      </c>
      <c r="AX921" t="s">
        <v>74</v>
      </c>
      <c r="AY921" t="s">
        <v>74</v>
      </c>
      <c r="AZ921" t="s">
        <v>74</v>
      </c>
      <c r="BA921" t="s">
        <v>74</v>
      </c>
      <c r="BB921" t="s">
        <v>74</v>
      </c>
      <c r="BC921" t="s">
        <v>74</v>
      </c>
      <c r="BD921" t="s">
        <v>74</v>
      </c>
      <c r="BE921" t="s">
        <v>17118</v>
      </c>
      <c r="BF921" t="str">
        <f>HYPERLINK("http://dx.doi.org/10.1002/adma.202302108","http://dx.doi.org/10.1002/adma.202302108")</f>
        <v>http://dx.doi.org/10.1002/adma.202302108</v>
      </c>
      <c r="BG921" t="s">
        <v>74</v>
      </c>
      <c r="BH921" t="s">
        <v>16585</v>
      </c>
      <c r="BI921">
        <v>15</v>
      </c>
      <c r="BJ921" t="s">
        <v>609</v>
      </c>
      <c r="BK921" t="s">
        <v>119</v>
      </c>
      <c r="BL921" t="s">
        <v>610</v>
      </c>
      <c r="BM921" t="s">
        <v>17119</v>
      </c>
      <c r="BN921">
        <v>37518813</v>
      </c>
      <c r="BO921" t="s">
        <v>122</v>
      </c>
      <c r="BP921" t="s">
        <v>74</v>
      </c>
      <c r="BQ921" t="s">
        <v>74</v>
      </c>
      <c r="BR921" t="s">
        <v>99</v>
      </c>
      <c r="BS921" t="s">
        <v>17120</v>
      </c>
      <c r="BT921" t="str">
        <f>HYPERLINK("https%3A%2F%2Fwww.webofscience.com%2Fwos%2Fwoscc%2Ffull-record%2FWOS:001039316900001","View Full Record in Web of Science")</f>
        <v>View Full Record in Web of Science</v>
      </c>
    </row>
    <row r="922" spans="1:72" x14ac:dyDescent="0.15">
      <c r="A922" t="s">
        <v>72</v>
      </c>
      <c r="B922" t="s">
        <v>17121</v>
      </c>
      <c r="C922" t="s">
        <v>74</v>
      </c>
      <c r="D922" t="s">
        <v>74</v>
      </c>
      <c r="E922" t="s">
        <v>74</v>
      </c>
      <c r="F922" t="s">
        <v>17122</v>
      </c>
      <c r="G922" t="s">
        <v>74</v>
      </c>
      <c r="H922" t="s">
        <v>74</v>
      </c>
      <c r="I922" t="s">
        <v>17123</v>
      </c>
      <c r="J922" t="s">
        <v>17124</v>
      </c>
      <c r="K922" t="s">
        <v>74</v>
      </c>
      <c r="L922" t="s">
        <v>74</v>
      </c>
      <c r="M922" t="s">
        <v>78</v>
      </c>
      <c r="N922" t="s">
        <v>338</v>
      </c>
      <c r="O922" t="s">
        <v>74</v>
      </c>
      <c r="P922" t="s">
        <v>74</v>
      </c>
      <c r="Q922" t="s">
        <v>74</v>
      </c>
      <c r="R922" t="s">
        <v>74</v>
      </c>
      <c r="S922" t="s">
        <v>74</v>
      </c>
      <c r="T922" t="s">
        <v>17125</v>
      </c>
      <c r="U922" t="s">
        <v>17126</v>
      </c>
      <c r="V922" t="s">
        <v>17127</v>
      </c>
      <c r="W922" t="s">
        <v>17128</v>
      </c>
      <c r="X922" t="s">
        <v>74</v>
      </c>
      <c r="Y922" t="s">
        <v>17129</v>
      </c>
      <c r="Z922" t="s">
        <v>17130</v>
      </c>
      <c r="AA922" t="s">
        <v>17131</v>
      </c>
      <c r="AB922" t="s">
        <v>17132</v>
      </c>
      <c r="AC922" t="s">
        <v>74</v>
      </c>
      <c r="AD922" t="s">
        <v>74</v>
      </c>
      <c r="AE922" t="s">
        <v>74</v>
      </c>
      <c r="AF922" t="s">
        <v>74</v>
      </c>
      <c r="AG922">
        <v>140</v>
      </c>
      <c r="AH922">
        <v>0</v>
      </c>
      <c r="AI922">
        <v>0</v>
      </c>
      <c r="AJ922">
        <v>0</v>
      </c>
      <c r="AK922">
        <v>0</v>
      </c>
      <c r="AL922" t="s">
        <v>87</v>
      </c>
      <c r="AM922" t="s">
        <v>88</v>
      </c>
      <c r="AN922" t="s">
        <v>89</v>
      </c>
      <c r="AO922" t="s">
        <v>17133</v>
      </c>
      <c r="AP922" t="s">
        <v>17134</v>
      </c>
      <c r="AQ922" t="s">
        <v>74</v>
      </c>
      <c r="AR922" t="s">
        <v>17124</v>
      </c>
      <c r="AS922" t="s">
        <v>17135</v>
      </c>
      <c r="AT922" t="s">
        <v>17022</v>
      </c>
      <c r="AU922">
        <v>2023</v>
      </c>
      <c r="AV922" t="s">
        <v>74</v>
      </c>
      <c r="AW922" t="s">
        <v>74</v>
      </c>
      <c r="AX922" t="s">
        <v>74</v>
      </c>
      <c r="AY922" t="s">
        <v>74</v>
      </c>
      <c r="AZ922" t="s">
        <v>74</v>
      </c>
      <c r="BA922" t="s">
        <v>74</v>
      </c>
      <c r="BB922" t="s">
        <v>74</v>
      </c>
      <c r="BC922" t="s">
        <v>74</v>
      </c>
      <c r="BD922" t="s">
        <v>74</v>
      </c>
      <c r="BE922" t="s">
        <v>17136</v>
      </c>
      <c r="BF922" t="str">
        <f>HYPERLINK("http://dx.doi.org/10.1111/anti.12972","http://dx.doi.org/10.1111/anti.12972")</f>
        <v>http://dx.doi.org/10.1111/anti.12972</v>
      </c>
      <c r="BG922" t="s">
        <v>74</v>
      </c>
      <c r="BH922" t="s">
        <v>16585</v>
      </c>
      <c r="BI922">
        <v>23</v>
      </c>
      <c r="BJ922" t="s">
        <v>13251</v>
      </c>
      <c r="BK922" t="s">
        <v>546</v>
      </c>
      <c r="BL922" t="s">
        <v>13251</v>
      </c>
      <c r="BM922" t="s">
        <v>17137</v>
      </c>
      <c r="BN922" t="s">
        <v>74</v>
      </c>
      <c r="BO922" t="s">
        <v>122</v>
      </c>
      <c r="BP922" t="s">
        <v>74</v>
      </c>
      <c r="BQ922" t="s">
        <v>74</v>
      </c>
      <c r="BR922" t="s">
        <v>99</v>
      </c>
      <c r="BS922" t="s">
        <v>17138</v>
      </c>
      <c r="BT922" t="str">
        <f>HYPERLINK("https%3A%2F%2Fwww.webofscience.com%2Fwos%2Fwoscc%2Ffull-record%2FWOS:001037222600001","View Full Record in Web of Science")</f>
        <v>View Full Record in Web of Science</v>
      </c>
    </row>
    <row r="923" spans="1:72" x14ac:dyDescent="0.15">
      <c r="A923" t="s">
        <v>72</v>
      </c>
      <c r="B923" t="s">
        <v>17139</v>
      </c>
      <c r="C923" t="s">
        <v>74</v>
      </c>
      <c r="D923" t="s">
        <v>74</v>
      </c>
      <c r="E923" t="s">
        <v>74</v>
      </c>
      <c r="F923" t="s">
        <v>17140</v>
      </c>
      <c r="G923" t="s">
        <v>74</v>
      </c>
      <c r="H923" t="s">
        <v>74</v>
      </c>
      <c r="I923" t="s">
        <v>17141</v>
      </c>
      <c r="J923" t="s">
        <v>6692</v>
      </c>
      <c r="K923" t="s">
        <v>74</v>
      </c>
      <c r="L923" t="s">
        <v>74</v>
      </c>
      <c r="M923" t="s">
        <v>78</v>
      </c>
      <c r="N923" t="s">
        <v>338</v>
      </c>
      <c r="O923" t="s">
        <v>74</v>
      </c>
      <c r="P923" t="s">
        <v>74</v>
      </c>
      <c r="Q923" t="s">
        <v>74</v>
      </c>
      <c r="R923" t="s">
        <v>74</v>
      </c>
      <c r="S923" t="s">
        <v>74</v>
      </c>
      <c r="T923" t="s">
        <v>17142</v>
      </c>
      <c r="U923" t="s">
        <v>17143</v>
      </c>
      <c r="V923" t="s">
        <v>17144</v>
      </c>
      <c r="W923" t="s">
        <v>17145</v>
      </c>
      <c r="X923" t="s">
        <v>17146</v>
      </c>
      <c r="Y923" t="s">
        <v>17147</v>
      </c>
      <c r="Z923" t="s">
        <v>17148</v>
      </c>
      <c r="AA923" t="s">
        <v>17149</v>
      </c>
      <c r="AB923" t="s">
        <v>17150</v>
      </c>
      <c r="AC923" t="s">
        <v>17151</v>
      </c>
      <c r="AD923" t="s">
        <v>17152</v>
      </c>
      <c r="AE923" t="s">
        <v>17153</v>
      </c>
      <c r="AF923" t="s">
        <v>74</v>
      </c>
      <c r="AG923">
        <v>43</v>
      </c>
      <c r="AH923">
        <v>0</v>
      </c>
      <c r="AI923">
        <v>0</v>
      </c>
      <c r="AJ923">
        <v>1</v>
      </c>
      <c r="AK923">
        <v>1</v>
      </c>
      <c r="AL923" t="s">
        <v>87</v>
      </c>
      <c r="AM923" t="s">
        <v>88</v>
      </c>
      <c r="AN923" t="s">
        <v>89</v>
      </c>
      <c r="AO923" t="s">
        <v>6704</v>
      </c>
      <c r="AP923" t="s">
        <v>6705</v>
      </c>
      <c r="AQ923" t="s">
        <v>74</v>
      </c>
      <c r="AR923" t="s">
        <v>6706</v>
      </c>
      <c r="AS923" t="s">
        <v>6707</v>
      </c>
      <c r="AT923" t="s">
        <v>17022</v>
      </c>
      <c r="AU923">
        <v>2023</v>
      </c>
      <c r="AV923" t="s">
        <v>74</v>
      </c>
      <c r="AW923" t="s">
        <v>74</v>
      </c>
      <c r="AX923" t="s">
        <v>74</v>
      </c>
      <c r="AY923" t="s">
        <v>74</v>
      </c>
      <c r="AZ923" t="s">
        <v>74</v>
      </c>
      <c r="BA923" t="s">
        <v>74</v>
      </c>
      <c r="BB923" t="s">
        <v>74</v>
      </c>
      <c r="BC923" t="s">
        <v>74</v>
      </c>
      <c r="BD923" t="s">
        <v>74</v>
      </c>
      <c r="BE923" t="s">
        <v>17154</v>
      </c>
      <c r="BF923" t="str">
        <f>HYPERLINK("http://dx.doi.org/10.1002/nbm.5012","http://dx.doi.org/10.1002/nbm.5012")</f>
        <v>http://dx.doi.org/10.1002/nbm.5012</v>
      </c>
      <c r="BG923" t="s">
        <v>74</v>
      </c>
      <c r="BH923" t="s">
        <v>16585</v>
      </c>
      <c r="BI923">
        <v>12</v>
      </c>
      <c r="BJ923" t="s">
        <v>6709</v>
      </c>
      <c r="BK923" t="s">
        <v>119</v>
      </c>
      <c r="BL923" t="s">
        <v>6709</v>
      </c>
      <c r="BM923" t="s">
        <v>17155</v>
      </c>
      <c r="BN923">
        <v>37518942</v>
      </c>
      <c r="BO923" t="s">
        <v>122</v>
      </c>
      <c r="BP923" t="s">
        <v>74</v>
      </c>
      <c r="BQ923" t="s">
        <v>74</v>
      </c>
      <c r="BR923" t="s">
        <v>99</v>
      </c>
      <c r="BS923" t="s">
        <v>17156</v>
      </c>
      <c r="BT923" t="str">
        <f>HYPERLINK("https%3A%2F%2Fwww.webofscience.com%2Fwos%2Fwoscc%2Ffull-record%2FWOS:001039412400001","View Full Record in Web of Science")</f>
        <v>View Full Record in Web of Science</v>
      </c>
    </row>
    <row r="924" spans="1:72" x14ac:dyDescent="0.15">
      <c r="A924" t="s">
        <v>72</v>
      </c>
      <c r="B924" t="s">
        <v>17157</v>
      </c>
      <c r="C924" t="s">
        <v>74</v>
      </c>
      <c r="D924" t="s">
        <v>74</v>
      </c>
      <c r="E924" t="s">
        <v>74</v>
      </c>
      <c r="F924" t="s">
        <v>17158</v>
      </c>
      <c r="G924" t="s">
        <v>74</v>
      </c>
      <c r="H924" t="s">
        <v>74</v>
      </c>
      <c r="I924" t="s">
        <v>17159</v>
      </c>
      <c r="J924" t="s">
        <v>1773</v>
      </c>
      <c r="K924" t="s">
        <v>74</v>
      </c>
      <c r="L924" t="s">
        <v>74</v>
      </c>
      <c r="M924" t="s">
        <v>78</v>
      </c>
      <c r="N924" t="s">
        <v>338</v>
      </c>
      <c r="O924" t="s">
        <v>74</v>
      </c>
      <c r="P924" t="s">
        <v>74</v>
      </c>
      <c r="Q924" t="s">
        <v>74</v>
      </c>
      <c r="R924" t="s">
        <v>74</v>
      </c>
      <c r="S924" t="s">
        <v>74</v>
      </c>
      <c r="T924" t="s">
        <v>17160</v>
      </c>
      <c r="U924" t="s">
        <v>17161</v>
      </c>
      <c r="V924" t="s">
        <v>17162</v>
      </c>
      <c r="W924" t="s">
        <v>17163</v>
      </c>
      <c r="X924" t="s">
        <v>9182</v>
      </c>
      <c r="Y924" t="s">
        <v>17164</v>
      </c>
      <c r="Z924" t="s">
        <v>17165</v>
      </c>
      <c r="AA924" t="s">
        <v>74</v>
      </c>
      <c r="AB924" t="s">
        <v>17166</v>
      </c>
      <c r="AC924" t="s">
        <v>17167</v>
      </c>
      <c r="AD924" t="s">
        <v>17168</v>
      </c>
      <c r="AE924" t="s">
        <v>17169</v>
      </c>
      <c r="AF924" t="s">
        <v>74</v>
      </c>
      <c r="AG924">
        <v>56</v>
      </c>
      <c r="AH924">
        <v>0</v>
      </c>
      <c r="AI924">
        <v>0</v>
      </c>
      <c r="AJ924">
        <v>18</v>
      </c>
      <c r="AK924">
        <v>18</v>
      </c>
      <c r="AL924" t="s">
        <v>426</v>
      </c>
      <c r="AM924" t="s">
        <v>427</v>
      </c>
      <c r="AN924" t="s">
        <v>428</v>
      </c>
      <c r="AO924" t="s">
        <v>1785</v>
      </c>
      <c r="AP924" t="s">
        <v>1786</v>
      </c>
      <c r="AQ924" t="s">
        <v>74</v>
      </c>
      <c r="AR924" t="s">
        <v>1787</v>
      </c>
      <c r="AS924" t="s">
        <v>1788</v>
      </c>
      <c r="AT924" t="s">
        <v>17022</v>
      </c>
      <c r="AU924">
        <v>2023</v>
      </c>
      <c r="AV924" t="s">
        <v>74</v>
      </c>
      <c r="AW924" t="s">
        <v>74</v>
      </c>
      <c r="AX924" t="s">
        <v>74</v>
      </c>
      <c r="AY924" t="s">
        <v>74</v>
      </c>
      <c r="AZ924" t="s">
        <v>74</v>
      </c>
      <c r="BA924" t="s">
        <v>74</v>
      </c>
      <c r="BB924" t="s">
        <v>74</v>
      </c>
      <c r="BC924" t="s">
        <v>74</v>
      </c>
      <c r="BD924" t="s">
        <v>74</v>
      </c>
      <c r="BE924" t="s">
        <v>17170</v>
      </c>
      <c r="BF924" t="str">
        <f>HYPERLINK("http://dx.doi.org/10.1002/adma.202303729","http://dx.doi.org/10.1002/adma.202303729")</f>
        <v>http://dx.doi.org/10.1002/adma.202303729</v>
      </c>
      <c r="BG924" t="s">
        <v>74</v>
      </c>
      <c r="BH924" t="s">
        <v>16585</v>
      </c>
      <c r="BI924">
        <v>8</v>
      </c>
      <c r="BJ924" t="s">
        <v>609</v>
      </c>
      <c r="BK924" t="s">
        <v>119</v>
      </c>
      <c r="BL924" t="s">
        <v>610</v>
      </c>
      <c r="BM924" t="s">
        <v>17171</v>
      </c>
      <c r="BN924">
        <v>37452690</v>
      </c>
      <c r="BO924" t="s">
        <v>74</v>
      </c>
      <c r="BP924" t="s">
        <v>74</v>
      </c>
      <c r="BQ924" t="s">
        <v>74</v>
      </c>
      <c r="BR924" t="s">
        <v>99</v>
      </c>
      <c r="BS924" t="s">
        <v>17172</v>
      </c>
      <c r="BT924" t="str">
        <f>HYPERLINK("https%3A%2F%2Fwww.webofscience.com%2Fwos%2Fwoscc%2Ffull-record%2FWOS:001039210100001","View Full Record in Web of Science")</f>
        <v>View Full Record in Web of Science</v>
      </c>
    </row>
    <row r="925" spans="1:72" x14ac:dyDescent="0.15">
      <c r="A925" t="s">
        <v>72</v>
      </c>
      <c r="B925" t="s">
        <v>17173</v>
      </c>
      <c r="C925" t="s">
        <v>74</v>
      </c>
      <c r="D925" t="s">
        <v>74</v>
      </c>
      <c r="E925" t="s">
        <v>74</v>
      </c>
      <c r="F925" t="s">
        <v>17174</v>
      </c>
      <c r="G925" t="s">
        <v>74</v>
      </c>
      <c r="H925" t="s">
        <v>74</v>
      </c>
      <c r="I925" t="s">
        <v>17175</v>
      </c>
      <c r="J925" t="s">
        <v>17176</v>
      </c>
      <c r="K925" t="s">
        <v>74</v>
      </c>
      <c r="L925" t="s">
        <v>74</v>
      </c>
      <c r="M925" t="s">
        <v>78</v>
      </c>
      <c r="N925" t="s">
        <v>79</v>
      </c>
      <c r="O925" t="s">
        <v>74</v>
      </c>
      <c r="P925" t="s">
        <v>74</v>
      </c>
      <c r="Q925" t="s">
        <v>74</v>
      </c>
      <c r="R925" t="s">
        <v>74</v>
      </c>
      <c r="S925" t="s">
        <v>74</v>
      </c>
      <c r="T925" t="s">
        <v>17177</v>
      </c>
      <c r="U925" t="s">
        <v>17178</v>
      </c>
      <c r="V925" t="s">
        <v>17179</v>
      </c>
      <c r="W925" t="s">
        <v>17180</v>
      </c>
      <c r="X925" t="s">
        <v>17181</v>
      </c>
      <c r="Y925" t="s">
        <v>17182</v>
      </c>
      <c r="Z925" t="s">
        <v>17183</v>
      </c>
      <c r="AA925" t="s">
        <v>74</v>
      </c>
      <c r="AB925" t="s">
        <v>74</v>
      </c>
      <c r="AC925" t="s">
        <v>17184</v>
      </c>
      <c r="AD925" t="s">
        <v>17184</v>
      </c>
      <c r="AE925" t="s">
        <v>17184</v>
      </c>
      <c r="AF925" t="s">
        <v>74</v>
      </c>
      <c r="AG925">
        <v>39</v>
      </c>
      <c r="AH925">
        <v>0</v>
      </c>
      <c r="AI925">
        <v>0</v>
      </c>
      <c r="AJ925">
        <v>0</v>
      </c>
      <c r="AK925">
        <v>0</v>
      </c>
      <c r="AL925" t="s">
        <v>87</v>
      </c>
      <c r="AM925" t="s">
        <v>88</v>
      </c>
      <c r="AN925" t="s">
        <v>89</v>
      </c>
      <c r="AO925" t="s">
        <v>17185</v>
      </c>
      <c r="AP925" t="s">
        <v>17186</v>
      </c>
      <c r="AQ925" t="s">
        <v>74</v>
      </c>
      <c r="AR925" t="s">
        <v>17187</v>
      </c>
      <c r="AS925" t="s">
        <v>17188</v>
      </c>
      <c r="AT925" t="s">
        <v>6725</v>
      </c>
      <c r="AU925">
        <v>2023</v>
      </c>
      <c r="AV925">
        <v>63</v>
      </c>
      <c r="AW925">
        <v>5</v>
      </c>
      <c r="AX925" t="s">
        <v>74</v>
      </c>
      <c r="AY925" t="s">
        <v>74</v>
      </c>
      <c r="AZ925" t="s">
        <v>74</v>
      </c>
      <c r="BA925" t="s">
        <v>74</v>
      </c>
      <c r="BB925">
        <v>147</v>
      </c>
      <c r="BC925">
        <v>153</v>
      </c>
      <c r="BD925" t="s">
        <v>74</v>
      </c>
      <c r="BE925" t="s">
        <v>17189</v>
      </c>
      <c r="BF925" t="str">
        <f>HYPERLINK("http://dx.doi.org/10.1111/cga.12529","http://dx.doi.org/10.1111/cga.12529")</f>
        <v>http://dx.doi.org/10.1111/cga.12529</v>
      </c>
      <c r="BG925" t="s">
        <v>74</v>
      </c>
      <c r="BH925" t="s">
        <v>16585</v>
      </c>
      <c r="BI925">
        <v>7</v>
      </c>
      <c r="BJ925" t="s">
        <v>453</v>
      </c>
      <c r="BK925" t="s">
        <v>119</v>
      </c>
      <c r="BL925" t="s">
        <v>453</v>
      </c>
      <c r="BM925" t="s">
        <v>17190</v>
      </c>
      <c r="BN925">
        <v>37515453</v>
      </c>
      <c r="BO925" t="s">
        <v>74</v>
      </c>
      <c r="BP925" t="s">
        <v>74</v>
      </c>
      <c r="BQ925" t="s">
        <v>74</v>
      </c>
      <c r="BR925" t="s">
        <v>99</v>
      </c>
      <c r="BS925" t="s">
        <v>17191</v>
      </c>
      <c r="BT925" t="str">
        <f>HYPERLINK("https%3A%2F%2Fwww.webofscience.com%2Fwos%2Fwoscc%2Ffull-record%2FWOS:001040395100001","View Full Record in Web of Science")</f>
        <v>View Full Record in Web of Science</v>
      </c>
    </row>
    <row r="926" spans="1:72" x14ac:dyDescent="0.15">
      <c r="A926" t="s">
        <v>72</v>
      </c>
      <c r="B926" t="s">
        <v>17192</v>
      </c>
      <c r="C926" t="s">
        <v>74</v>
      </c>
      <c r="D926" t="s">
        <v>74</v>
      </c>
      <c r="E926" t="s">
        <v>74</v>
      </c>
      <c r="F926" t="s">
        <v>17193</v>
      </c>
      <c r="G926" t="s">
        <v>74</v>
      </c>
      <c r="H926" t="s">
        <v>74</v>
      </c>
      <c r="I926" t="s">
        <v>17194</v>
      </c>
      <c r="J926" t="s">
        <v>2865</v>
      </c>
      <c r="K926" t="s">
        <v>74</v>
      </c>
      <c r="L926" t="s">
        <v>74</v>
      </c>
      <c r="M926" t="s">
        <v>78</v>
      </c>
      <c r="N926" t="s">
        <v>338</v>
      </c>
      <c r="O926" t="s">
        <v>74</v>
      </c>
      <c r="P926" t="s">
        <v>74</v>
      </c>
      <c r="Q926" t="s">
        <v>74</v>
      </c>
      <c r="R926" t="s">
        <v>74</v>
      </c>
      <c r="S926" t="s">
        <v>74</v>
      </c>
      <c r="T926" t="s">
        <v>17195</v>
      </c>
      <c r="U926" t="s">
        <v>17196</v>
      </c>
      <c r="V926" t="s">
        <v>17197</v>
      </c>
      <c r="W926" t="s">
        <v>17198</v>
      </c>
      <c r="X926" t="s">
        <v>17199</v>
      </c>
      <c r="Y926" t="s">
        <v>17200</v>
      </c>
      <c r="Z926" t="s">
        <v>17201</v>
      </c>
      <c r="AA926" t="s">
        <v>17202</v>
      </c>
      <c r="AB926" t="s">
        <v>17203</v>
      </c>
      <c r="AC926" t="s">
        <v>17204</v>
      </c>
      <c r="AD926" t="s">
        <v>17205</v>
      </c>
      <c r="AE926" t="s">
        <v>17206</v>
      </c>
      <c r="AF926" t="s">
        <v>74</v>
      </c>
      <c r="AG926">
        <v>39</v>
      </c>
      <c r="AH926">
        <v>1</v>
      </c>
      <c r="AI926">
        <v>1</v>
      </c>
      <c r="AJ926">
        <v>0</v>
      </c>
      <c r="AK926">
        <v>0</v>
      </c>
      <c r="AL926" t="s">
        <v>87</v>
      </c>
      <c r="AM926" t="s">
        <v>88</v>
      </c>
      <c r="AN926" t="s">
        <v>89</v>
      </c>
      <c r="AO926" t="s">
        <v>2872</v>
      </c>
      <c r="AP926" t="s">
        <v>2873</v>
      </c>
      <c r="AQ926" t="s">
        <v>74</v>
      </c>
      <c r="AR926" t="s">
        <v>2874</v>
      </c>
      <c r="AS926" t="s">
        <v>2875</v>
      </c>
      <c r="AT926" t="s">
        <v>17207</v>
      </c>
      <c r="AU926">
        <v>2023</v>
      </c>
      <c r="AV926" t="s">
        <v>74</v>
      </c>
      <c r="AW926" t="s">
        <v>74</v>
      </c>
      <c r="AX926" t="s">
        <v>74</v>
      </c>
      <c r="AY926" t="s">
        <v>74</v>
      </c>
      <c r="AZ926" t="s">
        <v>74</v>
      </c>
      <c r="BA926" t="s">
        <v>74</v>
      </c>
      <c r="BB926" t="s">
        <v>74</v>
      </c>
      <c r="BC926" t="s">
        <v>74</v>
      </c>
      <c r="BD926" t="s">
        <v>74</v>
      </c>
      <c r="BE926" t="s">
        <v>17208</v>
      </c>
      <c r="BF926" t="str">
        <f>HYPERLINK("http://dx.doi.org/10.1111/dme.15179","http://dx.doi.org/10.1111/dme.15179")</f>
        <v>http://dx.doi.org/10.1111/dme.15179</v>
      </c>
      <c r="BG926" t="s">
        <v>74</v>
      </c>
      <c r="BH926" t="s">
        <v>16585</v>
      </c>
      <c r="BI926">
        <v>17</v>
      </c>
      <c r="BJ926" t="s">
        <v>2313</v>
      </c>
      <c r="BK926" t="s">
        <v>119</v>
      </c>
      <c r="BL926" t="s">
        <v>2313</v>
      </c>
      <c r="BM926" t="s">
        <v>17209</v>
      </c>
      <c r="BN926">
        <v>37452826</v>
      </c>
      <c r="BO926" t="s">
        <v>122</v>
      </c>
      <c r="BP926" t="s">
        <v>74</v>
      </c>
      <c r="BQ926" t="s">
        <v>74</v>
      </c>
      <c r="BR926" t="s">
        <v>99</v>
      </c>
      <c r="BS926" t="s">
        <v>17210</v>
      </c>
      <c r="BT926" t="str">
        <f>HYPERLINK("https%3A%2F%2Fwww.webofscience.com%2Fwos%2Fwoscc%2Ffull-record%2FWOS:001040360600001","View Full Record in Web of Science")</f>
        <v>View Full Record in Web of Science</v>
      </c>
    </row>
    <row r="927" spans="1:72" x14ac:dyDescent="0.15">
      <c r="A927" t="s">
        <v>72</v>
      </c>
      <c r="B927" t="s">
        <v>17211</v>
      </c>
      <c r="C927" t="s">
        <v>74</v>
      </c>
      <c r="D927" t="s">
        <v>74</v>
      </c>
      <c r="E927" t="s">
        <v>74</v>
      </c>
      <c r="F927" t="s">
        <v>17212</v>
      </c>
      <c r="G927" t="s">
        <v>74</v>
      </c>
      <c r="H927" t="s">
        <v>74</v>
      </c>
      <c r="I927" t="s">
        <v>17213</v>
      </c>
      <c r="J927" t="s">
        <v>3323</v>
      </c>
      <c r="K927" t="s">
        <v>74</v>
      </c>
      <c r="L927" t="s">
        <v>74</v>
      </c>
      <c r="M927" t="s">
        <v>78</v>
      </c>
      <c r="N927" t="s">
        <v>338</v>
      </c>
      <c r="O927" t="s">
        <v>74</v>
      </c>
      <c r="P927" t="s">
        <v>74</v>
      </c>
      <c r="Q927" t="s">
        <v>74</v>
      </c>
      <c r="R927" t="s">
        <v>74</v>
      </c>
      <c r="S927" t="s">
        <v>74</v>
      </c>
      <c r="T927" t="s">
        <v>17214</v>
      </c>
      <c r="U927" t="s">
        <v>17215</v>
      </c>
      <c r="V927" t="s">
        <v>17216</v>
      </c>
      <c r="W927" t="s">
        <v>17217</v>
      </c>
      <c r="X927" t="s">
        <v>17218</v>
      </c>
      <c r="Y927" t="s">
        <v>17219</v>
      </c>
      <c r="Z927" t="s">
        <v>17220</v>
      </c>
      <c r="AA927" t="s">
        <v>17221</v>
      </c>
      <c r="AB927" t="s">
        <v>17222</v>
      </c>
      <c r="AC927" t="s">
        <v>17223</v>
      </c>
      <c r="AD927" t="s">
        <v>17224</v>
      </c>
      <c r="AE927" t="s">
        <v>17225</v>
      </c>
      <c r="AF927" t="s">
        <v>74</v>
      </c>
      <c r="AG927">
        <v>38</v>
      </c>
      <c r="AH927">
        <v>0</v>
      </c>
      <c r="AI927">
        <v>0</v>
      </c>
      <c r="AJ927">
        <v>5</v>
      </c>
      <c r="AK927">
        <v>5</v>
      </c>
      <c r="AL927" t="s">
        <v>87</v>
      </c>
      <c r="AM927" t="s">
        <v>88</v>
      </c>
      <c r="AN927" t="s">
        <v>89</v>
      </c>
      <c r="AO927" t="s">
        <v>3335</v>
      </c>
      <c r="AP927" t="s">
        <v>3336</v>
      </c>
      <c r="AQ927" t="s">
        <v>74</v>
      </c>
      <c r="AR927" t="s">
        <v>3337</v>
      </c>
      <c r="AS927" t="s">
        <v>3338</v>
      </c>
      <c r="AT927" t="s">
        <v>17207</v>
      </c>
      <c r="AU927">
        <v>2023</v>
      </c>
      <c r="AV927" t="s">
        <v>74</v>
      </c>
      <c r="AW927" t="s">
        <v>74</v>
      </c>
      <c r="AX927" t="s">
        <v>74</v>
      </c>
      <c r="AY927" t="s">
        <v>74</v>
      </c>
      <c r="AZ927" t="s">
        <v>74</v>
      </c>
      <c r="BA927" t="s">
        <v>74</v>
      </c>
      <c r="BB927" t="s">
        <v>74</v>
      </c>
      <c r="BC927" t="s">
        <v>74</v>
      </c>
      <c r="BD927" t="s">
        <v>74</v>
      </c>
      <c r="BE927" t="s">
        <v>17226</v>
      </c>
      <c r="BF927" t="str">
        <f>HYPERLINK("http://dx.doi.org/10.1002/jsfa.12866","http://dx.doi.org/10.1002/jsfa.12866")</f>
        <v>http://dx.doi.org/10.1002/jsfa.12866</v>
      </c>
      <c r="BG927" t="s">
        <v>74</v>
      </c>
      <c r="BH927" t="s">
        <v>16585</v>
      </c>
      <c r="BI927">
        <v>13</v>
      </c>
      <c r="BJ927" t="s">
        <v>3340</v>
      </c>
      <c r="BK927" t="s">
        <v>119</v>
      </c>
      <c r="BL927" t="s">
        <v>3341</v>
      </c>
      <c r="BM927" t="s">
        <v>17227</v>
      </c>
      <c r="BN927">
        <v>37463326</v>
      </c>
      <c r="BO927" t="s">
        <v>122</v>
      </c>
      <c r="BP927" t="s">
        <v>74</v>
      </c>
      <c r="BQ927" t="s">
        <v>74</v>
      </c>
      <c r="BR927" t="s">
        <v>99</v>
      </c>
      <c r="BS927" t="s">
        <v>17228</v>
      </c>
      <c r="BT927" t="str">
        <f>HYPERLINK("https%3A%2F%2Fwww.webofscience.com%2Fwos%2Fwoscc%2Ffull-record%2FWOS:001036743200001","View Full Record in Web of Science")</f>
        <v>View Full Record in Web of Science</v>
      </c>
    </row>
    <row r="928" spans="1:72" x14ac:dyDescent="0.15">
      <c r="A928" t="s">
        <v>72</v>
      </c>
      <c r="B928" t="s">
        <v>17229</v>
      </c>
      <c r="C928" t="s">
        <v>74</v>
      </c>
      <c r="D928" t="s">
        <v>74</v>
      </c>
      <c r="E928" t="s">
        <v>74</v>
      </c>
      <c r="F928" t="s">
        <v>17230</v>
      </c>
      <c r="G928" t="s">
        <v>74</v>
      </c>
      <c r="H928" t="s">
        <v>74</v>
      </c>
      <c r="I928" t="s">
        <v>17231</v>
      </c>
      <c r="J928" t="s">
        <v>2806</v>
      </c>
      <c r="K928" t="s">
        <v>74</v>
      </c>
      <c r="L928" t="s">
        <v>74</v>
      </c>
      <c r="M928" t="s">
        <v>78</v>
      </c>
      <c r="N928" t="s">
        <v>338</v>
      </c>
      <c r="O928" t="s">
        <v>74</v>
      </c>
      <c r="P928" t="s">
        <v>74</v>
      </c>
      <c r="Q928" t="s">
        <v>74</v>
      </c>
      <c r="R928" t="s">
        <v>74</v>
      </c>
      <c r="S928" t="s">
        <v>74</v>
      </c>
      <c r="T928" t="s">
        <v>17232</v>
      </c>
      <c r="U928" t="s">
        <v>74</v>
      </c>
      <c r="V928" t="s">
        <v>17233</v>
      </c>
      <c r="W928" t="s">
        <v>17234</v>
      </c>
      <c r="X928" t="s">
        <v>17235</v>
      </c>
      <c r="Y928" t="s">
        <v>17236</v>
      </c>
      <c r="Z928" t="s">
        <v>17237</v>
      </c>
      <c r="AA928" t="s">
        <v>17238</v>
      </c>
      <c r="AB928" t="s">
        <v>17239</v>
      </c>
      <c r="AC928" t="s">
        <v>17240</v>
      </c>
      <c r="AD928" t="s">
        <v>17241</v>
      </c>
      <c r="AE928" t="s">
        <v>17242</v>
      </c>
      <c r="AF928" t="s">
        <v>74</v>
      </c>
      <c r="AG928">
        <v>67</v>
      </c>
      <c r="AH928">
        <v>0</v>
      </c>
      <c r="AI928">
        <v>0</v>
      </c>
      <c r="AJ928">
        <v>6</v>
      </c>
      <c r="AK928">
        <v>6</v>
      </c>
      <c r="AL928" t="s">
        <v>87</v>
      </c>
      <c r="AM928" t="s">
        <v>88</v>
      </c>
      <c r="AN928" t="s">
        <v>89</v>
      </c>
      <c r="AO928" t="s">
        <v>2816</v>
      </c>
      <c r="AP928" t="s">
        <v>2817</v>
      </c>
      <c r="AQ928" t="s">
        <v>74</v>
      </c>
      <c r="AR928" t="s">
        <v>2818</v>
      </c>
      <c r="AS928" t="s">
        <v>2819</v>
      </c>
      <c r="AT928" t="s">
        <v>17207</v>
      </c>
      <c r="AU928">
        <v>2023</v>
      </c>
      <c r="AV928" t="s">
        <v>74</v>
      </c>
      <c r="AW928" t="s">
        <v>74</v>
      </c>
      <c r="AX928" t="s">
        <v>74</v>
      </c>
      <c r="AY928" t="s">
        <v>74</v>
      </c>
      <c r="AZ928" t="s">
        <v>74</v>
      </c>
      <c r="BA928" t="s">
        <v>74</v>
      </c>
      <c r="BB928" t="s">
        <v>74</v>
      </c>
      <c r="BC928" t="s">
        <v>74</v>
      </c>
      <c r="BD928" t="s">
        <v>74</v>
      </c>
      <c r="BE928" t="s">
        <v>17243</v>
      </c>
      <c r="BF928" t="str">
        <f>HYPERLINK("http://dx.doi.org/10.1049/ipr2.12895","http://dx.doi.org/10.1049/ipr2.12895")</f>
        <v>http://dx.doi.org/10.1049/ipr2.12895</v>
      </c>
      <c r="BG928" t="s">
        <v>74</v>
      </c>
      <c r="BH928" t="s">
        <v>16585</v>
      </c>
      <c r="BI928">
        <v>18</v>
      </c>
      <c r="BJ928" t="s">
        <v>2821</v>
      </c>
      <c r="BK928" t="s">
        <v>119</v>
      </c>
      <c r="BL928" t="s">
        <v>2822</v>
      </c>
      <c r="BM928" t="s">
        <v>17244</v>
      </c>
      <c r="BN928" t="s">
        <v>74</v>
      </c>
      <c r="BO928" t="s">
        <v>234</v>
      </c>
      <c r="BP928" t="s">
        <v>74</v>
      </c>
      <c r="BQ928" t="s">
        <v>74</v>
      </c>
      <c r="BR928" t="s">
        <v>99</v>
      </c>
      <c r="BS928" t="s">
        <v>17245</v>
      </c>
      <c r="BT928" t="str">
        <f>HYPERLINK("https%3A%2F%2Fwww.webofscience.com%2Fwos%2Fwoscc%2Ffull-record%2FWOS:001039499000001","View Full Record in Web of Science")</f>
        <v>View Full Record in Web of Science</v>
      </c>
    </row>
    <row r="929" spans="1:72" x14ac:dyDescent="0.15">
      <c r="A929" t="s">
        <v>72</v>
      </c>
      <c r="B929" t="s">
        <v>17246</v>
      </c>
      <c r="C929" t="s">
        <v>74</v>
      </c>
      <c r="D929" t="s">
        <v>74</v>
      </c>
      <c r="E929" t="s">
        <v>74</v>
      </c>
      <c r="F929" t="s">
        <v>17247</v>
      </c>
      <c r="G929" t="s">
        <v>74</v>
      </c>
      <c r="H929" t="s">
        <v>74</v>
      </c>
      <c r="I929" t="s">
        <v>17248</v>
      </c>
      <c r="J929" t="s">
        <v>1982</v>
      </c>
      <c r="K929" t="s">
        <v>74</v>
      </c>
      <c r="L929" t="s">
        <v>74</v>
      </c>
      <c r="M929" t="s">
        <v>78</v>
      </c>
      <c r="N929" t="s">
        <v>338</v>
      </c>
      <c r="O929" t="s">
        <v>74</v>
      </c>
      <c r="P929" t="s">
        <v>74</v>
      </c>
      <c r="Q929" t="s">
        <v>74</v>
      </c>
      <c r="R929" t="s">
        <v>74</v>
      </c>
      <c r="S929" t="s">
        <v>74</v>
      </c>
      <c r="T929" t="s">
        <v>17249</v>
      </c>
      <c r="U929" t="s">
        <v>17250</v>
      </c>
      <c r="V929" t="s">
        <v>17251</v>
      </c>
      <c r="W929" t="s">
        <v>17252</v>
      </c>
      <c r="X929" t="s">
        <v>2010</v>
      </c>
      <c r="Y929" t="s">
        <v>17253</v>
      </c>
      <c r="Z929" t="s">
        <v>17254</v>
      </c>
      <c r="AA929" t="s">
        <v>74</v>
      </c>
      <c r="AB929" t="s">
        <v>17255</v>
      </c>
      <c r="AC929" t="s">
        <v>74</v>
      </c>
      <c r="AD929" t="s">
        <v>74</v>
      </c>
      <c r="AE929" t="s">
        <v>74</v>
      </c>
      <c r="AF929" t="s">
        <v>74</v>
      </c>
      <c r="AG929">
        <v>51</v>
      </c>
      <c r="AH929">
        <v>0</v>
      </c>
      <c r="AI929">
        <v>0</v>
      </c>
      <c r="AJ929">
        <v>8</v>
      </c>
      <c r="AK929">
        <v>8</v>
      </c>
      <c r="AL929" t="s">
        <v>426</v>
      </c>
      <c r="AM929" t="s">
        <v>427</v>
      </c>
      <c r="AN929" t="s">
        <v>428</v>
      </c>
      <c r="AO929" t="s">
        <v>1993</v>
      </c>
      <c r="AP929" t="s">
        <v>1994</v>
      </c>
      <c r="AQ929" t="s">
        <v>74</v>
      </c>
      <c r="AR929" t="s">
        <v>1995</v>
      </c>
      <c r="AS929" t="s">
        <v>1996</v>
      </c>
      <c r="AT929" t="s">
        <v>17256</v>
      </c>
      <c r="AU929">
        <v>2023</v>
      </c>
      <c r="AV929" t="s">
        <v>74</v>
      </c>
      <c r="AW929" t="s">
        <v>74</v>
      </c>
      <c r="AX929" t="s">
        <v>74</v>
      </c>
      <c r="AY929" t="s">
        <v>74</v>
      </c>
      <c r="AZ929" t="s">
        <v>74</v>
      </c>
      <c r="BA929" t="s">
        <v>74</v>
      </c>
      <c r="BB929" t="s">
        <v>74</v>
      </c>
      <c r="BC929" t="s">
        <v>74</v>
      </c>
      <c r="BD929" t="s">
        <v>74</v>
      </c>
      <c r="BE929" t="s">
        <v>17257</v>
      </c>
      <c r="BF929" t="str">
        <f>HYPERLINK("http://dx.doi.org/10.1002/adem.202300710","http://dx.doi.org/10.1002/adem.202300710")</f>
        <v>http://dx.doi.org/10.1002/adem.202300710</v>
      </c>
      <c r="BG929" t="s">
        <v>74</v>
      </c>
      <c r="BH929" t="s">
        <v>16585</v>
      </c>
      <c r="BI929">
        <v>14</v>
      </c>
      <c r="BJ929" t="s">
        <v>1998</v>
      </c>
      <c r="BK929" t="s">
        <v>119</v>
      </c>
      <c r="BL929" t="s">
        <v>1999</v>
      </c>
      <c r="BM929" t="s">
        <v>17258</v>
      </c>
      <c r="BN929" t="s">
        <v>74</v>
      </c>
      <c r="BO929" t="s">
        <v>74</v>
      </c>
      <c r="BP929" t="s">
        <v>74</v>
      </c>
      <c r="BQ929" t="s">
        <v>74</v>
      </c>
      <c r="BR929" t="s">
        <v>99</v>
      </c>
      <c r="BS929" t="s">
        <v>17259</v>
      </c>
      <c r="BT929" t="str">
        <f>HYPERLINK("https%3A%2F%2Fwww.webofscience.com%2Fwos%2Fwoscc%2Ffull-record%2FWOS:001038751100001","View Full Record in Web of Science")</f>
        <v>View Full Record in Web of Science</v>
      </c>
    </row>
    <row r="930" spans="1:72" x14ac:dyDescent="0.15">
      <c r="A930" t="s">
        <v>72</v>
      </c>
      <c r="B930" t="s">
        <v>17260</v>
      </c>
      <c r="C930" t="s">
        <v>74</v>
      </c>
      <c r="D930" t="s">
        <v>74</v>
      </c>
      <c r="E930" t="s">
        <v>74</v>
      </c>
      <c r="F930" t="s">
        <v>17261</v>
      </c>
      <c r="G930" t="s">
        <v>74</v>
      </c>
      <c r="H930" t="s">
        <v>74</v>
      </c>
      <c r="I930" t="s">
        <v>17262</v>
      </c>
      <c r="J930" t="s">
        <v>17263</v>
      </c>
      <c r="K930" t="s">
        <v>74</v>
      </c>
      <c r="L930" t="s">
        <v>74</v>
      </c>
      <c r="M930" t="s">
        <v>78</v>
      </c>
      <c r="N930" t="s">
        <v>338</v>
      </c>
      <c r="O930" t="s">
        <v>74</v>
      </c>
      <c r="P930" t="s">
        <v>74</v>
      </c>
      <c r="Q930" t="s">
        <v>74</v>
      </c>
      <c r="R930" t="s">
        <v>74</v>
      </c>
      <c r="S930" t="s">
        <v>74</v>
      </c>
      <c r="T930" t="s">
        <v>17264</v>
      </c>
      <c r="U930" t="s">
        <v>17265</v>
      </c>
      <c r="V930" t="s">
        <v>17266</v>
      </c>
      <c r="W930" t="s">
        <v>17267</v>
      </c>
      <c r="X930" t="s">
        <v>17268</v>
      </c>
      <c r="Y930" t="s">
        <v>17269</v>
      </c>
      <c r="Z930" t="s">
        <v>17270</v>
      </c>
      <c r="AA930" t="s">
        <v>74</v>
      </c>
      <c r="AB930" t="s">
        <v>17271</v>
      </c>
      <c r="AC930" t="s">
        <v>17272</v>
      </c>
      <c r="AD930" t="s">
        <v>17273</v>
      </c>
      <c r="AE930" t="s">
        <v>17274</v>
      </c>
      <c r="AF930" t="s">
        <v>74</v>
      </c>
      <c r="AG930">
        <v>33</v>
      </c>
      <c r="AH930">
        <v>0</v>
      </c>
      <c r="AI930">
        <v>0</v>
      </c>
      <c r="AJ930">
        <v>3</v>
      </c>
      <c r="AK930">
        <v>3</v>
      </c>
      <c r="AL930" t="s">
        <v>87</v>
      </c>
      <c r="AM930" t="s">
        <v>88</v>
      </c>
      <c r="AN930" t="s">
        <v>89</v>
      </c>
      <c r="AO930" t="s">
        <v>74</v>
      </c>
      <c r="AP930" t="s">
        <v>17275</v>
      </c>
      <c r="AQ930" t="s">
        <v>74</v>
      </c>
      <c r="AR930" t="s">
        <v>17263</v>
      </c>
      <c r="AS930" t="s">
        <v>17276</v>
      </c>
      <c r="AT930" t="s">
        <v>17256</v>
      </c>
      <c r="AU930">
        <v>2023</v>
      </c>
      <c r="AV930" t="s">
        <v>74</v>
      </c>
      <c r="AW930" t="s">
        <v>74</v>
      </c>
      <c r="AX930" t="s">
        <v>74</v>
      </c>
      <c r="AY930" t="s">
        <v>74</v>
      </c>
      <c r="AZ930" t="s">
        <v>74</v>
      </c>
      <c r="BA930" t="s">
        <v>74</v>
      </c>
      <c r="BB930" t="s">
        <v>74</v>
      </c>
      <c r="BC930" t="s">
        <v>74</v>
      </c>
      <c r="BD930" t="s">
        <v>74</v>
      </c>
      <c r="BE930" t="s">
        <v>17277</v>
      </c>
      <c r="BF930" t="str">
        <f>HYPERLINK("http://dx.doi.org/10.1002/fft2.295","http://dx.doi.org/10.1002/fft2.295")</f>
        <v>http://dx.doi.org/10.1002/fft2.295</v>
      </c>
      <c r="BG930" t="s">
        <v>74</v>
      </c>
      <c r="BH930" t="s">
        <v>16585</v>
      </c>
      <c r="BI930">
        <v>11</v>
      </c>
      <c r="BJ930" t="s">
        <v>433</v>
      </c>
      <c r="BK930" t="s">
        <v>96</v>
      </c>
      <c r="BL930" t="s">
        <v>433</v>
      </c>
      <c r="BM930" t="s">
        <v>17278</v>
      </c>
      <c r="BN930" t="s">
        <v>74</v>
      </c>
      <c r="BO930" t="s">
        <v>234</v>
      </c>
      <c r="BP930" t="s">
        <v>74</v>
      </c>
      <c r="BQ930" t="s">
        <v>74</v>
      </c>
      <c r="BR930" t="s">
        <v>99</v>
      </c>
      <c r="BS930" t="s">
        <v>17279</v>
      </c>
      <c r="BT930" t="str">
        <f>HYPERLINK("https%3A%2F%2Fwww.webofscience.com%2Fwos%2Fwoscc%2Ffull-record%2FWOS:001038737100001","View Full Record in Web of Science")</f>
        <v>View Full Record in Web of Science</v>
      </c>
    </row>
    <row r="931" spans="1:72" x14ac:dyDescent="0.15">
      <c r="A931" t="s">
        <v>72</v>
      </c>
      <c r="B931" t="s">
        <v>17280</v>
      </c>
      <c r="C931" t="s">
        <v>74</v>
      </c>
      <c r="D931" t="s">
        <v>74</v>
      </c>
      <c r="E931" t="s">
        <v>74</v>
      </c>
      <c r="F931" t="s">
        <v>17281</v>
      </c>
      <c r="G931" t="s">
        <v>74</v>
      </c>
      <c r="H931" t="s">
        <v>74</v>
      </c>
      <c r="I931" t="s">
        <v>17282</v>
      </c>
      <c r="J931" t="s">
        <v>17283</v>
      </c>
      <c r="K931" t="s">
        <v>74</v>
      </c>
      <c r="L931" t="s">
        <v>74</v>
      </c>
      <c r="M931" t="s">
        <v>78</v>
      </c>
      <c r="N931" t="s">
        <v>1297</v>
      </c>
      <c r="O931" t="s">
        <v>74</v>
      </c>
      <c r="P931" t="s">
        <v>74</v>
      </c>
      <c r="Q931" t="s">
        <v>74</v>
      </c>
      <c r="R931" t="s">
        <v>74</v>
      </c>
      <c r="S931" t="s">
        <v>74</v>
      </c>
      <c r="T931" t="s">
        <v>74</v>
      </c>
      <c r="U931" t="s">
        <v>74</v>
      </c>
      <c r="V931" t="s">
        <v>74</v>
      </c>
      <c r="W931" t="s">
        <v>74</v>
      </c>
      <c r="X931" t="s">
        <v>74</v>
      </c>
      <c r="Y931" t="s">
        <v>74</v>
      </c>
      <c r="Z931" t="s">
        <v>74</v>
      </c>
      <c r="AA931" t="s">
        <v>74</v>
      </c>
      <c r="AB931" t="s">
        <v>74</v>
      </c>
      <c r="AC931" t="s">
        <v>74</v>
      </c>
      <c r="AD931" t="s">
        <v>74</v>
      </c>
      <c r="AE931" t="s">
        <v>74</v>
      </c>
      <c r="AF931" t="s">
        <v>74</v>
      </c>
      <c r="AG931">
        <v>0</v>
      </c>
      <c r="AH931">
        <v>0</v>
      </c>
      <c r="AI931">
        <v>0</v>
      </c>
      <c r="AJ931">
        <v>0</v>
      </c>
      <c r="AK931">
        <v>0</v>
      </c>
      <c r="AL931" t="s">
        <v>87</v>
      </c>
      <c r="AM931" t="s">
        <v>88</v>
      </c>
      <c r="AN931" t="s">
        <v>89</v>
      </c>
      <c r="AO931" t="s">
        <v>17284</v>
      </c>
      <c r="AP931" t="s">
        <v>17285</v>
      </c>
      <c r="AQ931" t="s">
        <v>74</v>
      </c>
      <c r="AR931" t="s">
        <v>17286</v>
      </c>
      <c r="AS931" t="s">
        <v>17287</v>
      </c>
      <c r="AT931" t="s">
        <v>17256</v>
      </c>
      <c r="AU931">
        <v>2023</v>
      </c>
      <c r="AV931" t="s">
        <v>74</v>
      </c>
      <c r="AW931" t="s">
        <v>74</v>
      </c>
      <c r="AX931" t="s">
        <v>74</v>
      </c>
      <c r="AY931" t="s">
        <v>74</v>
      </c>
      <c r="AZ931" t="s">
        <v>74</v>
      </c>
      <c r="BA931" t="s">
        <v>74</v>
      </c>
      <c r="BB931" t="s">
        <v>74</v>
      </c>
      <c r="BC931" t="s">
        <v>74</v>
      </c>
      <c r="BD931" t="s">
        <v>74</v>
      </c>
      <c r="BE931" t="s">
        <v>17288</v>
      </c>
      <c r="BF931" t="str">
        <f>HYPERLINK("http://dx.doi.org/10.1111/1468-5922.12937","http://dx.doi.org/10.1111/1468-5922.12937")</f>
        <v>http://dx.doi.org/10.1111/1468-5922.12937</v>
      </c>
      <c r="BG931" t="s">
        <v>74</v>
      </c>
      <c r="BH931" t="s">
        <v>16585</v>
      </c>
      <c r="BI931">
        <v>5</v>
      </c>
      <c r="BJ931" t="s">
        <v>17289</v>
      </c>
      <c r="BK931" t="s">
        <v>96</v>
      </c>
      <c r="BL931" t="s">
        <v>1210</v>
      </c>
      <c r="BM931" t="s">
        <v>17290</v>
      </c>
      <c r="BN931">
        <v>37503857</v>
      </c>
      <c r="BO931" t="s">
        <v>74</v>
      </c>
      <c r="BP931" t="s">
        <v>74</v>
      </c>
      <c r="BQ931" t="s">
        <v>74</v>
      </c>
      <c r="BR931" t="s">
        <v>99</v>
      </c>
      <c r="BS931" t="s">
        <v>17291</v>
      </c>
      <c r="BT931" t="str">
        <f>HYPERLINK("https%3A%2F%2Fwww.webofscience.com%2Fwos%2Fwoscc%2Ffull-record%2FWOS:001038839600001","View Full Record in Web of Science")</f>
        <v>View Full Record in Web of Science</v>
      </c>
    </row>
    <row r="932" spans="1:72" x14ac:dyDescent="0.15">
      <c r="A932" t="s">
        <v>72</v>
      </c>
      <c r="B932" t="s">
        <v>17292</v>
      </c>
      <c r="C932" t="s">
        <v>74</v>
      </c>
      <c r="D932" t="s">
        <v>74</v>
      </c>
      <c r="E932" t="s">
        <v>74</v>
      </c>
      <c r="F932" t="s">
        <v>17293</v>
      </c>
      <c r="G932" t="s">
        <v>74</v>
      </c>
      <c r="H932" t="s">
        <v>74</v>
      </c>
      <c r="I932" t="s">
        <v>17294</v>
      </c>
      <c r="J932" t="s">
        <v>4967</v>
      </c>
      <c r="K932" t="s">
        <v>74</v>
      </c>
      <c r="L932" t="s">
        <v>74</v>
      </c>
      <c r="M932" t="s">
        <v>78</v>
      </c>
      <c r="N932" t="s">
        <v>338</v>
      </c>
      <c r="O932" t="s">
        <v>74</v>
      </c>
      <c r="P932" t="s">
        <v>74</v>
      </c>
      <c r="Q932" t="s">
        <v>74</v>
      </c>
      <c r="R932" t="s">
        <v>74</v>
      </c>
      <c r="S932" t="s">
        <v>74</v>
      </c>
      <c r="T932" t="s">
        <v>17295</v>
      </c>
      <c r="U932" t="s">
        <v>17296</v>
      </c>
      <c r="V932" t="s">
        <v>17297</v>
      </c>
      <c r="W932" t="s">
        <v>17298</v>
      </c>
      <c r="X932" t="s">
        <v>74</v>
      </c>
      <c r="Y932" t="s">
        <v>17299</v>
      </c>
      <c r="Z932" t="s">
        <v>17300</v>
      </c>
      <c r="AA932" t="s">
        <v>17301</v>
      </c>
      <c r="AB932" t="s">
        <v>17302</v>
      </c>
      <c r="AC932" t="s">
        <v>17303</v>
      </c>
      <c r="AD932" t="s">
        <v>17304</v>
      </c>
      <c r="AE932" t="s">
        <v>17305</v>
      </c>
      <c r="AF932" t="s">
        <v>74</v>
      </c>
      <c r="AG932">
        <v>54</v>
      </c>
      <c r="AH932">
        <v>1</v>
      </c>
      <c r="AI932">
        <v>1</v>
      </c>
      <c r="AJ932">
        <v>15</v>
      </c>
      <c r="AK932">
        <v>15</v>
      </c>
      <c r="AL932" t="s">
        <v>426</v>
      </c>
      <c r="AM932" t="s">
        <v>427</v>
      </c>
      <c r="AN932" t="s">
        <v>428</v>
      </c>
      <c r="AO932" t="s">
        <v>4979</v>
      </c>
      <c r="AP932" t="s">
        <v>4980</v>
      </c>
      <c r="AQ932" t="s">
        <v>74</v>
      </c>
      <c r="AR932" t="s">
        <v>4967</v>
      </c>
      <c r="AS932" t="s">
        <v>4981</v>
      </c>
      <c r="AT932" t="s">
        <v>17256</v>
      </c>
      <c r="AU932">
        <v>2023</v>
      </c>
      <c r="AV932" t="s">
        <v>74</v>
      </c>
      <c r="AW932" t="s">
        <v>74</v>
      </c>
      <c r="AX932" t="s">
        <v>74</v>
      </c>
      <c r="AY932" t="s">
        <v>74</v>
      </c>
      <c r="AZ932" t="s">
        <v>74</v>
      </c>
      <c r="BA932" t="s">
        <v>74</v>
      </c>
      <c r="BB932" t="s">
        <v>74</v>
      </c>
      <c r="BC932" t="s">
        <v>74</v>
      </c>
      <c r="BD932" t="s">
        <v>74</v>
      </c>
      <c r="BE932" t="s">
        <v>17306</v>
      </c>
      <c r="BF932" t="str">
        <f>HYPERLINK("http://dx.doi.org/10.1002/cssc.202300646","http://dx.doi.org/10.1002/cssc.202300646")</f>
        <v>http://dx.doi.org/10.1002/cssc.202300646</v>
      </c>
      <c r="BG932" t="s">
        <v>74</v>
      </c>
      <c r="BH932" t="s">
        <v>16585</v>
      </c>
      <c r="BI932">
        <v>11</v>
      </c>
      <c r="BJ932" t="s">
        <v>4983</v>
      </c>
      <c r="BK932" t="s">
        <v>119</v>
      </c>
      <c r="BL932" t="s">
        <v>4984</v>
      </c>
      <c r="BM932" t="s">
        <v>17307</v>
      </c>
      <c r="BN932">
        <v>37321979</v>
      </c>
      <c r="BO932" t="s">
        <v>74</v>
      </c>
      <c r="BP932" t="s">
        <v>74</v>
      </c>
      <c r="BQ932" t="s">
        <v>74</v>
      </c>
      <c r="BR932" t="s">
        <v>99</v>
      </c>
      <c r="BS932" t="s">
        <v>17308</v>
      </c>
      <c r="BT932" t="str">
        <f>HYPERLINK("https%3A%2F%2Fwww.webofscience.com%2Fwos%2Fwoscc%2Ffull-record%2FWOS:001037850700001","View Full Record in Web of Science")</f>
        <v>View Full Record in Web of Science</v>
      </c>
    </row>
    <row r="933" spans="1:72" x14ac:dyDescent="0.15">
      <c r="A933" t="s">
        <v>72</v>
      </c>
      <c r="B933" t="s">
        <v>17309</v>
      </c>
      <c r="C933" t="s">
        <v>74</v>
      </c>
      <c r="D933" t="s">
        <v>74</v>
      </c>
      <c r="E933" t="s">
        <v>74</v>
      </c>
      <c r="F933" t="s">
        <v>17310</v>
      </c>
      <c r="G933" t="s">
        <v>74</v>
      </c>
      <c r="H933" t="s">
        <v>74</v>
      </c>
      <c r="I933" t="s">
        <v>17311</v>
      </c>
      <c r="J933" t="s">
        <v>17312</v>
      </c>
      <c r="K933" t="s">
        <v>74</v>
      </c>
      <c r="L933" t="s">
        <v>74</v>
      </c>
      <c r="M933" t="s">
        <v>78</v>
      </c>
      <c r="N933" t="s">
        <v>79</v>
      </c>
      <c r="O933" t="s">
        <v>74</v>
      </c>
      <c r="P933" t="s">
        <v>74</v>
      </c>
      <c r="Q933" t="s">
        <v>74</v>
      </c>
      <c r="R933" t="s">
        <v>74</v>
      </c>
      <c r="S933" t="s">
        <v>74</v>
      </c>
      <c r="T933" t="s">
        <v>17313</v>
      </c>
      <c r="U933" t="s">
        <v>17314</v>
      </c>
      <c r="V933" t="s">
        <v>17315</v>
      </c>
      <c r="W933" t="s">
        <v>17316</v>
      </c>
      <c r="X933" t="s">
        <v>17317</v>
      </c>
      <c r="Y933" t="s">
        <v>17318</v>
      </c>
      <c r="Z933" t="s">
        <v>17319</v>
      </c>
      <c r="AA933" t="s">
        <v>17320</v>
      </c>
      <c r="AB933" t="s">
        <v>17321</v>
      </c>
      <c r="AC933" t="s">
        <v>17322</v>
      </c>
      <c r="AD933" t="s">
        <v>17323</v>
      </c>
      <c r="AE933" t="s">
        <v>17324</v>
      </c>
      <c r="AF933" t="s">
        <v>74</v>
      </c>
      <c r="AG933">
        <v>18</v>
      </c>
      <c r="AH933">
        <v>0</v>
      </c>
      <c r="AI933">
        <v>0</v>
      </c>
      <c r="AJ933">
        <v>1</v>
      </c>
      <c r="AK933">
        <v>1</v>
      </c>
      <c r="AL933" t="s">
        <v>87</v>
      </c>
      <c r="AM933" t="s">
        <v>88</v>
      </c>
      <c r="AN933" t="s">
        <v>89</v>
      </c>
      <c r="AO933" t="s">
        <v>17325</v>
      </c>
      <c r="AP933" t="s">
        <v>17326</v>
      </c>
      <c r="AQ933" t="s">
        <v>74</v>
      </c>
      <c r="AR933" t="s">
        <v>17327</v>
      </c>
      <c r="AS933" t="s">
        <v>17328</v>
      </c>
      <c r="AT933" t="s">
        <v>6725</v>
      </c>
      <c r="AU933">
        <v>2023</v>
      </c>
      <c r="AV933">
        <v>101</v>
      </c>
      <c r="AW933">
        <v>9</v>
      </c>
      <c r="AX933" t="s">
        <v>74</v>
      </c>
      <c r="AY933" t="s">
        <v>74</v>
      </c>
      <c r="AZ933" t="s">
        <v>74</v>
      </c>
      <c r="BA933" t="s">
        <v>74</v>
      </c>
      <c r="BB933">
        <v>356</v>
      </c>
      <c r="BC933">
        <v>365</v>
      </c>
      <c r="BD933" t="s">
        <v>74</v>
      </c>
      <c r="BE933" t="s">
        <v>17329</v>
      </c>
      <c r="BF933" t="str">
        <f>HYPERLINK("http://dx.doi.org/10.1111/avj.13269","http://dx.doi.org/10.1111/avj.13269")</f>
        <v>http://dx.doi.org/10.1111/avj.13269</v>
      </c>
      <c r="BG933" t="s">
        <v>74</v>
      </c>
      <c r="BH933" t="s">
        <v>16585</v>
      </c>
      <c r="BI933">
        <v>10</v>
      </c>
      <c r="BJ933" t="s">
        <v>354</v>
      </c>
      <c r="BK933" t="s">
        <v>119</v>
      </c>
      <c r="BL933" t="s">
        <v>354</v>
      </c>
      <c r="BM933" t="s">
        <v>17330</v>
      </c>
      <c r="BN933">
        <v>37503789</v>
      </c>
      <c r="BO933" t="s">
        <v>122</v>
      </c>
      <c r="BP933" t="s">
        <v>74</v>
      </c>
      <c r="BQ933" t="s">
        <v>74</v>
      </c>
      <c r="BR933" t="s">
        <v>99</v>
      </c>
      <c r="BS933" t="s">
        <v>17331</v>
      </c>
      <c r="BT933" t="str">
        <f>HYPERLINK("https%3A%2F%2Fwww.webofscience.com%2Fwos%2Fwoscc%2Ffull-record%2FWOS:001037517800001","View Full Record in Web of Science")</f>
        <v>View Full Record in Web of Science</v>
      </c>
    </row>
    <row r="934" spans="1:72" x14ac:dyDescent="0.15">
      <c r="A934" t="s">
        <v>72</v>
      </c>
      <c r="B934" t="s">
        <v>17332</v>
      </c>
      <c r="C934" t="s">
        <v>74</v>
      </c>
      <c r="D934" t="s">
        <v>74</v>
      </c>
      <c r="E934" t="s">
        <v>74</v>
      </c>
      <c r="F934" t="s">
        <v>17333</v>
      </c>
      <c r="G934" t="s">
        <v>74</v>
      </c>
      <c r="H934" t="s">
        <v>74</v>
      </c>
      <c r="I934" t="s">
        <v>17334</v>
      </c>
      <c r="J934" t="s">
        <v>2340</v>
      </c>
      <c r="K934" t="s">
        <v>74</v>
      </c>
      <c r="L934" t="s">
        <v>74</v>
      </c>
      <c r="M934" t="s">
        <v>78</v>
      </c>
      <c r="N934" t="s">
        <v>307</v>
      </c>
      <c r="O934" t="s">
        <v>74</v>
      </c>
      <c r="P934" t="s">
        <v>74</v>
      </c>
      <c r="Q934" t="s">
        <v>74</v>
      </c>
      <c r="R934" t="s">
        <v>74</v>
      </c>
      <c r="S934" t="s">
        <v>74</v>
      </c>
      <c r="T934" t="s">
        <v>74</v>
      </c>
      <c r="U934" t="s">
        <v>17335</v>
      </c>
      <c r="V934" t="s">
        <v>74</v>
      </c>
      <c r="W934" t="s">
        <v>17336</v>
      </c>
      <c r="X934" t="s">
        <v>17337</v>
      </c>
      <c r="Y934" t="s">
        <v>17338</v>
      </c>
      <c r="Z934" t="s">
        <v>17339</v>
      </c>
      <c r="AA934" t="s">
        <v>74</v>
      </c>
      <c r="AB934" t="s">
        <v>74</v>
      </c>
      <c r="AC934" t="s">
        <v>74</v>
      </c>
      <c r="AD934" t="s">
        <v>74</v>
      </c>
      <c r="AE934" t="s">
        <v>74</v>
      </c>
      <c r="AF934" t="s">
        <v>74</v>
      </c>
      <c r="AG934">
        <v>10</v>
      </c>
      <c r="AH934">
        <v>0</v>
      </c>
      <c r="AI934">
        <v>0</v>
      </c>
      <c r="AJ934">
        <v>0</v>
      </c>
      <c r="AK934">
        <v>0</v>
      </c>
      <c r="AL934" t="s">
        <v>87</v>
      </c>
      <c r="AM934" t="s">
        <v>88</v>
      </c>
      <c r="AN934" t="s">
        <v>89</v>
      </c>
      <c r="AO934" t="s">
        <v>2347</v>
      </c>
      <c r="AP934" t="s">
        <v>2348</v>
      </c>
      <c r="AQ934" t="s">
        <v>74</v>
      </c>
      <c r="AR934" t="s">
        <v>2349</v>
      </c>
      <c r="AS934" t="s">
        <v>2350</v>
      </c>
      <c r="AT934" t="s">
        <v>185</v>
      </c>
      <c r="AU934">
        <v>2023</v>
      </c>
      <c r="AV934">
        <v>51</v>
      </c>
      <c r="AW934">
        <v>10</v>
      </c>
      <c r="AX934" t="s">
        <v>74</v>
      </c>
      <c r="AY934" t="s">
        <v>74</v>
      </c>
      <c r="AZ934" t="s">
        <v>74</v>
      </c>
      <c r="BA934" t="s">
        <v>74</v>
      </c>
      <c r="BB934">
        <v>654</v>
      </c>
      <c r="BC934">
        <v>657</v>
      </c>
      <c r="BD934" t="s">
        <v>74</v>
      </c>
      <c r="BE934" t="s">
        <v>17340</v>
      </c>
      <c r="BF934" t="str">
        <f>HYPERLINK("http://dx.doi.org/10.1002/dc.25200","http://dx.doi.org/10.1002/dc.25200")</f>
        <v>http://dx.doi.org/10.1002/dc.25200</v>
      </c>
      <c r="BG934" t="s">
        <v>74</v>
      </c>
      <c r="BH934" t="s">
        <v>16585</v>
      </c>
      <c r="BI934">
        <v>4</v>
      </c>
      <c r="BJ934" t="s">
        <v>2352</v>
      </c>
      <c r="BK934" t="s">
        <v>119</v>
      </c>
      <c r="BL934" t="s">
        <v>2352</v>
      </c>
      <c r="BM934" t="s">
        <v>17341</v>
      </c>
      <c r="BN934">
        <v>37507845</v>
      </c>
      <c r="BO934" t="s">
        <v>74</v>
      </c>
      <c r="BP934" t="s">
        <v>74</v>
      </c>
      <c r="BQ934" t="s">
        <v>74</v>
      </c>
      <c r="BR934" t="s">
        <v>99</v>
      </c>
      <c r="BS934" t="s">
        <v>17342</v>
      </c>
      <c r="BT934" t="str">
        <f>HYPERLINK("https%3A%2F%2Fwww.webofscience.com%2Fwos%2Fwoscc%2Ffull-record%2FWOS:001038743800001","View Full Record in Web of Science")</f>
        <v>View Full Record in Web of Science</v>
      </c>
    </row>
    <row r="935" spans="1:72" x14ac:dyDescent="0.15">
      <c r="A935" t="s">
        <v>72</v>
      </c>
      <c r="B935" t="s">
        <v>17343</v>
      </c>
      <c r="C935" t="s">
        <v>74</v>
      </c>
      <c r="D935" t="s">
        <v>74</v>
      </c>
      <c r="E935" t="s">
        <v>74</v>
      </c>
      <c r="F935" t="s">
        <v>17344</v>
      </c>
      <c r="G935" t="s">
        <v>74</v>
      </c>
      <c r="H935" t="s">
        <v>74</v>
      </c>
      <c r="I935" t="s">
        <v>17345</v>
      </c>
      <c r="J935" t="s">
        <v>2806</v>
      </c>
      <c r="K935" t="s">
        <v>74</v>
      </c>
      <c r="L935" t="s">
        <v>74</v>
      </c>
      <c r="M935" t="s">
        <v>78</v>
      </c>
      <c r="N935" t="s">
        <v>338</v>
      </c>
      <c r="O935" t="s">
        <v>74</v>
      </c>
      <c r="P935" t="s">
        <v>74</v>
      </c>
      <c r="Q935" t="s">
        <v>74</v>
      </c>
      <c r="R935" t="s">
        <v>74</v>
      </c>
      <c r="S935" t="s">
        <v>74</v>
      </c>
      <c r="T935" t="s">
        <v>17346</v>
      </c>
      <c r="U935" t="s">
        <v>74</v>
      </c>
      <c r="V935" t="s">
        <v>17347</v>
      </c>
      <c r="W935" t="s">
        <v>17348</v>
      </c>
      <c r="X935" t="s">
        <v>17349</v>
      </c>
      <c r="Y935" t="s">
        <v>17350</v>
      </c>
      <c r="Z935" t="s">
        <v>17351</v>
      </c>
      <c r="AA935" t="s">
        <v>74</v>
      </c>
      <c r="AB935" t="s">
        <v>17352</v>
      </c>
      <c r="AC935" t="s">
        <v>74</v>
      </c>
      <c r="AD935" t="s">
        <v>74</v>
      </c>
      <c r="AE935" t="s">
        <v>74</v>
      </c>
      <c r="AF935" t="s">
        <v>74</v>
      </c>
      <c r="AG935">
        <v>38</v>
      </c>
      <c r="AH935">
        <v>0</v>
      </c>
      <c r="AI935">
        <v>0</v>
      </c>
      <c r="AJ935">
        <v>3</v>
      </c>
      <c r="AK935">
        <v>3</v>
      </c>
      <c r="AL935" t="s">
        <v>87</v>
      </c>
      <c r="AM935" t="s">
        <v>88</v>
      </c>
      <c r="AN935" t="s">
        <v>89</v>
      </c>
      <c r="AO935" t="s">
        <v>2816</v>
      </c>
      <c r="AP935" t="s">
        <v>2817</v>
      </c>
      <c r="AQ935" t="s">
        <v>74</v>
      </c>
      <c r="AR935" t="s">
        <v>2818</v>
      </c>
      <c r="AS935" t="s">
        <v>2819</v>
      </c>
      <c r="AT935" t="s">
        <v>17256</v>
      </c>
      <c r="AU935">
        <v>2023</v>
      </c>
      <c r="AV935" t="s">
        <v>74</v>
      </c>
      <c r="AW935" t="s">
        <v>74</v>
      </c>
      <c r="AX935" t="s">
        <v>74</v>
      </c>
      <c r="AY935" t="s">
        <v>74</v>
      </c>
      <c r="AZ935" t="s">
        <v>74</v>
      </c>
      <c r="BA935" t="s">
        <v>74</v>
      </c>
      <c r="BB935" t="s">
        <v>74</v>
      </c>
      <c r="BC935" t="s">
        <v>74</v>
      </c>
      <c r="BD935" t="s">
        <v>74</v>
      </c>
      <c r="BE935" t="s">
        <v>17353</v>
      </c>
      <c r="BF935" t="str">
        <f>HYPERLINK("http://dx.doi.org/10.1049/ipr2.12893","http://dx.doi.org/10.1049/ipr2.12893")</f>
        <v>http://dx.doi.org/10.1049/ipr2.12893</v>
      </c>
      <c r="BG935" t="s">
        <v>74</v>
      </c>
      <c r="BH935" t="s">
        <v>16585</v>
      </c>
      <c r="BI935">
        <v>18</v>
      </c>
      <c r="BJ935" t="s">
        <v>2821</v>
      </c>
      <c r="BK935" t="s">
        <v>119</v>
      </c>
      <c r="BL935" t="s">
        <v>2822</v>
      </c>
      <c r="BM935" t="s">
        <v>17354</v>
      </c>
      <c r="BN935" t="s">
        <v>74</v>
      </c>
      <c r="BO935" t="s">
        <v>234</v>
      </c>
      <c r="BP935" t="s">
        <v>74</v>
      </c>
      <c r="BQ935" t="s">
        <v>74</v>
      </c>
      <c r="BR935" t="s">
        <v>99</v>
      </c>
      <c r="BS935" t="s">
        <v>17355</v>
      </c>
      <c r="BT935" t="str">
        <f>HYPERLINK("https%3A%2F%2Fwww.webofscience.com%2Fwos%2Fwoscc%2Ffull-record%2FWOS:001037833100001","View Full Record in Web of Science")</f>
        <v>View Full Record in Web of Science</v>
      </c>
    </row>
    <row r="936" spans="1:72" x14ac:dyDescent="0.15">
      <c r="A936" t="s">
        <v>72</v>
      </c>
      <c r="B936" t="s">
        <v>17356</v>
      </c>
      <c r="C936" t="s">
        <v>74</v>
      </c>
      <c r="D936" t="s">
        <v>74</v>
      </c>
      <c r="E936" t="s">
        <v>74</v>
      </c>
      <c r="F936" t="s">
        <v>17357</v>
      </c>
      <c r="G936" t="s">
        <v>74</v>
      </c>
      <c r="H936" t="s">
        <v>74</v>
      </c>
      <c r="I936" t="s">
        <v>17358</v>
      </c>
      <c r="J936" t="s">
        <v>17359</v>
      </c>
      <c r="K936" t="s">
        <v>74</v>
      </c>
      <c r="L936" t="s">
        <v>74</v>
      </c>
      <c r="M936" t="s">
        <v>78</v>
      </c>
      <c r="N936" t="s">
        <v>338</v>
      </c>
      <c r="O936" t="s">
        <v>74</v>
      </c>
      <c r="P936" t="s">
        <v>74</v>
      </c>
      <c r="Q936" t="s">
        <v>74</v>
      </c>
      <c r="R936" t="s">
        <v>74</v>
      </c>
      <c r="S936" t="s">
        <v>74</v>
      </c>
      <c r="T936" t="s">
        <v>17360</v>
      </c>
      <c r="U936" t="s">
        <v>13438</v>
      </c>
      <c r="V936" t="s">
        <v>17361</v>
      </c>
      <c r="W936" t="s">
        <v>17362</v>
      </c>
      <c r="X936" t="s">
        <v>17363</v>
      </c>
      <c r="Y936" t="s">
        <v>17364</v>
      </c>
      <c r="Z936" t="s">
        <v>17365</v>
      </c>
      <c r="AA936" t="s">
        <v>17366</v>
      </c>
      <c r="AB936" t="s">
        <v>17367</v>
      </c>
      <c r="AC936" t="s">
        <v>17368</v>
      </c>
      <c r="AD936" t="s">
        <v>17369</v>
      </c>
      <c r="AE936" t="s">
        <v>17370</v>
      </c>
      <c r="AF936" t="s">
        <v>74</v>
      </c>
      <c r="AG936">
        <v>13</v>
      </c>
      <c r="AH936">
        <v>0</v>
      </c>
      <c r="AI936">
        <v>0</v>
      </c>
      <c r="AJ936">
        <v>0</v>
      </c>
      <c r="AK936">
        <v>0</v>
      </c>
      <c r="AL936" t="s">
        <v>87</v>
      </c>
      <c r="AM936" t="s">
        <v>88</v>
      </c>
      <c r="AN936" t="s">
        <v>89</v>
      </c>
      <c r="AO936" t="s">
        <v>74</v>
      </c>
      <c r="AP936" t="s">
        <v>17371</v>
      </c>
      <c r="AQ936" t="s">
        <v>74</v>
      </c>
      <c r="AR936" t="s">
        <v>17372</v>
      </c>
      <c r="AS936" t="s">
        <v>17373</v>
      </c>
      <c r="AT936" t="s">
        <v>17256</v>
      </c>
      <c r="AU936">
        <v>2023</v>
      </c>
      <c r="AV936" t="s">
        <v>74</v>
      </c>
      <c r="AW936" t="s">
        <v>74</v>
      </c>
      <c r="AX936" t="s">
        <v>74</v>
      </c>
      <c r="AY936" t="s">
        <v>74</v>
      </c>
      <c r="AZ936" t="s">
        <v>74</v>
      </c>
      <c r="BA936" t="s">
        <v>74</v>
      </c>
      <c r="BB936" t="s">
        <v>74</v>
      </c>
      <c r="BC936" t="s">
        <v>74</v>
      </c>
      <c r="BD936" t="s">
        <v>74</v>
      </c>
      <c r="BE936" t="s">
        <v>17374</v>
      </c>
      <c r="BF936" t="str">
        <f>HYPERLINK("http://dx.doi.org/10.1002/cjp2.336","http://dx.doi.org/10.1002/cjp2.336")</f>
        <v>http://dx.doi.org/10.1002/cjp2.336</v>
      </c>
      <c r="BG936" t="s">
        <v>74</v>
      </c>
      <c r="BH936" t="s">
        <v>16585</v>
      </c>
      <c r="BI936">
        <v>7</v>
      </c>
      <c r="BJ936" t="s">
        <v>9539</v>
      </c>
      <c r="BK936" t="s">
        <v>119</v>
      </c>
      <c r="BL936" t="s">
        <v>9539</v>
      </c>
      <c r="BM936" t="s">
        <v>17375</v>
      </c>
      <c r="BN936">
        <v>37504067</v>
      </c>
      <c r="BO936" t="s">
        <v>234</v>
      </c>
      <c r="BP936" t="s">
        <v>74</v>
      </c>
      <c r="BQ936" t="s">
        <v>74</v>
      </c>
      <c r="BR936" t="s">
        <v>99</v>
      </c>
      <c r="BS936" t="s">
        <v>17376</v>
      </c>
      <c r="BT936" t="str">
        <f>HYPERLINK("https%3A%2F%2Fwww.webofscience.com%2Fwos%2Fwoscc%2Ffull-record%2FWOS:001037713300001","View Full Record in Web of Science")</f>
        <v>View Full Record in Web of Science</v>
      </c>
    </row>
    <row r="937" spans="1:72" x14ac:dyDescent="0.15">
      <c r="A937" t="s">
        <v>72</v>
      </c>
      <c r="B937" t="s">
        <v>17377</v>
      </c>
      <c r="C937" t="s">
        <v>74</v>
      </c>
      <c r="D937" t="s">
        <v>74</v>
      </c>
      <c r="E937" t="s">
        <v>74</v>
      </c>
      <c r="F937" t="s">
        <v>17378</v>
      </c>
      <c r="G937" t="s">
        <v>74</v>
      </c>
      <c r="H937" t="s">
        <v>74</v>
      </c>
      <c r="I937" t="s">
        <v>17379</v>
      </c>
      <c r="J937" t="s">
        <v>875</v>
      </c>
      <c r="K937" t="s">
        <v>74</v>
      </c>
      <c r="L937" t="s">
        <v>74</v>
      </c>
      <c r="M937" t="s">
        <v>78</v>
      </c>
      <c r="N937" t="s">
        <v>338</v>
      </c>
      <c r="O937" t="s">
        <v>74</v>
      </c>
      <c r="P937" t="s">
        <v>74</v>
      </c>
      <c r="Q937" t="s">
        <v>74</v>
      </c>
      <c r="R937" t="s">
        <v>74</v>
      </c>
      <c r="S937" t="s">
        <v>74</v>
      </c>
      <c r="T937" t="s">
        <v>17380</v>
      </c>
      <c r="U937" t="s">
        <v>17381</v>
      </c>
      <c r="V937" t="s">
        <v>17382</v>
      </c>
      <c r="W937" t="s">
        <v>17383</v>
      </c>
      <c r="X937" t="s">
        <v>17384</v>
      </c>
      <c r="Y937" t="s">
        <v>17385</v>
      </c>
      <c r="Z937" t="s">
        <v>17386</v>
      </c>
      <c r="AA937" t="s">
        <v>74</v>
      </c>
      <c r="AB937" t="s">
        <v>17387</v>
      </c>
      <c r="AC937" t="s">
        <v>17388</v>
      </c>
      <c r="AD937" t="s">
        <v>17389</v>
      </c>
      <c r="AE937" t="s">
        <v>17390</v>
      </c>
      <c r="AF937" t="s">
        <v>74</v>
      </c>
      <c r="AG937">
        <v>57</v>
      </c>
      <c r="AH937">
        <v>1</v>
      </c>
      <c r="AI937">
        <v>1</v>
      </c>
      <c r="AJ937">
        <v>12</v>
      </c>
      <c r="AK937">
        <v>12</v>
      </c>
      <c r="AL937" t="s">
        <v>426</v>
      </c>
      <c r="AM937" t="s">
        <v>427</v>
      </c>
      <c r="AN937" t="s">
        <v>428</v>
      </c>
      <c r="AO937" t="s">
        <v>886</v>
      </c>
      <c r="AP937" t="s">
        <v>887</v>
      </c>
      <c r="AQ937" t="s">
        <v>74</v>
      </c>
      <c r="AR937" t="s">
        <v>888</v>
      </c>
      <c r="AS937" t="s">
        <v>889</v>
      </c>
      <c r="AT937" t="s">
        <v>17256</v>
      </c>
      <c r="AU937">
        <v>2023</v>
      </c>
      <c r="AV937" t="s">
        <v>74</v>
      </c>
      <c r="AW937" t="s">
        <v>74</v>
      </c>
      <c r="AX937" t="s">
        <v>74</v>
      </c>
      <c r="AY937" t="s">
        <v>74</v>
      </c>
      <c r="AZ937" t="s">
        <v>74</v>
      </c>
      <c r="BA937" t="s">
        <v>74</v>
      </c>
      <c r="BB937" t="s">
        <v>74</v>
      </c>
      <c r="BC937" t="s">
        <v>74</v>
      </c>
      <c r="BD937" t="s">
        <v>74</v>
      </c>
      <c r="BE937" t="s">
        <v>17391</v>
      </c>
      <c r="BF937" t="str">
        <f>HYPERLINK("http://dx.doi.org/10.1002/adfm.202306367","http://dx.doi.org/10.1002/adfm.202306367")</f>
        <v>http://dx.doi.org/10.1002/adfm.202306367</v>
      </c>
      <c r="BG937" t="s">
        <v>74</v>
      </c>
      <c r="BH937" t="s">
        <v>16585</v>
      </c>
      <c r="BI937">
        <v>11</v>
      </c>
      <c r="BJ937" t="s">
        <v>609</v>
      </c>
      <c r="BK937" t="s">
        <v>119</v>
      </c>
      <c r="BL937" t="s">
        <v>610</v>
      </c>
      <c r="BM937" t="s">
        <v>17392</v>
      </c>
      <c r="BN937" t="s">
        <v>74</v>
      </c>
      <c r="BO937" t="s">
        <v>74</v>
      </c>
      <c r="BP937" t="s">
        <v>74</v>
      </c>
      <c r="BQ937" t="s">
        <v>74</v>
      </c>
      <c r="BR937" t="s">
        <v>99</v>
      </c>
      <c r="BS937" t="s">
        <v>17393</v>
      </c>
      <c r="BT937" t="str">
        <f>HYPERLINK("https%3A%2F%2Fwww.webofscience.com%2Fwos%2Fwoscc%2Ffull-record%2FWOS:001038800000001","View Full Record in Web of Science")</f>
        <v>View Full Record in Web of Science</v>
      </c>
    </row>
    <row r="938" spans="1:72" x14ac:dyDescent="0.15">
      <c r="A938" t="s">
        <v>72</v>
      </c>
      <c r="B938" t="s">
        <v>17394</v>
      </c>
      <c r="C938" t="s">
        <v>74</v>
      </c>
      <c r="D938" t="s">
        <v>74</v>
      </c>
      <c r="E938" t="s">
        <v>74</v>
      </c>
      <c r="F938" t="s">
        <v>17395</v>
      </c>
      <c r="G938" t="s">
        <v>74</v>
      </c>
      <c r="H938" t="s">
        <v>74</v>
      </c>
      <c r="I938" t="s">
        <v>17396</v>
      </c>
      <c r="J938" t="s">
        <v>1773</v>
      </c>
      <c r="K938" t="s">
        <v>74</v>
      </c>
      <c r="L938" t="s">
        <v>74</v>
      </c>
      <c r="M938" t="s">
        <v>78</v>
      </c>
      <c r="N938" t="s">
        <v>79</v>
      </c>
      <c r="O938" t="s">
        <v>74</v>
      </c>
      <c r="P938" t="s">
        <v>74</v>
      </c>
      <c r="Q938" t="s">
        <v>74</v>
      </c>
      <c r="R938" t="s">
        <v>74</v>
      </c>
      <c r="S938" t="s">
        <v>74</v>
      </c>
      <c r="T938" t="s">
        <v>17397</v>
      </c>
      <c r="U938" t="s">
        <v>17398</v>
      </c>
      <c r="V938" t="s">
        <v>17399</v>
      </c>
      <c r="W938" t="s">
        <v>17400</v>
      </c>
      <c r="X938" t="s">
        <v>8732</v>
      </c>
      <c r="Y938" t="s">
        <v>17401</v>
      </c>
      <c r="Z938" t="s">
        <v>17402</v>
      </c>
      <c r="AA938" t="s">
        <v>17403</v>
      </c>
      <c r="AB938" t="s">
        <v>17404</v>
      </c>
      <c r="AC938" t="s">
        <v>17405</v>
      </c>
      <c r="AD938" t="s">
        <v>17406</v>
      </c>
      <c r="AE938" t="s">
        <v>17407</v>
      </c>
      <c r="AF938" t="s">
        <v>74</v>
      </c>
      <c r="AG938">
        <v>71</v>
      </c>
      <c r="AH938">
        <v>1</v>
      </c>
      <c r="AI938">
        <v>1</v>
      </c>
      <c r="AJ938">
        <v>50</v>
      </c>
      <c r="AK938">
        <v>50</v>
      </c>
      <c r="AL938" t="s">
        <v>426</v>
      </c>
      <c r="AM938" t="s">
        <v>427</v>
      </c>
      <c r="AN938" t="s">
        <v>428</v>
      </c>
      <c r="AO938" t="s">
        <v>1785</v>
      </c>
      <c r="AP938" t="s">
        <v>1786</v>
      </c>
      <c r="AQ938" t="s">
        <v>74</v>
      </c>
      <c r="AR938" t="s">
        <v>1787</v>
      </c>
      <c r="AS938" t="s">
        <v>1788</v>
      </c>
      <c r="AT938" t="s">
        <v>6725</v>
      </c>
      <c r="AU938">
        <v>2023</v>
      </c>
      <c r="AV938">
        <v>35</v>
      </c>
      <c r="AW938">
        <v>36</v>
      </c>
      <c r="AX938" t="s">
        <v>74</v>
      </c>
      <c r="AY938" t="s">
        <v>74</v>
      </c>
      <c r="AZ938" t="s">
        <v>74</v>
      </c>
      <c r="BA938" t="s">
        <v>74</v>
      </c>
      <c r="BB938" t="s">
        <v>74</v>
      </c>
      <c r="BC938" t="s">
        <v>74</v>
      </c>
      <c r="BD938">
        <v>2301020</v>
      </c>
      <c r="BE938" t="s">
        <v>17408</v>
      </c>
      <c r="BF938" t="str">
        <f>HYPERLINK("http://dx.doi.org/10.1002/adma.202301020","http://dx.doi.org/10.1002/adma.202301020")</f>
        <v>http://dx.doi.org/10.1002/adma.202301020</v>
      </c>
      <c r="BG938" t="s">
        <v>74</v>
      </c>
      <c r="BH938" t="s">
        <v>16585</v>
      </c>
      <c r="BI938">
        <v>10</v>
      </c>
      <c r="BJ938" t="s">
        <v>609</v>
      </c>
      <c r="BK938" t="s">
        <v>119</v>
      </c>
      <c r="BL938" t="s">
        <v>610</v>
      </c>
      <c r="BM938" t="s">
        <v>17409</v>
      </c>
      <c r="BN938">
        <v>37452606</v>
      </c>
      <c r="BO938" t="s">
        <v>74</v>
      </c>
      <c r="BP938" t="s">
        <v>74</v>
      </c>
      <c r="BQ938" t="s">
        <v>74</v>
      </c>
      <c r="BR938" t="s">
        <v>99</v>
      </c>
      <c r="BS938" t="s">
        <v>17410</v>
      </c>
      <c r="BT938" t="str">
        <f>HYPERLINK("https%3A%2F%2Fwww.webofscience.com%2Fwos%2Fwoscc%2Ffull-record%2FWOS:001038743900001","View Full Record in Web of Science")</f>
        <v>View Full Record in Web of Science</v>
      </c>
    </row>
    <row r="939" spans="1:72" x14ac:dyDescent="0.15">
      <c r="A939" t="s">
        <v>72</v>
      </c>
      <c r="B939" t="s">
        <v>17411</v>
      </c>
      <c r="C939" t="s">
        <v>74</v>
      </c>
      <c r="D939" t="s">
        <v>74</v>
      </c>
      <c r="E939" t="s">
        <v>74</v>
      </c>
      <c r="F939" t="s">
        <v>17412</v>
      </c>
      <c r="G939" t="s">
        <v>74</v>
      </c>
      <c r="H939" t="s">
        <v>74</v>
      </c>
      <c r="I939" t="s">
        <v>17413</v>
      </c>
      <c r="J939" t="s">
        <v>17414</v>
      </c>
      <c r="K939" t="s">
        <v>74</v>
      </c>
      <c r="L939" t="s">
        <v>74</v>
      </c>
      <c r="M939" t="s">
        <v>78</v>
      </c>
      <c r="N939" t="s">
        <v>338</v>
      </c>
      <c r="O939" t="s">
        <v>74</v>
      </c>
      <c r="P939" t="s">
        <v>74</v>
      </c>
      <c r="Q939" t="s">
        <v>74</v>
      </c>
      <c r="R939" t="s">
        <v>74</v>
      </c>
      <c r="S939" t="s">
        <v>74</v>
      </c>
      <c r="T939" t="s">
        <v>17415</v>
      </c>
      <c r="U939" t="s">
        <v>17416</v>
      </c>
      <c r="V939" t="s">
        <v>17417</v>
      </c>
      <c r="W939" t="s">
        <v>17418</v>
      </c>
      <c r="X939" t="s">
        <v>9659</v>
      </c>
      <c r="Y939" t="s">
        <v>17419</v>
      </c>
      <c r="Z939" t="s">
        <v>17420</v>
      </c>
      <c r="AA939" t="s">
        <v>17421</v>
      </c>
      <c r="AB939" t="s">
        <v>17422</v>
      </c>
      <c r="AC939" t="s">
        <v>74</v>
      </c>
      <c r="AD939" t="s">
        <v>74</v>
      </c>
      <c r="AE939" t="s">
        <v>74</v>
      </c>
      <c r="AF939" t="s">
        <v>74</v>
      </c>
      <c r="AG939">
        <v>26</v>
      </c>
      <c r="AH939">
        <v>0</v>
      </c>
      <c r="AI939">
        <v>0</v>
      </c>
      <c r="AJ939">
        <v>0</v>
      </c>
      <c r="AK939">
        <v>0</v>
      </c>
      <c r="AL939" t="s">
        <v>87</v>
      </c>
      <c r="AM939" t="s">
        <v>88</v>
      </c>
      <c r="AN939" t="s">
        <v>89</v>
      </c>
      <c r="AO939" t="s">
        <v>17423</v>
      </c>
      <c r="AP939" t="s">
        <v>17424</v>
      </c>
      <c r="AQ939" t="s">
        <v>74</v>
      </c>
      <c r="AR939" t="s">
        <v>17425</v>
      </c>
      <c r="AS939" t="s">
        <v>17426</v>
      </c>
      <c r="AT939" t="s">
        <v>17256</v>
      </c>
      <c r="AU939">
        <v>2023</v>
      </c>
      <c r="AV939" t="s">
        <v>74</v>
      </c>
      <c r="AW939" t="s">
        <v>74</v>
      </c>
      <c r="AX939" t="s">
        <v>74</v>
      </c>
      <c r="AY939" t="s">
        <v>74</v>
      </c>
      <c r="AZ939" t="s">
        <v>74</v>
      </c>
      <c r="BA939" t="s">
        <v>74</v>
      </c>
      <c r="BB939" t="s">
        <v>74</v>
      </c>
      <c r="BC939" t="s">
        <v>74</v>
      </c>
      <c r="BD939" t="s">
        <v>74</v>
      </c>
      <c r="BE939" t="s">
        <v>17427</v>
      </c>
      <c r="BF939" t="str">
        <f>HYPERLINK("http://dx.doi.org/10.1111/vde.13196","http://dx.doi.org/10.1111/vde.13196")</f>
        <v>http://dx.doi.org/10.1111/vde.13196</v>
      </c>
      <c r="BG939" t="s">
        <v>74</v>
      </c>
      <c r="BH939" t="s">
        <v>16585</v>
      </c>
      <c r="BI939">
        <v>11</v>
      </c>
      <c r="BJ939" t="s">
        <v>17428</v>
      </c>
      <c r="BK939" t="s">
        <v>119</v>
      </c>
      <c r="BL939" t="s">
        <v>17428</v>
      </c>
      <c r="BM939" t="s">
        <v>17429</v>
      </c>
      <c r="BN939">
        <v>37503675</v>
      </c>
      <c r="BO939" t="s">
        <v>74</v>
      </c>
      <c r="BP939" t="s">
        <v>74</v>
      </c>
      <c r="BQ939" t="s">
        <v>74</v>
      </c>
      <c r="BR939" t="s">
        <v>99</v>
      </c>
      <c r="BS939" t="s">
        <v>17430</v>
      </c>
      <c r="BT939" t="str">
        <f>HYPERLINK("https%3A%2F%2Fwww.webofscience.com%2Fwos%2Fwoscc%2Ffull-record%2FWOS:001038658800001","View Full Record in Web of Science")</f>
        <v>View Full Record in Web of Science</v>
      </c>
    </row>
    <row r="940" spans="1:72" x14ac:dyDescent="0.15">
      <c r="A940" t="s">
        <v>72</v>
      </c>
      <c r="B940" t="s">
        <v>17431</v>
      </c>
      <c r="C940" t="s">
        <v>74</v>
      </c>
      <c r="D940" t="s">
        <v>74</v>
      </c>
      <c r="E940" t="s">
        <v>74</v>
      </c>
      <c r="F940" t="s">
        <v>17432</v>
      </c>
      <c r="G940" t="s">
        <v>74</v>
      </c>
      <c r="H940" t="s">
        <v>74</v>
      </c>
      <c r="I940" t="s">
        <v>17433</v>
      </c>
      <c r="J940" t="s">
        <v>5095</v>
      </c>
      <c r="K940" t="s">
        <v>74</v>
      </c>
      <c r="L940" t="s">
        <v>74</v>
      </c>
      <c r="M940" t="s">
        <v>78</v>
      </c>
      <c r="N940" t="s">
        <v>338</v>
      </c>
      <c r="O940" t="s">
        <v>74</v>
      </c>
      <c r="P940" t="s">
        <v>74</v>
      </c>
      <c r="Q940" t="s">
        <v>74</v>
      </c>
      <c r="R940" t="s">
        <v>74</v>
      </c>
      <c r="S940" t="s">
        <v>74</v>
      </c>
      <c r="T940" t="s">
        <v>17434</v>
      </c>
      <c r="U940" t="s">
        <v>17435</v>
      </c>
      <c r="V940" t="s">
        <v>17436</v>
      </c>
      <c r="W940" t="s">
        <v>17437</v>
      </c>
      <c r="X940" t="s">
        <v>17438</v>
      </c>
      <c r="Y940" t="s">
        <v>17439</v>
      </c>
      <c r="Z940" t="s">
        <v>17440</v>
      </c>
      <c r="AA940" t="s">
        <v>17441</v>
      </c>
      <c r="AB940" t="s">
        <v>17442</v>
      </c>
      <c r="AC940" t="s">
        <v>17443</v>
      </c>
      <c r="AD940" t="s">
        <v>17444</v>
      </c>
      <c r="AE940" t="s">
        <v>17445</v>
      </c>
      <c r="AF940" t="s">
        <v>74</v>
      </c>
      <c r="AG940">
        <v>49</v>
      </c>
      <c r="AH940">
        <v>0</v>
      </c>
      <c r="AI940">
        <v>0</v>
      </c>
      <c r="AJ940">
        <v>20</v>
      </c>
      <c r="AK940">
        <v>20</v>
      </c>
      <c r="AL940" t="s">
        <v>426</v>
      </c>
      <c r="AM940" t="s">
        <v>427</v>
      </c>
      <c r="AN940" t="s">
        <v>428</v>
      </c>
      <c r="AO940" t="s">
        <v>5106</v>
      </c>
      <c r="AP940" t="s">
        <v>5107</v>
      </c>
      <c r="AQ940" t="s">
        <v>74</v>
      </c>
      <c r="AR940" t="s">
        <v>5108</v>
      </c>
      <c r="AS940" t="s">
        <v>5109</v>
      </c>
      <c r="AT940" t="s">
        <v>17256</v>
      </c>
      <c r="AU940">
        <v>2023</v>
      </c>
      <c r="AV940" t="s">
        <v>74</v>
      </c>
      <c r="AW940" t="s">
        <v>74</v>
      </c>
      <c r="AX940" t="s">
        <v>74</v>
      </c>
      <c r="AY940" t="s">
        <v>74</v>
      </c>
      <c r="AZ940" t="s">
        <v>74</v>
      </c>
      <c r="BA940" t="s">
        <v>74</v>
      </c>
      <c r="BB940" t="s">
        <v>74</v>
      </c>
      <c r="BC940" t="s">
        <v>74</v>
      </c>
      <c r="BD940" t="s">
        <v>74</v>
      </c>
      <c r="BE940" t="s">
        <v>17446</v>
      </c>
      <c r="BF940" t="str">
        <f>HYPERLINK("http://dx.doi.org/10.1002/lpor.202300280","http://dx.doi.org/10.1002/lpor.202300280")</f>
        <v>http://dx.doi.org/10.1002/lpor.202300280</v>
      </c>
      <c r="BG940" t="s">
        <v>74</v>
      </c>
      <c r="BH940" t="s">
        <v>16585</v>
      </c>
      <c r="BI940">
        <v>9</v>
      </c>
      <c r="BJ940" t="s">
        <v>5111</v>
      </c>
      <c r="BK940" t="s">
        <v>119</v>
      </c>
      <c r="BL940" t="s">
        <v>5112</v>
      </c>
      <c r="BM940" t="s">
        <v>17447</v>
      </c>
      <c r="BN940" t="s">
        <v>74</v>
      </c>
      <c r="BO940" t="s">
        <v>74</v>
      </c>
      <c r="BP940" t="s">
        <v>74</v>
      </c>
      <c r="BQ940" t="s">
        <v>74</v>
      </c>
      <c r="BR940" t="s">
        <v>99</v>
      </c>
      <c r="BS940" t="s">
        <v>17448</v>
      </c>
      <c r="BT940" t="str">
        <f>HYPERLINK("https%3A%2F%2Fwww.webofscience.com%2Fwos%2Fwoscc%2Ffull-record%2FWOS:001038741100001","View Full Record in Web of Science")</f>
        <v>View Full Record in Web of Science</v>
      </c>
    </row>
    <row r="941" spans="1:72" x14ac:dyDescent="0.15">
      <c r="A941" t="s">
        <v>72</v>
      </c>
      <c r="B941" t="s">
        <v>17449</v>
      </c>
      <c r="C941" t="s">
        <v>74</v>
      </c>
      <c r="D941" t="s">
        <v>74</v>
      </c>
      <c r="E941" t="s">
        <v>74</v>
      </c>
      <c r="F941" t="s">
        <v>17450</v>
      </c>
      <c r="G941" t="s">
        <v>74</v>
      </c>
      <c r="H941" t="s">
        <v>74</v>
      </c>
      <c r="I941" t="s">
        <v>17451</v>
      </c>
      <c r="J941" t="s">
        <v>17452</v>
      </c>
      <c r="K941" t="s">
        <v>74</v>
      </c>
      <c r="L941" t="s">
        <v>74</v>
      </c>
      <c r="M941" t="s">
        <v>78</v>
      </c>
      <c r="N941" t="s">
        <v>338</v>
      </c>
      <c r="O941" t="s">
        <v>74</v>
      </c>
      <c r="P941" t="s">
        <v>74</v>
      </c>
      <c r="Q941" t="s">
        <v>74</v>
      </c>
      <c r="R941" t="s">
        <v>74</v>
      </c>
      <c r="S941" t="s">
        <v>74</v>
      </c>
      <c r="T941" t="s">
        <v>17453</v>
      </c>
      <c r="U941" t="s">
        <v>17454</v>
      </c>
      <c r="V941" t="s">
        <v>17455</v>
      </c>
      <c r="W941" t="s">
        <v>17456</v>
      </c>
      <c r="X941" t="s">
        <v>17457</v>
      </c>
      <c r="Y941" t="s">
        <v>17458</v>
      </c>
      <c r="Z941" t="s">
        <v>17459</v>
      </c>
      <c r="AA941" t="s">
        <v>74</v>
      </c>
      <c r="AB941" t="s">
        <v>17460</v>
      </c>
      <c r="AC941" t="s">
        <v>74</v>
      </c>
      <c r="AD941" t="s">
        <v>74</v>
      </c>
      <c r="AE941" t="s">
        <v>74</v>
      </c>
      <c r="AF941" t="s">
        <v>74</v>
      </c>
      <c r="AG941">
        <v>43</v>
      </c>
      <c r="AH941">
        <v>0</v>
      </c>
      <c r="AI941">
        <v>0</v>
      </c>
      <c r="AJ941">
        <v>0</v>
      </c>
      <c r="AK941">
        <v>0</v>
      </c>
      <c r="AL941" t="s">
        <v>87</v>
      </c>
      <c r="AM941" t="s">
        <v>88</v>
      </c>
      <c r="AN941" t="s">
        <v>89</v>
      </c>
      <c r="AO941" t="s">
        <v>17461</v>
      </c>
      <c r="AP941" t="s">
        <v>17462</v>
      </c>
      <c r="AQ941" t="s">
        <v>74</v>
      </c>
      <c r="AR941" t="s">
        <v>17463</v>
      </c>
      <c r="AS941" t="s">
        <v>17464</v>
      </c>
      <c r="AT941" t="s">
        <v>17256</v>
      </c>
      <c r="AU941">
        <v>2023</v>
      </c>
      <c r="AV941" t="s">
        <v>74</v>
      </c>
      <c r="AW941" t="s">
        <v>74</v>
      </c>
      <c r="AX941" t="s">
        <v>74</v>
      </c>
      <c r="AY941" t="s">
        <v>74</v>
      </c>
      <c r="AZ941" t="s">
        <v>74</v>
      </c>
      <c r="BA941" t="s">
        <v>74</v>
      </c>
      <c r="BB941" t="s">
        <v>74</v>
      </c>
      <c r="BC941" t="s">
        <v>74</v>
      </c>
      <c r="BD941" t="s">
        <v>74</v>
      </c>
      <c r="BE941" t="s">
        <v>17465</v>
      </c>
      <c r="BF941" t="str">
        <f>HYPERLINK("http://dx.doi.org/10.1002/vetr.3266","http://dx.doi.org/10.1002/vetr.3266")</f>
        <v>http://dx.doi.org/10.1002/vetr.3266</v>
      </c>
      <c r="BG941" t="s">
        <v>74</v>
      </c>
      <c r="BH941" t="s">
        <v>16585</v>
      </c>
      <c r="BI941">
        <v>11</v>
      </c>
      <c r="BJ941" t="s">
        <v>354</v>
      </c>
      <c r="BK941" t="s">
        <v>119</v>
      </c>
      <c r="BL941" t="s">
        <v>354</v>
      </c>
      <c r="BM941" t="s">
        <v>17466</v>
      </c>
      <c r="BN941">
        <v>37503693</v>
      </c>
      <c r="BO941" t="s">
        <v>122</v>
      </c>
      <c r="BP941" t="s">
        <v>74</v>
      </c>
      <c r="BQ941" t="s">
        <v>74</v>
      </c>
      <c r="BR941" t="s">
        <v>99</v>
      </c>
      <c r="BS941" t="s">
        <v>17467</v>
      </c>
      <c r="BT941" t="str">
        <f>HYPERLINK("https%3A%2F%2Fwww.webofscience.com%2Fwos%2Fwoscc%2Ffull-record%2FWOS:001037496600001","View Full Record in Web of Science")</f>
        <v>View Full Record in Web of Science</v>
      </c>
    </row>
    <row r="942" spans="1:72" x14ac:dyDescent="0.15">
      <c r="A942" t="s">
        <v>72</v>
      </c>
      <c r="B942" t="s">
        <v>17468</v>
      </c>
      <c r="C942" t="s">
        <v>74</v>
      </c>
      <c r="D942" t="s">
        <v>74</v>
      </c>
      <c r="E942" t="s">
        <v>74</v>
      </c>
      <c r="F942" t="s">
        <v>17469</v>
      </c>
      <c r="G942" t="s">
        <v>74</v>
      </c>
      <c r="H942" t="s">
        <v>74</v>
      </c>
      <c r="I942" t="s">
        <v>17470</v>
      </c>
      <c r="J942" t="s">
        <v>10609</v>
      </c>
      <c r="K942" t="s">
        <v>74</v>
      </c>
      <c r="L942" t="s">
        <v>74</v>
      </c>
      <c r="M942" t="s">
        <v>78</v>
      </c>
      <c r="N942" t="s">
        <v>79</v>
      </c>
      <c r="O942" t="s">
        <v>74</v>
      </c>
      <c r="P942" t="s">
        <v>74</v>
      </c>
      <c r="Q942" t="s">
        <v>74</v>
      </c>
      <c r="R942" t="s">
        <v>74</v>
      </c>
      <c r="S942" t="s">
        <v>74</v>
      </c>
      <c r="T942" t="s">
        <v>17471</v>
      </c>
      <c r="U942" t="s">
        <v>17472</v>
      </c>
      <c r="V942" t="s">
        <v>17473</v>
      </c>
      <c r="W942" t="s">
        <v>17474</v>
      </c>
      <c r="X942" t="s">
        <v>74</v>
      </c>
      <c r="Y942" t="s">
        <v>17475</v>
      </c>
      <c r="Z942" t="s">
        <v>17476</v>
      </c>
      <c r="AA942" t="s">
        <v>74</v>
      </c>
      <c r="AB942" t="s">
        <v>74</v>
      </c>
      <c r="AC942" t="s">
        <v>74</v>
      </c>
      <c r="AD942" t="s">
        <v>74</v>
      </c>
      <c r="AE942" t="s">
        <v>74</v>
      </c>
      <c r="AF942" t="s">
        <v>74</v>
      </c>
      <c r="AG942">
        <v>29</v>
      </c>
      <c r="AH942">
        <v>0</v>
      </c>
      <c r="AI942">
        <v>0</v>
      </c>
      <c r="AJ942">
        <v>1</v>
      </c>
      <c r="AK942">
        <v>1</v>
      </c>
      <c r="AL942" t="s">
        <v>87</v>
      </c>
      <c r="AM942" t="s">
        <v>88</v>
      </c>
      <c r="AN942" t="s">
        <v>89</v>
      </c>
      <c r="AO942" t="s">
        <v>74</v>
      </c>
      <c r="AP942" t="s">
        <v>10618</v>
      </c>
      <c r="AQ942" t="s">
        <v>74</v>
      </c>
      <c r="AR942" t="s">
        <v>10619</v>
      </c>
      <c r="AS942" t="s">
        <v>10620</v>
      </c>
      <c r="AT942" t="s">
        <v>6725</v>
      </c>
      <c r="AU942">
        <v>2023</v>
      </c>
      <c r="AV942">
        <v>6</v>
      </c>
      <c r="AW942">
        <v>9</v>
      </c>
      <c r="AX942" t="s">
        <v>74</v>
      </c>
      <c r="AY942" t="s">
        <v>74</v>
      </c>
      <c r="AZ942" t="s">
        <v>74</v>
      </c>
      <c r="BA942" t="s">
        <v>74</v>
      </c>
      <c r="BB942" t="s">
        <v>74</v>
      </c>
      <c r="BC942" t="s">
        <v>74</v>
      </c>
      <c r="BD942" t="s">
        <v>74</v>
      </c>
      <c r="BE942" t="s">
        <v>17477</v>
      </c>
      <c r="BF942" t="str">
        <f>HYPERLINK("http://dx.doi.org/10.1002/cnr2.1864","http://dx.doi.org/10.1002/cnr2.1864")</f>
        <v>http://dx.doi.org/10.1002/cnr2.1864</v>
      </c>
      <c r="BG942" t="s">
        <v>74</v>
      </c>
      <c r="BH942" t="s">
        <v>16585</v>
      </c>
      <c r="BI942">
        <v>8</v>
      </c>
      <c r="BJ942" t="s">
        <v>789</v>
      </c>
      <c r="BK942" t="s">
        <v>96</v>
      </c>
      <c r="BL942" t="s">
        <v>789</v>
      </c>
      <c r="BM942" t="s">
        <v>17478</v>
      </c>
      <c r="BN942">
        <v>37501598</v>
      </c>
      <c r="BO942" t="s">
        <v>98</v>
      </c>
      <c r="BP942" t="s">
        <v>74</v>
      </c>
      <c r="BQ942" t="s">
        <v>74</v>
      </c>
      <c r="BR942" t="s">
        <v>99</v>
      </c>
      <c r="BS942" t="s">
        <v>17479</v>
      </c>
      <c r="BT942" t="str">
        <f>HYPERLINK("https%3A%2F%2Fwww.webofscience.com%2Fwos%2Fwoscc%2Ffull-record%2FWOS:001034372200001","View Full Record in Web of Science")</f>
        <v>View Full Record in Web of Science</v>
      </c>
    </row>
    <row r="943" spans="1:72" x14ac:dyDescent="0.15">
      <c r="A943" t="s">
        <v>72</v>
      </c>
      <c r="B943" t="s">
        <v>17480</v>
      </c>
      <c r="C943" t="s">
        <v>74</v>
      </c>
      <c r="D943" t="s">
        <v>74</v>
      </c>
      <c r="E943" t="s">
        <v>74</v>
      </c>
      <c r="F943" t="s">
        <v>17481</v>
      </c>
      <c r="G943" t="s">
        <v>74</v>
      </c>
      <c r="H943" t="s">
        <v>74</v>
      </c>
      <c r="I943" t="s">
        <v>17482</v>
      </c>
      <c r="J943" t="s">
        <v>17483</v>
      </c>
      <c r="K943" t="s">
        <v>74</v>
      </c>
      <c r="L943" t="s">
        <v>74</v>
      </c>
      <c r="M943" t="s">
        <v>78</v>
      </c>
      <c r="N943" t="s">
        <v>338</v>
      </c>
      <c r="O943" t="s">
        <v>74</v>
      </c>
      <c r="P943" t="s">
        <v>74</v>
      </c>
      <c r="Q943" t="s">
        <v>74</v>
      </c>
      <c r="R943" t="s">
        <v>74</v>
      </c>
      <c r="S943" t="s">
        <v>74</v>
      </c>
      <c r="T943" t="s">
        <v>17484</v>
      </c>
      <c r="U943" t="s">
        <v>17485</v>
      </c>
      <c r="V943" t="s">
        <v>17486</v>
      </c>
      <c r="W943" t="s">
        <v>17487</v>
      </c>
      <c r="X943" t="s">
        <v>17488</v>
      </c>
      <c r="Y943" t="s">
        <v>17489</v>
      </c>
      <c r="Z943" t="s">
        <v>17490</v>
      </c>
      <c r="AA943" t="s">
        <v>74</v>
      </c>
      <c r="AB943" t="s">
        <v>17491</v>
      </c>
      <c r="AC943" t="s">
        <v>17492</v>
      </c>
      <c r="AD943" t="s">
        <v>17493</v>
      </c>
      <c r="AE943" t="s">
        <v>17494</v>
      </c>
      <c r="AF943" t="s">
        <v>74</v>
      </c>
      <c r="AG943">
        <v>70</v>
      </c>
      <c r="AH943">
        <v>0</v>
      </c>
      <c r="AI943">
        <v>0</v>
      </c>
      <c r="AJ943">
        <v>0</v>
      </c>
      <c r="AK943">
        <v>0</v>
      </c>
      <c r="AL943" t="s">
        <v>87</v>
      </c>
      <c r="AM943" t="s">
        <v>88</v>
      </c>
      <c r="AN943" t="s">
        <v>89</v>
      </c>
      <c r="AO943" t="s">
        <v>17495</v>
      </c>
      <c r="AP943" t="s">
        <v>17496</v>
      </c>
      <c r="AQ943" t="s">
        <v>74</v>
      </c>
      <c r="AR943" t="s">
        <v>17497</v>
      </c>
      <c r="AS943" t="s">
        <v>17498</v>
      </c>
      <c r="AT943" t="s">
        <v>17256</v>
      </c>
      <c r="AU943">
        <v>2023</v>
      </c>
      <c r="AV943" t="s">
        <v>74</v>
      </c>
      <c r="AW943" t="s">
        <v>74</v>
      </c>
      <c r="AX943" t="s">
        <v>74</v>
      </c>
      <c r="AY943" t="s">
        <v>74</v>
      </c>
      <c r="AZ943" t="s">
        <v>74</v>
      </c>
      <c r="BA943" t="s">
        <v>74</v>
      </c>
      <c r="BB943" t="s">
        <v>74</v>
      </c>
      <c r="BC943" t="s">
        <v>74</v>
      </c>
      <c r="BD943" t="s">
        <v>74</v>
      </c>
      <c r="BE943" t="s">
        <v>17499</v>
      </c>
      <c r="BF943" t="str">
        <f>HYPERLINK("http://dx.doi.org/10.1002/ar.25297","http://dx.doi.org/10.1002/ar.25297")</f>
        <v>http://dx.doi.org/10.1002/ar.25297</v>
      </c>
      <c r="BG943" t="s">
        <v>74</v>
      </c>
      <c r="BH943" t="s">
        <v>16585</v>
      </c>
      <c r="BI943">
        <v>15</v>
      </c>
      <c r="BJ943" t="s">
        <v>281</v>
      </c>
      <c r="BK943" t="s">
        <v>119</v>
      </c>
      <c r="BL943" t="s">
        <v>281</v>
      </c>
      <c r="BM943" t="s">
        <v>17500</v>
      </c>
      <c r="BN943">
        <v>37515384</v>
      </c>
      <c r="BO943" t="s">
        <v>74</v>
      </c>
      <c r="BP943" t="s">
        <v>74</v>
      </c>
      <c r="BQ943" t="s">
        <v>74</v>
      </c>
      <c r="BR943" t="s">
        <v>99</v>
      </c>
      <c r="BS943" t="s">
        <v>17501</v>
      </c>
      <c r="BT943" t="str">
        <f>HYPERLINK("https%3A%2F%2Fwww.webofscience.com%2Fwos%2Fwoscc%2Ffull-record%2FWOS:001039556400001","View Full Record in Web of Science")</f>
        <v>View Full Record in Web of Science</v>
      </c>
    </row>
    <row r="944" spans="1:72" x14ac:dyDescent="0.15">
      <c r="A944" t="s">
        <v>72</v>
      </c>
      <c r="B944" t="s">
        <v>17502</v>
      </c>
      <c r="C944" t="s">
        <v>74</v>
      </c>
      <c r="D944" t="s">
        <v>74</v>
      </c>
      <c r="E944" t="s">
        <v>74</v>
      </c>
      <c r="F944" t="s">
        <v>17503</v>
      </c>
      <c r="G944" t="s">
        <v>74</v>
      </c>
      <c r="H944" t="s">
        <v>74</v>
      </c>
      <c r="I944" t="s">
        <v>17504</v>
      </c>
      <c r="J944" t="s">
        <v>2047</v>
      </c>
      <c r="K944" t="s">
        <v>74</v>
      </c>
      <c r="L944" t="s">
        <v>74</v>
      </c>
      <c r="M944" t="s">
        <v>78</v>
      </c>
      <c r="N944" t="s">
        <v>79</v>
      </c>
      <c r="O944" t="s">
        <v>74</v>
      </c>
      <c r="P944" t="s">
        <v>74</v>
      </c>
      <c r="Q944" t="s">
        <v>74</v>
      </c>
      <c r="R944" t="s">
        <v>74</v>
      </c>
      <c r="S944" t="s">
        <v>74</v>
      </c>
      <c r="T944" t="s">
        <v>17505</v>
      </c>
      <c r="U944" t="s">
        <v>17506</v>
      </c>
      <c r="V944" t="s">
        <v>17507</v>
      </c>
      <c r="W944" t="s">
        <v>17508</v>
      </c>
      <c r="X944" t="s">
        <v>17509</v>
      </c>
      <c r="Y944" t="s">
        <v>17510</v>
      </c>
      <c r="Z944" t="s">
        <v>17511</v>
      </c>
      <c r="AA944" t="s">
        <v>17512</v>
      </c>
      <c r="AB944" t="s">
        <v>17513</v>
      </c>
      <c r="AC944" t="s">
        <v>17514</v>
      </c>
      <c r="AD944" t="s">
        <v>17515</v>
      </c>
      <c r="AE944" t="s">
        <v>17516</v>
      </c>
      <c r="AF944" t="s">
        <v>74</v>
      </c>
      <c r="AG944">
        <v>63</v>
      </c>
      <c r="AH944">
        <v>0</v>
      </c>
      <c r="AI944">
        <v>0</v>
      </c>
      <c r="AJ944">
        <v>14</v>
      </c>
      <c r="AK944">
        <v>14</v>
      </c>
      <c r="AL944" t="s">
        <v>87</v>
      </c>
      <c r="AM944" t="s">
        <v>88</v>
      </c>
      <c r="AN944" t="s">
        <v>89</v>
      </c>
      <c r="AO944" t="s">
        <v>2058</v>
      </c>
      <c r="AP944" t="s">
        <v>2059</v>
      </c>
      <c r="AQ944" t="s">
        <v>74</v>
      </c>
      <c r="AR944" t="s">
        <v>2060</v>
      </c>
      <c r="AS944" t="s">
        <v>2061</v>
      </c>
      <c r="AT944" t="s">
        <v>185</v>
      </c>
      <c r="AU944">
        <v>2023</v>
      </c>
      <c r="AV944">
        <v>29</v>
      </c>
      <c r="AW944">
        <v>19</v>
      </c>
      <c r="AX944" t="s">
        <v>74</v>
      </c>
      <c r="AY944" t="s">
        <v>74</v>
      </c>
      <c r="AZ944" t="s">
        <v>74</v>
      </c>
      <c r="BA944" t="s">
        <v>74</v>
      </c>
      <c r="BB944">
        <v>5652</v>
      </c>
      <c r="BC944">
        <v>5665</v>
      </c>
      <c r="BD944" t="s">
        <v>74</v>
      </c>
      <c r="BE944" t="s">
        <v>17517</v>
      </c>
      <c r="BF944" t="str">
        <f>HYPERLINK("http://dx.doi.org/10.1111/gcb.16867","http://dx.doi.org/10.1111/gcb.16867")</f>
        <v>http://dx.doi.org/10.1111/gcb.16867</v>
      </c>
      <c r="BG944" t="s">
        <v>74</v>
      </c>
      <c r="BH944" t="s">
        <v>16585</v>
      </c>
      <c r="BI944">
        <v>14</v>
      </c>
      <c r="BJ944" t="s">
        <v>2063</v>
      </c>
      <c r="BK944" t="s">
        <v>119</v>
      </c>
      <c r="BL944" t="s">
        <v>766</v>
      </c>
      <c r="BM944" t="s">
        <v>17518</v>
      </c>
      <c r="BN944">
        <v>37497614</v>
      </c>
      <c r="BO944" t="s">
        <v>122</v>
      </c>
      <c r="BP944" t="s">
        <v>74</v>
      </c>
      <c r="BQ944" t="s">
        <v>74</v>
      </c>
      <c r="BR944" t="s">
        <v>99</v>
      </c>
      <c r="BS944" t="s">
        <v>17519</v>
      </c>
      <c r="BT944" t="str">
        <f>HYPERLINK("https%3A%2F%2Fwww.webofscience.com%2Fwos%2Fwoscc%2Ffull-record%2FWOS:001037718900001","View Full Record in Web of Science")</f>
        <v>View Full Record in Web of Science</v>
      </c>
    </row>
    <row r="945" spans="1:72" x14ac:dyDescent="0.15">
      <c r="A945" t="s">
        <v>72</v>
      </c>
      <c r="B945" t="s">
        <v>17520</v>
      </c>
      <c r="C945" t="s">
        <v>74</v>
      </c>
      <c r="D945" t="s">
        <v>74</v>
      </c>
      <c r="E945" t="s">
        <v>74</v>
      </c>
      <c r="F945" t="s">
        <v>17521</v>
      </c>
      <c r="G945" t="s">
        <v>74</v>
      </c>
      <c r="H945" t="s">
        <v>74</v>
      </c>
      <c r="I945" t="s">
        <v>17522</v>
      </c>
      <c r="J945" t="s">
        <v>13609</v>
      </c>
      <c r="K945" t="s">
        <v>74</v>
      </c>
      <c r="L945" t="s">
        <v>74</v>
      </c>
      <c r="M945" t="s">
        <v>78</v>
      </c>
      <c r="N945" t="s">
        <v>338</v>
      </c>
      <c r="O945" t="s">
        <v>74</v>
      </c>
      <c r="P945" t="s">
        <v>74</v>
      </c>
      <c r="Q945" t="s">
        <v>74</v>
      </c>
      <c r="R945" t="s">
        <v>74</v>
      </c>
      <c r="S945" t="s">
        <v>74</v>
      </c>
      <c r="T945" t="s">
        <v>17523</v>
      </c>
      <c r="U945" t="s">
        <v>17524</v>
      </c>
      <c r="V945" t="s">
        <v>17525</v>
      </c>
      <c r="W945" t="s">
        <v>17526</v>
      </c>
      <c r="X945" t="s">
        <v>17527</v>
      </c>
      <c r="Y945" t="s">
        <v>17528</v>
      </c>
      <c r="Z945" t="s">
        <v>17529</v>
      </c>
      <c r="AA945" t="s">
        <v>17530</v>
      </c>
      <c r="AB945" t="s">
        <v>17531</v>
      </c>
      <c r="AC945" t="s">
        <v>17532</v>
      </c>
      <c r="AD945" t="s">
        <v>17533</v>
      </c>
      <c r="AE945" t="s">
        <v>17534</v>
      </c>
      <c r="AF945" t="s">
        <v>74</v>
      </c>
      <c r="AG945">
        <v>53</v>
      </c>
      <c r="AH945">
        <v>0</v>
      </c>
      <c r="AI945">
        <v>0</v>
      </c>
      <c r="AJ945">
        <v>6</v>
      </c>
      <c r="AK945">
        <v>6</v>
      </c>
      <c r="AL945" t="s">
        <v>426</v>
      </c>
      <c r="AM945" t="s">
        <v>427</v>
      </c>
      <c r="AN945" t="s">
        <v>428</v>
      </c>
      <c r="AO945" t="s">
        <v>74</v>
      </c>
      <c r="AP945" t="s">
        <v>13621</v>
      </c>
      <c r="AQ945" t="s">
        <v>74</v>
      </c>
      <c r="AR945" t="s">
        <v>13622</v>
      </c>
      <c r="AS945" t="s">
        <v>13623</v>
      </c>
      <c r="AT945" t="s">
        <v>17535</v>
      </c>
      <c r="AU945">
        <v>2023</v>
      </c>
      <c r="AV945" t="s">
        <v>74</v>
      </c>
      <c r="AW945" t="s">
        <v>74</v>
      </c>
      <c r="AX945" t="s">
        <v>74</v>
      </c>
      <c r="AY945" t="s">
        <v>74</v>
      </c>
      <c r="AZ945" t="s">
        <v>74</v>
      </c>
      <c r="BA945" t="s">
        <v>74</v>
      </c>
      <c r="BB945" t="s">
        <v>74</v>
      </c>
      <c r="BC945" t="s">
        <v>74</v>
      </c>
      <c r="BD945" t="s">
        <v>74</v>
      </c>
      <c r="BE945" t="s">
        <v>17536</v>
      </c>
      <c r="BF945" t="str">
        <f>HYPERLINK("http://dx.doi.org/10.1002/batt.202300203","http://dx.doi.org/10.1002/batt.202300203")</f>
        <v>http://dx.doi.org/10.1002/batt.202300203</v>
      </c>
      <c r="BG945" t="s">
        <v>74</v>
      </c>
      <c r="BH945" t="s">
        <v>16585</v>
      </c>
      <c r="BI945">
        <v>10</v>
      </c>
      <c r="BJ945" t="s">
        <v>13625</v>
      </c>
      <c r="BK945" t="s">
        <v>119</v>
      </c>
      <c r="BL945" t="s">
        <v>13626</v>
      </c>
      <c r="BM945" t="s">
        <v>17537</v>
      </c>
      <c r="BN945" t="s">
        <v>74</v>
      </c>
      <c r="BO945" t="s">
        <v>122</v>
      </c>
      <c r="BP945" t="s">
        <v>74</v>
      </c>
      <c r="BQ945" t="s">
        <v>74</v>
      </c>
      <c r="BR945" t="s">
        <v>99</v>
      </c>
      <c r="BS945" t="s">
        <v>17538</v>
      </c>
      <c r="BT945" t="str">
        <f>HYPERLINK("https%3A%2F%2Fwww.webofscience.com%2Fwos%2Fwoscc%2Ffull-record%2FWOS:001036911500001","View Full Record in Web of Science")</f>
        <v>View Full Record in Web of Science</v>
      </c>
    </row>
    <row r="946" spans="1:72" x14ac:dyDescent="0.15">
      <c r="A946" t="s">
        <v>72</v>
      </c>
      <c r="B946" t="s">
        <v>17539</v>
      </c>
      <c r="C946" t="s">
        <v>74</v>
      </c>
      <c r="D946" t="s">
        <v>74</v>
      </c>
      <c r="E946" t="s">
        <v>74</v>
      </c>
      <c r="F946" t="s">
        <v>17540</v>
      </c>
      <c r="G946" t="s">
        <v>74</v>
      </c>
      <c r="H946" t="s">
        <v>74</v>
      </c>
      <c r="I946" t="s">
        <v>17541</v>
      </c>
      <c r="J946" t="s">
        <v>17542</v>
      </c>
      <c r="K946" t="s">
        <v>74</v>
      </c>
      <c r="L946" t="s">
        <v>74</v>
      </c>
      <c r="M946" t="s">
        <v>78</v>
      </c>
      <c r="N946" t="s">
        <v>338</v>
      </c>
      <c r="O946" t="s">
        <v>74</v>
      </c>
      <c r="P946" t="s">
        <v>74</v>
      </c>
      <c r="Q946" t="s">
        <v>74</v>
      </c>
      <c r="R946" t="s">
        <v>74</v>
      </c>
      <c r="S946" t="s">
        <v>74</v>
      </c>
      <c r="T946" t="s">
        <v>17543</v>
      </c>
      <c r="U946" t="s">
        <v>17544</v>
      </c>
      <c r="V946" t="s">
        <v>17545</v>
      </c>
      <c r="W946" t="s">
        <v>17546</v>
      </c>
      <c r="X946" t="s">
        <v>17547</v>
      </c>
      <c r="Y946" t="s">
        <v>17548</v>
      </c>
      <c r="Z946" t="s">
        <v>17549</v>
      </c>
      <c r="AA946" t="s">
        <v>17550</v>
      </c>
      <c r="AB946" t="s">
        <v>17551</v>
      </c>
      <c r="AC946" t="s">
        <v>74</v>
      </c>
      <c r="AD946" t="s">
        <v>74</v>
      </c>
      <c r="AE946" t="s">
        <v>74</v>
      </c>
      <c r="AF946" t="s">
        <v>74</v>
      </c>
      <c r="AG946">
        <v>37</v>
      </c>
      <c r="AH946">
        <v>0</v>
      </c>
      <c r="AI946">
        <v>0</v>
      </c>
      <c r="AJ946">
        <v>13</v>
      </c>
      <c r="AK946">
        <v>13</v>
      </c>
      <c r="AL946" t="s">
        <v>87</v>
      </c>
      <c r="AM946" t="s">
        <v>88</v>
      </c>
      <c r="AN946" t="s">
        <v>89</v>
      </c>
      <c r="AO946" t="s">
        <v>17552</v>
      </c>
      <c r="AP946" t="s">
        <v>17553</v>
      </c>
      <c r="AQ946" t="s">
        <v>74</v>
      </c>
      <c r="AR946" t="s">
        <v>17542</v>
      </c>
      <c r="AS946" t="s">
        <v>17554</v>
      </c>
      <c r="AT946" t="s">
        <v>17535</v>
      </c>
      <c r="AU946">
        <v>2023</v>
      </c>
      <c r="AV946" t="s">
        <v>74</v>
      </c>
      <c r="AW946" t="s">
        <v>74</v>
      </c>
      <c r="AX946" t="s">
        <v>74</v>
      </c>
      <c r="AY946" t="s">
        <v>74</v>
      </c>
      <c r="AZ946" t="s">
        <v>74</v>
      </c>
      <c r="BA946" t="s">
        <v>74</v>
      </c>
      <c r="BB946" t="s">
        <v>74</v>
      </c>
      <c r="BC946" t="s">
        <v>74</v>
      </c>
      <c r="BD946" t="s">
        <v>74</v>
      </c>
      <c r="BE946" t="s">
        <v>17555</v>
      </c>
      <c r="BF946" t="str">
        <f>HYPERLINK("http://dx.doi.org/10.1111/str.12461","http://dx.doi.org/10.1111/str.12461")</f>
        <v>http://dx.doi.org/10.1111/str.12461</v>
      </c>
      <c r="BG946" t="s">
        <v>74</v>
      </c>
      <c r="BH946" t="s">
        <v>16585</v>
      </c>
      <c r="BI946">
        <v>15</v>
      </c>
      <c r="BJ946" t="s">
        <v>17556</v>
      </c>
      <c r="BK946" t="s">
        <v>119</v>
      </c>
      <c r="BL946" t="s">
        <v>1999</v>
      </c>
      <c r="BM946" t="s">
        <v>17557</v>
      </c>
      <c r="BN946" t="s">
        <v>74</v>
      </c>
      <c r="BO946" t="s">
        <v>74</v>
      </c>
      <c r="BP946" t="s">
        <v>74</v>
      </c>
      <c r="BQ946" t="s">
        <v>74</v>
      </c>
      <c r="BR946" t="s">
        <v>99</v>
      </c>
      <c r="BS946" t="s">
        <v>17558</v>
      </c>
      <c r="BT946" t="str">
        <f>HYPERLINK("https%3A%2F%2Fwww.webofscience.com%2Fwos%2Fwoscc%2Ffull-record%2FWOS:001034191700001","View Full Record in Web of Science")</f>
        <v>View Full Record in Web of Science</v>
      </c>
    </row>
    <row r="947" spans="1:72" x14ac:dyDescent="0.15">
      <c r="A947" t="s">
        <v>72</v>
      </c>
      <c r="B947" t="s">
        <v>17559</v>
      </c>
      <c r="C947" t="s">
        <v>74</v>
      </c>
      <c r="D947" t="s">
        <v>74</v>
      </c>
      <c r="E947" t="s">
        <v>74</v>
      </c>
      <c r="F947" t="s">
        <v>17560</v>
      </c>
      <c r="G947" t="s">
        <v>74</v>
      </c>
      <c r="H947" t="s">
        <v>74</v>
      </c>
      <c r="I947" t="s">
        <v>17561</v>
      </c>
      <c r="J947" t="s">
        <v>1631</v>
      </c>
      <c r="K947" t="s">
        <v>74</v>
      </c>
      <c r="L947" t="s">
        <v>74</v>
      </c>
      <c r="M947" t="s">
        <v>78</v>
      </c>
      <c r="N947" t="s">
        <v>338</v>
      </c>
      <c r="O947" t="s">
        <v>74</v>
      </c>
      <c r="P947" t="s">
        <v>74</v>
      </c>
      <c r="Q947" t="s">
        <v>74</v>
      </c>
      <c r="R947" t="s">
        <v>74</v>
      </c>
      <c r="S947" t="s">
        <v>74</v>
      </c>
      <c r="T947" t="s">
        <v>17562</v>
      </c>
      <c r="U947" t="s">
        <v>17563</v>
      </c>
      <c r="V947" t="s">
        <v>17564</v>
      </c>
      <c r="W947" t="s">
        <v>17565</v>
      </c>
      <c r="X947" t="s">
        <v>17566</v>
      </c>
      <c r="Y947" t="s">
        <v>17567</v>
      </c>
      <c r="Z947" t="s">
        <v>17568</v>
      </c>
      <c r="AA947" t="s">
        <v>74</v>
      </c>
      <c r="AB947" t="s">
        <v>74</v>
      </c>
      <c r="AC947" t="s">
        <v>74</v>
      </c>
      <c r="AD947" t="s">
        <v>74</v>
      </c>
      <c r="AE947" t="s">
        <v>74</v>
      </c>
      <c r="AF947" t="s">
        <v>74</v>
      </c>
      <c r="AG947">
        <v>89</v>
      </c>
      <c r="AH947">
        <v>0</v>
      </c>
      <c r="AI947">
        <v>0</v>
      </c>
      <c r="AJ947">
        <v>1</v>
      </c>
      <c r="AK947">
        <v>1</v>
      </c>
      <c r="AL947" t="s">
        <v>426</v>
      </c>
      <c r="AM947" t="s">
        <v>427</v>
      </c>
      <c r="AN947" t="s">
        <v>428</v>
      </c>
      <c r="AO947" t="s">
        <v>1644</v>
      </c>
      <c r="AP947" t="s">
        <v>1645</v>
      </c>
      <c r="AQ947" t="s">
        <v>74</v>
      </c>
      <c r="AR947" t="s">
        <v>1631</v>
      </c>
      <c r="AS947" t="s">
        <v>1646</v>
      </c>
      <c r="AT947" t="s">
        <v>17535</v>
      </c>
      <c r="AU947">
        <v>2023</v>
      </c>
      <c r="AV947" t="s">
        <v>74</v>
      </c>
      <c r="AW947" t="s">
        <v>74</v>
      </c>
      <c r="AX947" t="s">
        <v>74</v>
      </c>
      <c r="AY947" t="s">
        <v>74</v>
      </c>
      <c r="AZ947" t="s">
        <v>74</v>
      </c>
      <c r="BA947" t="s">
        <v>74</v>
      </c>
      <c r="BB947" t="s">
        <v>74</v>
      </c>
      <c r="BC947" t="s">
        <v>74</v>
      </c>
      <c r="BD947" t="s">
        <v>74</v>
      </c>
      <c r="BE947" t="s">
        <v>17569</v>
      </c>
      <c r="BF947" t="str">
        <f>HYPERLINK("http://dx.doi.org/10.1002/cphc.202300130","http://dx.doi.org/10.1002/cphc.202300130")</f>
        <v>http://dx.doi.org/10.1002/cphc.202300130</v>
      </c>
      <c r="BG947" t="s">
        <v>74</v>
      </c>
      <c r="BH947" t="s">
        <v>16585</v>
      </c>
      <c r="BI947">
        <v>10</v>
      </c>
      <c r="BJ947" t="s">
        <v>1649</v>
      </c>
      <c r="BK947" t="s">
        <v>119</v>
      </c>
      <c r="BL947" t="s">
        <v>1650</v>
      </c>
      <c r="BM947" t="s">
        <v>17570</v>
      </c>
      <c r="BN947">
        <v>37497826</v>
      </c>
      <c r="BO947" t="s">
        <v>74</v>
      </c>
      <c r="BP947" t="s">
        <v>74</v>
      </c>
      <c r="BQ947" t="s">
        <v>74</v>
      </c>
      <c r="BR947" t="s">
        <v>99</v>
      </c>
      <c r="BS947" t="s">
        <v>17571</v>
      </c>
      <c r="BT947" t="str">
        <f>HYPERLINK("https%3A%2F%2Fwww.webofscience.com%2Fwos%2Fwoscc%2Ffull-record%2FWOS:001036946500001","View Full Record in Web of Science")</f>
        <v>View Full Record in Web of Science</v>
      </c>
    </row>
    <row r="948" spans="1:72" x14ac:dyDescent="0.15">
      <c r="A948" t="s">
        <v>72</v>
      </c>
      <c r="B948" t="s">
        <v>17572</v>
      </c>
      <c r="C948" t="s">
        <v>74</v>
      </c>
      <c r="D948" t="s">
        <v>74</v>
      </c>
      <c r="E948" t="s">
        <v>74</v>
      </c>
      <c r="F948" t="s">
        <v>17573</v>
      </c>
      <c r="G948" t="s">
        <v>74</v>
      </c>
      <c r="H948" t="s">
        <v>74</v>
      </c>
      <c r="I948" t="s">
        <v>17574</v>
      </c>
      <c r="J948" t="s">
        <v>4890</v>
      </c>
      <c r="K948" t="s">
        <v>74</v>
      </c>
      <c r="L948" t="s">
        <v>74</v>
      </c>
      <c r="M948" t="s">
        <v>78</v>
      </c>
      <c r="N948" t="s">
        <v>594</v>
      </c>
      <c r="O948" t="s">
        <v>74</v>
      </c>
      <c r="P948" t="s">
        <v>74</v>
      </c>
      <c r="Q948" t="s">
        <v>74</v>
      </c>
      <c r="R948" t="s">
        <v>74</v>
      </c>
      <c r="S948" t="s">
        <v>74</v>
      </c>
      <c r="T948" t="s">
        <v>17575</v>
      </c>
      <c r="U948" t="s">
        <v>17576</v>
      </c>
      <c r="V948" t="s">
        <v>17577</v>
      </c>
      <c r="W948" t="s">
        <v>17578</v>
      </c>
      <c r="X948" t="s">
        <v>17579</v>
      </c>
      <c r="Y948" t="s">
        <v>17580</v>
      </c>
      <c r="Z948" t="s">
        <v>17581</v>
      </c>
      <c r="AA948" t="s">
        <v>74</v>
      </c>
      <c r="AB948" t="s">
        <v>17582</v>
      </c>
      <c r="AC948" t="s">
        <v>17583</v>
      </c>
      <c r="AD948" t="s">
        <v>17583</v>
      </c>
      <c r="AE948" t="s">
        <v>17584</v>
      </c>
      <c r="AF948" t="s">
        <v>74</v>
      </c>
      <c r="AG948">
        <v>73</v>
      </c>
      <c r="AH948">
        <v>0</v>
      </c>
      <c r="AI948">
        <v>0</v>
      </c>
      <c r="AJ948">
        <v>8</v>
      </c>
      <c r="AK948">
        <v>8</v>
      </c>
      <c r="AL948" t="s">
        <v>426</v>
      </c>
      <c r="AM948" t="s">
        <v>427</v>
      </c>
      <c r="AN948" t="s">
        <v>428</v>
      </c>
      <c r="AO948" t="s">
        <v>4903</v>
      </c>
      <c r="AP948" t="s">
        <v>74</v>
      </c>
      <c r="AQ948" t="s">
        <v>74</v>
      </c>
      <c r="AR948" t="s">
        <v>4890</v>
      </c>
      <c r="AS948" t="s">
        <v>4904</v>
      </c>
      <c r="AT948" t="s">
        <v>17535</v>
      </c>
      <c r="AU948">
        <v>2023</v>
      </c>
      <c r="AV948" t="s">
        <v>74</v>
      </c>
      <c r="AW948" t="s">
        <v>74</v>
      </c>
      <c r="AX948" t="s">
        <v>74</v>
      </c>
      <c r="AY948" t="s">
        <v>74</v>
      </c>
      <c r="AZ948" t="s">
        <v>74</v>
      </c>
      <c r="BA948" t="s">
        <v>74</v>
      </c>
      <c r="BB948" t="s">
        <v>74</v>
      </c>
      <c r="BC948" t="s">
        <v>74</v>
      </c>
      <c r="BD948" t="s">
        <v>74</v>
      </c>
      <c r="BE948" t="s">
        <v>17585</v>
      </c>
      <c r="BF948" t="str">
        <f>HYPERLINK("http://dx.doi.org/10.1002/cnma.202300295","http://dx.doi.org/10.1002/cnma.202300295")</f>
        <v>http://dx.doi.org/10.1002/cnma.202300295</v>
      </c>
      <c r="BG948" t="s">
        <v>74</v>
      </c>
      <c r="BH948" t="s">
        <v>16585</v>
      </c>
      <c r="BI948">
        <v>12</v>
      </c>
      <c r="BJ948" t="s">
        <v>953</v>
      </c>
      <c r="BK948" t="s">
        <v>119</v>
      </c>
      <c r="BL948" t="s">
        <v>954</v>
      </c>
      <c r="BM948" t="s">
        <v>17586</v>
      </c>
      <c r="BN948" t="s">
        <v>74</v>
      </c>
      <c r="BO948" t="s">
        <v>122</v>
      </c>
      <c r="BP948" t="s">
        <v>74</v>
      </c>
      <c r="BQ948" t="s">
        <v>74</v>
      </c>
      <c r="BR948" t="s">
        <v>99</v>
      </c>
      <c r="BS948" t="s">
        <v>17587</v>
      </c>
      <c r="BT948" t="str">
        <f>HYPERLINK("https%3A%2F%2Fwww.webofscience.com%2Fwos%2Fwoscc%2Ffull-record%2FWOS:001036909100001","View Full Record in Web of Science")</f>
        <v>View Full Record in Web of Science</v>
      </c>
    </row>
    <row r="949" spans="1:72" x14ac:dyDescent="0.15">
      <c r="A949" t="s">
        <v>72</v>
      </c>
      <c r="B949" t="s">
        <v>17588</v>
      </c>
      <c r="C949" t="s">
        <v>74</v>
      </c>
      <c r="D949" t="s">
        <v>74</v>
      </c>
      <c r="E949" t="s">
        <v>74</v>
      </c>
      <c r="F949" t="s">
        <v>17589</v>
      </c>
      <c r="G949" t="s">
        <v>74</v>
      </c>
      <c r="H949" t="s">
        <v>74</v>
      </c>
      <c r="I949" t="s">
        <v>17590</v>
      </c>
      <c r="J949" t="s">
        <v>17591</v>
      </c>
      <c r="K949" t="s">
        <v>74</v>
      </c>
      <c r="L949" t="s">
        <v>74</v>
      </c>
      <c r="M949" t="s">
        <v>78</v>
      </c>
      <c r="N949" t="s">
        <v>79</v>
      </c>
      <c r="O949" t="s">
        <v>74</v>
      </c>
      <c r="P949" t="s">
        <v>74</v>
      </c>
      <c r="Q949" t="s">
        <v>74</v>
      </c>
      <c r="R949" t="s">
        <v>74</v>
      </c>
      <c r="S949" t="s">
        <v>74</v>
      </c>
      <c r="T949" t="s">
        <v>17592</v>
      </c>
      <c r="U949" t="s">
        <v>17593</v>
      </c>
      <c r="V949" t="s">
        <v>17594</v>
      </c>
      <c r="W949" t="s">
        <v>17595</v>
      </c>
      <c r="X949" t="s">
        <v>17596</v>
      </c>
      <c r="Y949" t="s">
        <v>17597</v>
      </c>
      <c r="Z949" t="s">
        <v>17598</v>
      </c>
      <c r="AA949" t="s">
        <v>17599</v>
      </c>
      <c r="AB949" t="s">
        <v>17600</v>
      </c>
      <c r="AC949" t="s">
        <v>17601</v>
      </c>
      <c r="AD949" t="s">
        <v>17602</v>
      </c>
      <c r="AE949" t="s">
        <v>17603</v>
      </c>
      <c r="AF949" t="s">
        <v>74</v>
      </c>
      <c r="AG949">
        <v>46</v>
      </c>
      <c r="AH949">
        <v>0</v>
      </c>
      <c r="AI949">
        <v>0</v>
      </c>
      <c r="AJ949">
        <v>2</v>
      </c>
      <c r="AK949">
        <v>2</v>
      </c>
      <c r="AL949" t="s">
        <v>87</v>
      </c>
      <c r="AM949" t="s">
        <v>88</v>
      </c>
      <c r="AN949" t="s">
        <v>89</v>
      </c>
      <c r="AO949" t="s">
        <v>17604</v>
      </c>
      <c r="AP949" t="s">
        <v>17605</v>
      </c>
      <c r="AQ949" t="s">
        <v>74</v>
      </c>
      <c r="AR949" t="s">
        <v>17591</v>
      </c>
      <c r="AS949" t="s">
        <v>17606</v>
      </c>
      <c r="AT949" t="s">
        <v>185</v>
      </c>
      <c r="AU949">
        <v>2023</v>
      </c>
      <c r="AV949">
        <v>28</v>
      </c>
      <c r="AW949">
        <v>5</v>
      </c>
      <c r="AX949" t="s">
        <v>74</v>
      </c>
      <c r="AY949" t="s">
        <v>74</v>
      </c>
      <c r="AZ949" t="s">
        <v>74</v>
      </c>
      <c r="BA949" t="s">
        <v>74</v>
      </c>
      <c r="BB949" t="s">
        <v>74</v>
      </c>
      <c r="BC949" t="s">
        <v>74</v>
      </c>
      <c r="BD949" t="s">
        <v>74</v>
      </c>
      <c r="BE949" t="s">
        <v>17607</v>
      </c>
      <c r="BF949" t="str">
        <f>HYPERLINK("http://dx.doi.org/10.1111/hel.13008","http://dx.doi.org/10.1111/hel.13008")</f>
        <v>http://dx.doi.org/10.1111/hel.13008</v>
      </c>
      <c r="BG949" t="s">
        <v>74</v>
      </c>
      <c r="BH949" t="s">
        <v>16585</v>
      </c>
      <c r="BI949">
        <v>9</v>
      </c>
      <c r="BJ949" t="s">
        <v>17608</v>
      </c>
      <c r="BK949" t="s">
        <v>119</v>
      </c>
      <c r="BL949" t="s">
        <v>17608</v>
      </c>
      <c r="BM949" t="s">
        <v>17609</v>
      </c>
      <c r="BN949">
        <v>37497783</v>
      </c>
      <c r="BO949" t="s">
        <v>74</v>
      </c>
      <c r="BP949" t="s">
        <v>74</v>
      </c>
      <c r="BQ949" t="s">
        <v>74</v>
      </c>
      <c r="BR949" t="s">
        <v>99</v>
      </c>
      <c r="BS949" t="s">
        <v>17610</v>
      </c>
      <c r="BT949" t="str">
        <f>HYPERLINK("https%3A%2F%2Fwww.webofscience.com%2Fwos%2Fwoscc%2Ffull-record%2FWOS:001037750400001","View Full Record in Web of Science")</f>
        <v>View Full Record in Web of Science</v>
      </c>
    </row>
    <row r="950" spans="1:72" x14ac:dyDescent="0.15">
      <c r="A950" t="s">
        <v>72</v>
      </c>
      <c r="B950" t="s">
        <v>17611</v>
      </c>
      <c r="C950" t="s">
        <v>74</v>
      </c>
      <c r="D950" t="s">
        <v>74</v>
      </c>
      <c r="E950" t="s">
        <v>74</v>
      </c>
      <c r="F950" t="s">
        <v>17612</v>
      </c>
      <c r="G950" t="s">
        <v>74</v>
      </c>
      <c r="H950" t="s">
        <v>74</v>
      </c>
      <c r="I950" t="s">
        <v>17613</v>
      </c>
      <c r="J950" t="s">
        <v>3042</v>
      </c>
      <c r="K950" t="s">
        <v>74</v>
      </c>
      <c r="L950" t="s">
        <v>74</v>
      </c>
      <c r="M950" t="s">
        <v>78</v>
      </c>
      <c r="N950" t="s">
        <v>338</v>
      </c>
      <c r="O950" t="s">
        <v>74</v>
      </c>
      <c r="P950" t="s">
        <v>74</v>
      </c>
      <c r="Q950" t="s">
        <v>74</v>
      </c>
      <c r="R950" t="s">
        <v>74</v>
      </c>
      <c r="S950" t="s">
        <v>74</v>
      </c>
      <c r="T950" t="s">
        <v>17614</v>
      </c>
      <c r="U950" t="s">
        <v>17615</v>
      </c>
      <c r="V950" t="s">
        <v>17616</v>
      </c>
      <c r="W950" t="s">
        <v>17617</v>
      </c>
      <c r="X950" t="s">
        <v>17618</v>
      </c>
      <c r="Y950" t="s">
        <v>17619</v>
      </c>
      <c r="Z950" t="s">
        <v>17620</v>
      </c>
      <c r="AA950" t="s">
        <v>74</v>
      </c>
      <c r="AB950" t="s">
        <v>74</v>
      </c>
      <c r="AC950" t="s">
        <v>17621</v>
      </c>
      <c r="AD950" t="s">
        <v>17622</v>
      </c>
      <c r="AE950" t="s">
        <v>17623</v>
      </c>
      <c r="AF950" t="s">
        <v>74</v>
      </c>
      <c r="AG950">
        <v>56</v>
      </c>
      <c r="AH950">
        <v>0</v>
      </c>
      <c r="AI950">
        <v>0</v>
      </c>
      <c r="AJ950">
        <v>2</v>
      </c>
      <c r="AK950">
        <v>2</v>
      </c>
      <c r="AL950" t="s">
        <v>87</v>
      </c>
      <c r="AM950" t="s">
        <v>88</v>
      </c>
      <c r="AN950" t="s">
        <v>89</v>
      </c>
      <c r="AO950" t="s">
        <v>3054</v>
      </c>
      <c r="AP950" t="s">
        <v>3055</v>
      </c>
      <c r="AQ950" t="s">
        <v>74</v>
      </c>
      <c r="AR950" t="s">
        <v>3056</v>
      </c>
      <c r="AS950" t="s">
        <v>3057</v>
      </c>
      <c r="AT950" t="s">
        <v>17535</v>
      </c>
      <c r="AU950">
        <v>2023</v>
      </c>
      <c r="AV950" t="s">
        <v>74</v>
      </c>
      <c r="AW950" t="s">
        <v>74</v>
      </c>
      <c r="AX950" t="s">
        <v>74</v>
      </c>
      <c r="AY950" t="s">
        <v>74</v>
      </c>
      <c r="AZ950" t="s">
        <v>74</v>
      </c>
      <c r="BA950" t="s">
        <v>74</v>
      </c>
      <c r="BB950" t="s">
        <v>74</v>
      </c>
      <c r="BC950" t="s">
        <v>74</v>
      </c>
      <c r="BD950" t="s">
        <v>74</v>
      </c>
      <c r="BE950" t="s">
        <v>17624</v>
      </c>
      <c r="BF950" t="str">
        <f>HYPERLINK("http://dx.doi.org/10.1111/risa.14203","http://dx.doi.org/10.1111/risa.14203")</f>
        <v>http://dx.doi.org/10.1111/risa.14203</v>
      </c>
      <c r="BG950" t="s">
        <v>74</v>
      </c>
      <c r="BH950" t="s">
        <v>16585</v>
      </c>
      <c r="BI950">
        <v>11</v>
      </c>
      <c r="BJ950" t="s">
        <v>3059</v>
      </c>
      <c r="BK950" t="s">
        <v>409</v>
      </c>
      <c r="BL950" t="s">
        <v>3060</v>
      </c>
      <c r="BM950" t="s">
        <v>17625</v>
      </c>
      <c r="BN950">
        <v>37496459</v>
      </c>
      <c r="BO950" t="s">
        <v>74</v>
      </c>
      <c r="BP950" t="s">
        <v>74</v>
      </c>
      <c r="BQ950" t="s">
        <v>74</v>
      </c>
      <c r="BR950" t="s">
        <v>99</v>
      </c>
      <c r="BS950" t="s">
        <v>17626</v>
      </c>
      <c r="BT950" t="str">
        <f>HYPERLINK("https%3A%2F%2Fwww.webofscience.com%2Fwos%2Fwoscc%2Ffull-record%2FWOS:001033834600001","View Full Record in Web of Science")</f>
        <v>View Full Record in Web of Science</v>
      </c>
    </row>
    <row r="951" spans="1:72" x14ac:dyDescent="0.15">
      <c r="A951" t="s">
        <v>72</v>
      </c>
      <c r="B951" t="s">
        <v>17627</v>
      </c>
      <c r="C951" t="s">
        <v>74</v>
      </c>
      <c r="D951" t="s">
        <v>74</v>
      </c>
      <c r="E951" t="s">
        <v>74</v>
      </c>
      <c r="F951" t="s">
        <v>17628</v>
      </c>
      <c r="G951" t="s">
        <v>74</v>
      </c>
      <c r="H951" t="s">
        <v>74</v>
      </c>
      <c r="I951" t="s">
        <v>17629</v>
      </c>
      <c r="J951" t="s">
        <v>3370</v>
      </c>
      <c r="K951" t="s">
        <v>74</v>
      </c>
      <c r="L951" t="s">
        <v>74</v>
      </c>
      <c r="M951" t="s">
        <v>78</v>
      </c>
      <c r="N951" t="s">
        <v>338</v>
      </c>
      <c r="O951" t="s">
        <v>74</v>
      </c>
      <c r="P951" t="s">
        <v>74</v>
      </c>
      <c r="Q951" t="s">
        <v>74</v>
      </c>
      <c r="R951" t="s">
        <v>74</v>
      </c>
      <c r="S951" t="s">
        <v>74</v>
      </c>
      <c r="T951" t="s">
        <v>17630</v>
      </c>
      <c r="U951" t="s">
        <v>17631</v>
      </c>
      <c r="V951" t="s">
        <v>17632</v>
      </c>
      <c r="W951" t="s">
        <v>17633</v>
      </c>
      <c r="X951" t="s">
        <v>17634</v>
      </c>
      <c r="Y951" t="s">
        <v>17635</v>
      </c>
      <c r="Z951" t="s">
        <v>17636</v>
      </c>
      <c r="AA951" t="s">
        <v>17637</v>
      </c>
      <c r="AB951" t="s">
        <v>17638</v>
      </c>
      <c r="AC951" t="s">
        <v>17639</v>
      </c>
      <c r="AD951" t="s">
        <v>17639</v>
      </c>
      <c r="AE951" t="s">
        <v>17640</v>
      </c>
      <c r="AF951" t="s">
        <v>74</v>
      </c>
      <c r="AG951">
        <v>45</v>
      </c>
      <c r="AH951">
        <v>0</v>
      </c>
      <c r="AI951">
        <v>0</v>
      </c>
      <c r="AJ951">
        <v>3</v>
      </c>
      <c r="AK951">
        <v>3</v>
      </c>
      <c r="AL951" t="s">
        <v>426</v>
      </c>
      <c r="AM951" t="s">
        <v>427</v>
      </c>
      <c r="AN951" t="s">
        <v>428</v>
      </c>
      <c r="AO951" t="s">
        <v>3381</v>
      </c>
      <c r="AP951" t="s">
        <v>74</v>
      </c>
      <c r="AQ951" t="s">
        <v>74</v>
      </c>
      <c r="AR951" t="s">
        <v>3382</v>
      </c>
      <c r="AS951" t="s">
        <v>3383</v>
      </c>
      <c r="AT951" t="s">
        <v>17535</v>
      </c>
      <c r="AU951">
        <v>2023</v>
      </c>
      <c r="AV951" t="s">
        <v>74</v>
      </c>
      <c r="AW951" t="s">
        <v>74</v>
      </c>
      <c r="AX951" t="s">
        <v>74</v>
      </c>
      <c r="AY951" t="s">
        <v>74</v>
      </c>
      <c r="AZ951" t="s">
        <v>74</v>
      </c>
      <c r="BA951" t="s">
        <v>74</v>
      </c>
      <c r="BB951" t="s">
        <v>74</v>
      </c>
      <c r="BC951" t="s">
        <v>74</v>
      </c>
      <c r="BD951" t="s">
        <v>74</v>
      </c>
      <c r="BE951" t="s">
        <v>17641</v>
      </c>
      <c r="BF951" t="str">
        <f>HYPERLINK("http://dx.doi.org/10.1002/adom.202300734","http://dx.doi.org/10.1002/adom.202300734")</f>
        <v>http://dx.doi.org/10.1002/adom.202300734</v>
      </c>
      <c r="BG951" t="s">
        <v>74</v>
      </c>
      <c r="BH951" t="s">
        <v>16585</v>
      </c>
      <c r="BI951">
        <v>12</v>
      </c>
      <c r="BJ951" t="s">
        <v>3385</v>
      </c>
      <c r="BK951" t="s">
        <v>119</v>
      </c>
      <c r="BL951" t="s">
        <v>3386</v>
      </c>
      <c r="BM951" t="s">
        <v>17642</v>
      </c>
      <c r="BN951" t="s">
        <v>74</v>
      </c>
      <c r="BO951" t="s">
        <v>7073</v>
      </c>
      <c r="BP951" t="s">
        <v>74</v>
      </c>
      <c r="BQ951" t="s">
        <v>74</v>
      </c>
      <c r="BR951" t="s">
        <v>99</v>
      </c>
      <c r="BS951" t="s">
        <v>17643</v>
      </c>
      <c r="BT951" t="str">
        <f>HYPERLINK("https%3A%2F%2Fwww.webofscience.com%2Fwos%2Fwoscc%2Ffull-record%2FWOS:001037287600001","View Full Record in Web of Science")</f>
        <v>View Full Record in Web of Science</v>
      </c>
    </row>
    <row r="952" spans="1:72" x14ac:dyDescent="0.15">
      <c r="A952" t="s">
        <v>72</v>
      </c>
      <c r="B952" t="s">
        <v>17644</v>
      </c>
      <c r="C952" t="s">
        <v>74</v>
      </c>
      <c r="D952" t="s">
        <v>74</v>
      </c>
      <c r="E952" t="s">
        <v>74</v>
      </c>
      <c r="F952" t="s">
        <v>17645</v>
      </c>
      <c r="G952" t="s">
        <v>74</v>
      </c>
      <c r="H952" t="s">
        <v>74</v>
      </c>
      <c r="I952" t="s">
        <v>17646</v>
      </c>
      <c r="J952" t="s">
        <v>17647</v>
      </c>
      <c r="K952" t="s">
        <v>74</v>
      </c>
      <c r="L952" t="s">
        <v>74</v>
      </c>
      <c r="M952" t="s">
        <v>78</v>
      </c>
      <c r="N952" t="s">
        <v>79</v>
      </c>
      <c r="O952" t="s">
        <v>74</v>
      </c>
      <c r="P952" t="s">
        <v>74</v>
      </c>
      <c r="Q952" t="s">
        <v>74</v>
      </c>
      <c r="R952" t="s">
        <v>74</v>
      </c>
      <c r="S952" t="s">
        <v>74</v>
      </c>
      <c r="T952" t="s">
        <v>17648</v>
      </c>
      <c r="U952" t="s">
        <v>17649</v>
      </c>
      <c r="V952" t="s">
        <v>17650</v>
      </c>
      <c r="W952" t="s">
        <v>17651</v>
      </c>
      <c r="X952" t="s">
        <v>17652</v>
      </c>
      <c r="Y952" t="s">
        <v>17653</v>
      </c>
      <c r="Z952" t="s">
        <v>17654</v>
      </c>
      <c r="AA952" t="s">
        <v>17655</v>
      </c>
      <c r="AB952" t="s">
        <v>17656</v>
      </c>
      <c r="AC952" t="s">
        <v>17657</v>
      </c>
      <c r="AD952" t="s">
        <v>17658</v>
      </c>
      <c r="AE952" t="s">
        <v>17659</v>
      </c>
      <c r="AF952" t="s">
        <v>74</v>
      </c>
      <c r="AG952">
        <v>75</v>
      </c>
      <c r="AH952">
        <v>0</v>
      </c>
      <c r="AI952">
        <v>0</v>
      </c>
      <c r="AJ952">
        <v>6</v>
      </c>
      <c r="AK952">
        <v>6</v>
      </c>
      <c r="AL952" t="s">
        <v>426</v>
      </c>
      <c r="AM952" t="s">
        <v>427</v>
      </c>
      <c r="AN952" t="s">
        <v>428</v>
      </c>
      <c r="AO952" t="s">
        <v>17660</v>
      </c>
      <c r="AP952" t="s">
        <v>74</v>
      </c>
      <c r="AQ952" t="s">
        <v>74</v>
      </c>
      <c r="AR952" t="s">
        <v>17661</v>
      </c>
      <c r="AS952" t="s">
        <v>17662</v>
      </c>
      <c r="AT952" t="s">
        <v>6725</v>
      </c>
      <c r="AU952">
        <v>2023</v>
      </c>
      <c r="AV952">
        <v>3</v>
      </c>
      <c r="AW952">
        <v>9</v>
      </c>
      <c r="AX952" t="s">
        <v>74</v>
      </c>
      <c r="AY952" t="s">
        <v>74</v>
      </c>
      <c r="AZ952" t="s">
        <v>74</v>
      </c>
      <c r="BA952" t="s">
        <v>74</v>
      </c>
      <c r="BB952" t="s">
        <v>74</v>
      </c>
      <c r="BC952" t="s">
        <v>74</v>
      </c>
      <c r="BD952" t="s">
        <v>74</v>
      </c>
      <c r="BE952" t="s">
        <v>17663</v>
      </c>
      <c r="BF952" t="str">
        <f>HYPERLINK("http://dx.doi.org/10.1002/anbr.202300019","http://dx.doi.org/10.1002/anbr.202300019")</f>
        <v>http://dx.doi.org/10.1002/anbr.202300019</v>
      </c>
      <c r="BG952" t="s">
        <v>74</v>
      </c>
      <c r="BH952" t="s">
        <v>16585</v>
      </c>
      <c r="BI952">
        <v>14</v>
      </c>
      <c r="BJ952" t="s">
        <v>4644</v>
      </c>
      <c r="BK952" t="s">
        <v>96</v>
      </c>
      <c r="BL952" t="s">
        <v>4645</v>
      </c>
      <c r="BM952" t="s">
        <v>17664</v>
      </c>
      <c r="BN952" t="s">
        <v>74</v>
      </c>
      <c r="BO952" t="s">
        <v>234</v>
      </c>
      <c r="BP952" t="s">
        <v>74</v>
      </c>
      <c r="BQ952" t="s">
        <v>74</v>
      </c>
      <c r="BR952" t="s">
        <v>99</v>
      </c>
      <c r="BS952" t="s">
        <v>17665</v>
      </c>
      <c r="BT952" t="str">
        <f>HYPERLINK("https%3A%2F%2Fwww.webofscience.com%2Fwos%2Fwoscc%2Ffull-record%2FWOS:001037268000001","View Full Record in Web of Science")</f>
        <v>View Full Record in Web of Science</v>
      </c>
    </row>
    <row r="953" spans="1:72" x14ac:dyDescent="0.15">
      <c r="A953" t="s">
        <v>72</v>
      </c>
      <c r="B953" t="s">
        <v>17666</v>
      </c>
      <c r="C953" t="s">
        <v>74</v>
      </c>
      <c r="D953" t="s">
        <v>74</v>
      </c>
      <c r="E953" t="s">
        <v>74</v>
      </c>
      <c r="F953" t="s">
        <v>17667</v>
      </c>
      <c r="G953" t="s">
        <v>74</v>
      </c>
      <c r="H953" t="s">
        <v>74</v>
      </c>
      <c r="I953" t="s">
        <v>17668</v>
      </c>
      <c r="J953" t="s">
        <v>11991</v>
      </c>
      <c r="K953" t="s">
        <v>74</v>
      </c>
      <c r="L953" t="s">
        <v>74</v>
      </c>
      <c r="M953" t="s">
        <v>78</v>
      </c>
      <c r="N953" t="s">
        <v>338</v>
      </c>
      <c r="O953" t="s">
        <v>74</v>
      </c>
      <c r="P953" t="s">
        <v>74</v>
      </c>
      <c r="Q953" t="s">
        <v>74</v>
      </c>
      <c r="R953" t="s">
        <v>74</v>
      </c>
      <c r="S953" t="s">
        <v>74</v>
      </c>
      <c r="T953" t="s">
        <v>17669</v>
      </c>
      <c r="U953" t="s">
        <v>17670</v>
      </c>
      <c r="V953" t="s">
        <v>17671</v>
      </c>
      <c r="W953" t="s">
        <v>17672</v>
      </c>
      <c r="X953" t="s">
        <v>17673</v>
      </c>
      <c r="Y953" t="s">
        <v>17674</v>
      </c>
      <c r="Z953" t="s">
        <v>17675</v>
      </c>
      <c r="AA953" t="s">
        <v>17676</v>
      </c>
      <c r="AB953" t="s">
        <v>17677</v>
      </c>
      <c r="AC953" t="s">
        <v>17678</v>
      </c>
      <c r="AD953" t="s">
        <v>17679</v>
      </c>
      <c r="AE953" t="s">
        <v>17680</v>
      </c>
      <c r="AF953" t="s">
        <v>74</v>
      </c>
      <c r="AG953">
        <v>31</v>
      </c>
      <c r="AH953">
        <v>0</v>
      </c>
      <c r="AI953">
        <v>0</v>
      </c>
      <c r="AJ953">
        <v>1</v>
      </c>
      <c r="AK953">
        <v>1</v>
      </c>
      <c r="AL953" t="s">
        <v>87</v>
      </c>
      <c r="AM953" t="s">
        <v>88</v>
      </c>
      <c r="AN953" t="s">
        <v>89</v>
      </c>
      <c r="AO953" t="s">
        <v>11995</v>
      </c>
      <c r="AP953" t="s">
        <v>11996</v>
      </c>
      <c r="AQ953" t="s">
        <v>74</v>
      </c>
      <c r="AR953" t="s">
        <v>11991</v>
      </c>
      <c r="AS953" t="s">
        <v>11997</v>
      </c>
      <c r="AT953" t="s">
        <v>17535</v>
      </c>
      <c r="AU953">
        <v>2023</v>
      </c>
      <c r="AV953" t="s">
        <v>74</v>
      </c>
      <c r="AW953" t="s">
        <v>74</v>
      </c>
      <c r="AX953" t="s">
        <v>74</v>
      </c>
      <c r="AY953" t="s">
        <v>74</v>
      </c>
      <c r="AZ953" t="s">
        <v>74</v>
      </c>
      <c r="BA953" t="s">
        <v>74</v>
      </c>
      <c r="BB953" t="s">
        <v>74</v>
      </c>
      <c r="BC953" t="s">
        <v>74</v>
      </c>
      <c r="BD953" t="s">
        <v>74</v>
      </c>
      <c r="BE953" t="s">
        <v>17681</v>
      </c>
      <c r="BF953" t="str">
        <f>HYPERLINK("http://dx.doi.org/10.1002/lary.30914","http://dx.doi.org/10.1002/lary.30914")</f>
        <v>http://dx.doi.org/10.1002/lary.30914</v>
      </c>
      <c r="BG953" t="s">
        <v>74</v>
      </c>
      <c r="BH953" t="s">
        <v>16585</v>
      </c>
      <c r="BI953">
        <v>9</v>
      </c>
      <c r="BJ953" t="s">
        <v>11999</v>
      </c>
      <c r="BK953" t="s">
        <v>119</v>
      </c>
      <c r="BL953" t="s">
        <v>12000</v>
      </c>
      <c r="BM953" t="s">
        <v>17682</v>
      </c>
      <c r="BN953">
        <v>37497865</v>
      </c>
      <c r="BO953" t="s">
        <v>74</v>
      </c>
      <c r="BP953" t="s">
        <v>74</v>
      </c>
      <c r="BQ953" t="s">
        <v>74</v>
      </c>
      <c r="BR953" t="s">
        <v>99</v>
      </c>
      <c r="BS953" t="s">
        <v>17683</v>
      </c>
      <c r="BT953" t="str">
        <f>HYPERLINK("https%3A%2F%2Fwww.webofscience.com%2Fwos%2Fwoscc%2Ffull-record%2FWOS:001037892100001","View Full Record in Web of Science")</f>
        <v>View Full Record in Web of Science</v>
      </c>
    </row>
    <row r="954" spans="1:72" x14ac:dyDescent="0.15">
      <c r="A954" t="s">
        <v>72</v>
      </c>
      <c r="B954" t="s">
        <v>17684</v>
      </c>
      <c r="C954" t="s">
        <v>74</v>
      </c>
      <c r="D954" t="s">
        <v>74</v>
      </c>
      <c r="E954" t="s">
        <v>74</v>
      </c>
      <c r="F954" t="s">
        <v>17685</v>
      </c>
      <c r="G954" t="s">
        <v>74</v>
      </c>
      <c r="H954" t="s">
        <v>74</v>
      </c>
      <c r="I954" t="s">
        <v>17686</v>
      </c>
      <c r="J954" t="s">
        <v>8956</v>
      </c>
      <c r="K954" t="s">
        <v>74</v>
      </c>
      <c r="L954" t="s">
        <v>74</v>
      </c>
      <c r="M954" t="s">
        <v>78</v>
      </c>
      <c r="N954" t="s">
        <v>79</v>
      </c>
      <c r="O954" t="s">
        <v>74</v>
      </c>
      <c r="P954" t="s">
        <v>74</v>
      </c>
      <c r="Q954" t="s">
        <v>74</v>
      </c>
      <c r="R954" t="s">
        <v>74</v>
      </c>
      <c r="S954" t="s">
        <v>74</v>
      </c>
      <c r="T954" t="s">
        <v>17687</v>
      </c>
      <c r="U954" t="s">
        <v>17688</v>
      </c>
      <c r="V954" t="s">
        <v>17689</v>
      </c>
      <c r="W954" t="s">
        <v>17690</v>
      </c>
      <c r="X954" t="s">
        <v>17691</v>
      </c>
      <c r="Y954" t="s">
        <v>17692</v>
      </c>
      <c r="Z954" t="s">
        <v>17693</v>
      </c>
      <c r="AA954" t="s">
        <v>17694</v>
      </c>
      <c r="AB954" t="s">
        <v>17695</v>
      </c>
      <c r="AC954" t="s">
        <v>74</v>
      </c>
      <c r="AD954" t="s">
        <v>74</v>
      </c>
      <c r="AE954" t="s">
        <v>74</v>
      </c>
      <c r="AF954" t="s">
        <v>74</v>
      </c>
      <c r="AG954">
        <v>60</v>
      </c>
      <c r="AH954">
        <v>0</v>
      </c>
      <c r="AI954">
        <v>0</v>
      </c>
      <c r="AJ954">
        <v>2</v>
      </c>
      <c r="AK954">
        <v>2</v>
      </c>
      <c r="AL954" t="s">
        <v>87</v>
      </c>
      <c r="AM954" t="s">
        <v>88</v>
      </c>
      <c r="AN954" t="s">
        <v>89</v>
      </c>
      <c r="AO954" t="s">
        <v>74</v>
      </c>
      <c r="AP954" t="s">
        <v>8967</v>
      </c>
      <c r="AQ954" t="s">
        <v>74</v>
      </c>
      <c r="AR954" t="s">
        <v>8956</v>
      </c>
      <c r="AS954" t="s">
        <v>8968</v>
      </c>
      <c r="AT954" t="s">
        <v>6725</v>
      </c>
      <c r="AU954">
        <v>2023</v>
      </c>
      <c r="AV954">
        <v>8</v>
      </c>
      <c r="AW954">
        <v>3</v>
      </c>
      <c r="AX954" t="s">
        <v>74</v>
      </c>
      <c r="AY954" t="s">
        <v>74</v>
      </c>
      <c r="AZ954" t="s">
        <v>74</v>
      </c>
      <c r="BA954" t="s">
        <v>74</v>
      </c>
      <c r="BB954">
        <v>1038</v>
      </c>
      <c r="BC954">
        <v>1048</v>
      </c>
      <c r="BD954" t="s">
        <v>74</v>
      </c>
      <c r="BE954" t="s">
        <v>17696</v>
      </c>
      <c r="BF954" t="str">
        <f>HYPERLINK("http://dx.doi.org/10.1002/epi4.12781","http://dx.doi.org/10.1002/epi4.12781")</f>
        <v>http://dx.doi.org/10.1002/epi4.12781</v>
      </c>
      <c r="BG954" t="s">
        <v>74</v>
      </c>
      <c r="BH954" t="s">
        <v>16585</v>
      </c>
      <c r="BI954">
        <v>11</v>
      </c>
      <c r="BJ954" t="s">
        <v>1670</v>
      </c>
      <c r="BK954" t="s">
        <v>119</v>
      </c>
      <c r="BL954" t="s">
        <v>1562</v>
      </c>
      <c r="BM954" t="s">
        <v>17697</v>
      </c>
      <c r="BN954">
        <v>37394869</v>
      </c>
      <c r="BO954" t="s">
        <v>6877</v>
      </c>
      <c r="BP954" t="s">
        <v>74</v>
      </c>
      <c r="BQ954" t="s">
        <v>74</v>
      </c>
      <c r="BR954" t="s">
        <v>99</v>
      </c>
      <c r="BS954" t="s">
        <v>17698</v>
      </c>
      <c r="BT954" t="str">
        <f>HYPERLINK("https%3A%2F%2Fwww.webofscience.com%2Fwos%2Fwoscc%2Ffull-record%2FWOS:001034031300001","View Full Record in Web of Science")</f>
        <v>View Full Record in Web of Science</v>
      </c>
    </row>
    <row r="955" spans="1:72" x14ac:dyDescent="0.15">
      <c r="A955" t="s">
        <v>72</v>
      </c>
      <c r="B955" t="s">
        <v>17699</v>
      </c>
      <c r="C955" t="s">
        <v>74</v>
      </c>
      <c r="D955" t="s">
        <v>74</v>
      </c>
      <c r="E955" t="s">
        <v>74</v>
      </c>
      <c r="F955" t="s">
        <v>17700</v>
      </c>
      <c r="G955" t="s">
        <v>74</v>
      </c>
      <c r="H955" t="s">
        <v>74</v>
      </c>
      <c r="I955" t="s">
        <v>17701</v>
      </c>
      <c r="J955" t="s">
        <v>17702</v>
      </c>
      <c r="K955" t="s">
        <v>74</v>
      </c>
      <c r="L955" t="s">
        <v>74</v>
      </c>
      <c r="M955" t="s">
        <v>78</v>
      </c>
      <c r="N955" t="s">
        <v>594</v>
      </c>
      <c r="O955" t="s">
        <v>74</v>
      </c>
      <c r="P955" t="s">
        <v>74</v>
      </c>
      <c r="Q955" t="s">
        <v>74</v>
      </c>
      <c r="R955" t="s">
        <v>74</v>
      </c>
      <c r="S955" t="s">
        <v>74</v>
      </c>
      <c r="T955" t="s">
        <v>17703</v>
      </c>
      <c r="U955" t="s">
        <v>17704</v>
      </c>
      <c r="V955" t="s">
        <v>17705</v>
      </c>
      <c r="W955" t="s">
        <v>17706</v>
      </c>
      <c r="X955" t="s">
        <v>17707</v>
      </c>
      <c r="Y955" t="s">
        <v>17708</v>
      </c>
      <c r="Z955" t="s">
        <v>17709</v>
      </c>
      <c r="AA955" t="s">
        <v>17710</v>
      </c>
      <c r="AB955" t="s">
        <v>17711</v>
      </c>
      <c r="AC955" t="s">
        <v>74</v>
      </c>
      <c r="AD955" t="s">
        <v>74</v>
      </c>
      <c r="AE955" t="s">
        <v>74</v>
      </c>
      <c r="AF955" t="s">
        <v>74</v>
      </c>
      <c r="AG955">
        <v>115</v>
      </c>
      <c r="AH955">
        <v>0</v>
      </c>
      <c r="AI955">
        <v>0</v>
      </c>
      <c r="AJ955">
        <v>3</v>
      </c>
      <c r="AK955">
        <v>3</v>
      </c>
      <c r="AL955" t="s">
        <v>87</v>
      </c>
      <c r="AM955" t="s">
        <v>88</v>
      </c>
      <c r="AN955" t="s">
        <v>89</v>
      </c>
      <c r="AO955" t="s">
        <v>17712</v>
      </c>
      <c r="AP955" t="s">
        <v>17713</v>
      </c>
      <c r="AQ955" t="s">
        <v>74</v>
      </c>
      <c r="AR955" t="s">
        <v>17714</v>
      </c>
      <c r="AS955" t="s">
        <v>17715</v>
      </c>
      <c r="AT955" t="s">
        <v>17535</v>
      </c>
      <c r="AU955">
        <v>2023</v>
      </c>
      <c r="AV955" t="s">
        <v>74</v>
      </c>
      <c r="AW955" t="s">
        <v>74</v>
      </c>
      <c r="AX955" t="s">
        <v>74</v>
      </c>
      <c r="AY955" t="s">
        <v>74</v>
      </c>
      <c r="AZ955" t="s">
        <v>74</v>
      </c>
      <c r="BA955" t="s">
        <v>74</v>
      </c>
      <c r="BB955" t="s">
        <v>74</v>
      </c>
      <c r="BC955" t="s">
        <v>74</v>
      </c>
      <c r="BD955" t="s">
        <v>74</v>
      </c>
      <c r="BE955" t="s">
        <v>17716</v>
      </c>
      <c r="BF955" t="str">
        <f>HYPERLINK("http://dx.doi.org/10.1111/eea.13351","http://dx.doi.org/10.1111/eea.13351")</f>
        <v>http://dx.doi.org/10.1111/eea.13351</v>
      </c>
      <c r="BG955" t="s">
        <v>74</v>
      </c>
      <c r="BH955" t="s">
        <v>16585</v>
      </c>
      <c r="BI955">
        <v>13</v>
      </c>
      <c r="BJ955" t="s">
        <v>10531</v>
      </c>
      <c r="BK955" t="s">
        <v>119</v>
      </c>
      <c r="BL955" t="s">
        <v>10531</v>
      </c>
      <c r="BM955" t="s">
        <v>17717</v>
      </c>
      <c r="BN955" t="s">
        <v>74</v>
      </c>
      <c r="BO955" t="s">
        <v>122</v>
      </c>
      <c r="BP955" t="s">
        <v>74</v>
      </c>
      <c r="BQ955" t="s">
        <v>74</v>
      </c>
      <c r="BR955" t="s">
        <v>99</v>
      </c>
      <c r="BS955" t="s">
        <v>17718</v>
      </c>
      <c r="BT955" t="str">
        <f>HYPERLINK("https%3A%2F%2Fwww.webofscience.com%2Fwos%2Fwoscc%2Ffull-record%2FWOS:001033839500001","View Full Record in Web of Science")</f>
        <v>View Full Record in Web of Science</v>
      </c>
    </row>
    <row r="956" spans="1:72" x14ac:dyDescent="0.15">
      <c r="A956" t="s">
        <v>72</v>
      </c>
      <c r="B956" t="s">
        <v>17719</v>
      </c>
      <c r="C956" t="s">
        <v>74</v>
      </c>
      <c r="D956" t="s">
        <v>74</v>
      </c>
      <c r="E956" t="s">
        <v>74</v>
      </c>
      <c r="F956" t="s">
        <v>17720</v>
      </c>
      <c r="G956" t="s">
        <v>74</v>
      </c>
      <c r="H956" t="s">
        <v>74</v>
      </c>
      <c r="I956" t="s">
        <v>17721</v>
      </c>
      <c r="J956" t="s">
        <v>17722</v>
      </c>
      <c r="K956" t="s">
        <v>74</v>
      </c>
      <c r="L956" t="s">
        <v>74</v>
      </c>
      <c r="M956" t="s">
        <v>78</v>
      </c>
      <c r="N956" t="s">
        <v>17723</v>
      </c>
      <c r="O956" t="s">
        <v>74</v>
      </c>
      <c r="P956" t="s">
        <v>74</v>
      </c>
      <c r="Q956" t="s">
        <v>74</v>
      </c>
      <c r="R956" t="s">
        <v>74</v>
      </c>
      <c r="S956" t="s">
        <v>74</v>
      </c>
      <c r="T956" t="s">
        <v>74</v>
      </c>
      <c r="U956" t="s">
        <v>74</v>
      </c>
      <c r="V956" t="s">
        <v>74</v>
      </c>
      <c r="W956" t="s">
        <v>74</v>
      </c>
      <c r="X956" t="s">
        <v>74</v>
      </c>
      <c r="Y956" t="s">
        <v>74</v>
      </c>
      <c r="Z956" t="s">
        <v>74</v>
      </c>
      <c r="AA956" t="s">
        <v>74</v>
      </c>
      <c r="AB956" t="s">
        <v>74</v>
      </c>
      <c r="AC956" t="s">
        <v>74</v>
      </c>
      <c r="AD956" t="s">
        <v>74</v>
      </c>
      <c r="AE956" t="s">
        <v>74</v>
      </c>
      <c r="AF956" t="s">
        <v>74</v>
      </c>
      <c r="AG956">
        <v>1</v>
      </c>
      <c r="AH956">
        <v>0</v>
      </c>
      <c r="AI956">
        <v>0</v>
      </c>
      <c r="AJ956">
        <v>0</v>
      </c>
      <c r="AK956">
        <v>0</v>
      </c>
      <c r="AL956" t="s">
        <v>87</v>
      </c>
      <c r="AM956" t="s">
        <v>88</v>
      </c>
      <c r="AN956" t="s">
        <v>89</v>
      </c>
      <c r="AO956" t="s">
        <v>17724</v>
      </c>
      <c r="AP956" t="s">
        <v>17725</v>
      </c>
      <c r="AQ956" t="s">
        <v>74</v>
      </c>
      <c r="AR956" t="s">
        <v>17726</v>
      </c>
      <c r="AS956" t="s">
        <v>17727</v>
      </c>
      <c r="AT956" t="s">
        <v>6725</v>
      </c>
      <c r="AU956">
        <v>2023</v>
      </c>
      <c r="AV956">
        <v>37</v>
      </c>
      <c r="AW956">
        <v>5</v>
      </c>
      <c r="AX956" t="s">
        <v>74</v>
      </c>
      <c r="AY956" t="s">
        <v>74</v>
      </c>
      <c r="AZ956" t="s">
        <v>74</v>
      </c>
      <c r="BA956" t="s">
        <v>74</v>
      </c>
      <c r="BB956">
        <v>1944</v>
      </c>
      <c r="BC956">
        <v>1944</v>
      </c>
      <c r="BD956" t="s">
        <v>74</v>
      </c>
      <c r="BE956" t="s">
        <v>17728</v>
      </c>
      <c r="BF956" t="str">
        <f>HYPERLINK("http://dx.doi.org/10.1111/jvim.16834","http://dx.doi.org/10.1111/jvim.16834")</f>
        <v>http://dx.doi.org/10.1111/jvim.16834</v>
      </c>
      <c r="BG956" t="s">
        <v>74</v>
      </c>
      <c r="BH956" t="s">
        <v>16585</v>
      </c>
      <c r="BI956">
        <v>1</v>
      </c>
      <c r="BJ956" t="s">
        <v>354</v>
      </c>
      <c r="BK956" t="s">
        <v>119</v>
      </c>
      <c r="BL956" t="s">
        <v>354</v>
      </c>
      <c r="BM956" t="s">
        <v>17729</v>
      </c>
      <c r="BN956" t="s">
        <v>74</v>
      </c>
      <c r="BO956" t="s">
        <v>234</v>
      </c>
      <c r="BP956" t="s">
        <v>74</v>
      </c>
      <c r="BQ956" t="s">
        <v>74</v>
      </c>
      <c r="BR956" t="s">
        <v>99</v>
      </c>
      <c r="BS956" t="s">
        <v>17730</v>
      </c>
      <c r="BT956" t="str">
        <f>HYPERLINK("https%3A%2F%2Fwww.webofscience.com%2Fwos%2Fwoscc%2Ffull-record%2FWOS:001037769200001","View Full Record in Web of Science")</f>
        <v>View Full Record in Web of Science</v>
      </c>
    </row>
    <row r="957" spans="1:72" x14ac:dyDescent="0.15">
      <c r="A957" t="s">
        <v>72</v>
      </c>
      <c r="B957" t="s">
        <v>17731</v>
      </c>
      <c r="C957" t="s">
        <v>74</v>
      </c>
      <c r="D957" t="s">
        <v>74</v>
      </c>
      <c r="E957" t="s">
        <v>74</v>
      </c>
      <c r="F957" t="s">
        <v>17732</v>
      </c>
      <c r="G957" t="s">
        <v>74</v>
      </c>
      <c r="H957" t="s">
        <v>74</v>
      </c>
      <c r="I957" t="s">
        <v>17733</v>
      </c>
      <c r="J957" t="s">
        <v>1982</v>
      </c>
      <c r="K957" t="s">
        <v>74</v>
      </c>
      <c r="L957" t="s">
        <v>74</v>
      </c>
      <c r="M957" t="s">
        <v>78</v>
      </c>
      <c r="N957" t="s">
        <v>338</v>
      </c>
      <c r="O957" t="s">
        <v>74</v>
      </c>
      <c r="P957" t="s">
        <v>74</v>
      </c>
      <c r="Q957" t="s">
        <v>74</v>
      </c>
      <c r="R957" t="s">
        <v>74</v>
      </c>
      <c r="S957" t="s">
        <v>74</v>
      </c>
      <c r="T957" t="s">
        <v>17734</v>
      </c>
      <c r="U957" t="s">
        <v>17735</v>
      </c>
      <c r="V957" t="s">
        <v>17736</v>
      </c>
      <c r="W957" t="s">
        <v>17737</v>
      </c>
      <c r="X957" t="s">
        <v>17738</v>
      </c>
      <c r="Y957" t="s">
        <v>17739</v>
      </c>
      <c r="Z957" t="s">
        <v>17740</v>
      </c>
      <c r="AA957" t="s">
        <v>17741</v>
      </c>
      <c r="AB957" t="s">
        <v>17742</v>
      </c>
      <c r="AC957" t="s">
        <v>17743</v>
      </c>
      <c r="AD957" t="s">
        <v>3742</v>
      </c>
      <c r="AE957" t="s">
        <v>17744</v>
      </c>
      <c r="AF957" t="s">
        <v>74</v>
      </c>
      <c r="AG957">
        <v>47</v>
      </c>
      <c r="AH957">
        <v>0</v>
      </c>
      <c r="AI957">
        <v>0</v>
      </c>
      <c r="AJ957">
        <v>13</v>
      </c>
      <c r="AK957">
        <v>13</v>
      </c>
      <c r="AL957" t="s">
        <v>426</v>
      </c>
      <c r="AM957" t="s">
        <v>427</v>
      </c>
      <c r="AN957" t="s">
        <v>428</v>
      </c>
      <c r="AO957" t="s">
        <v>1993</v>
      </c>
      <c r="AP957" t="s">
        <v>1994</v>
      </c>
      <c r="AQ957" t="s">
        <v>74</v>
      </c>
      <c r="AR957" t="s">
        <v>1995</v>
      </c>
      <c r="AS957" t="s">
        <v>1996</v>
      </c>
      <c r="AT957" t="s">
        <v>17535</v>
      </c>
      <c r="AU957">
        <v>2023</v>
      </c>
      <c r="AV957" t="s">
        <v>74</v>
      </c>
      <c r="AW957" t="s">
        <v>74</v>
      </c>
      <c r="AX957" t="s">
        <v>74</v>
      </c>
      <c r="AY957" t="s">
        <v>74</v>
      </c>
      <c r="AZ957" t="s">
        <v>74</v>
      </c>
      <c r="BA957" t="s">
        <v>74</v>
      </c>
      <c r="BB957" t="s">
        <v>74</v>
      </c>
      <c r="BC957" t="s">
        <v>74</v>
      </c>
      <c r="BD957" t="s">
        <v>74</v>
      </c>
      <c r="BE957" t="s">
        <v>17745</v>
      </c>
      <c r="BF957" t="str">
        <f>HYPERLINK("http://dx.doi.org/10.1002/adem.202300469","http://dx.doi.org/10.1002/adem.202300469")</f>
        <v>http://dx.doi.org/10.1002/adem.202300469</v>
      </c>
      <c r="BG957" t="s">
        <v>74</v>
      </c>
      <c r="BH957" t="s">
        <v>16585</v>
      </c>
      <c r="BI957">
        <v>11</v>
      </c>
      <c r="BJ957" t="s">
        <v>1998</v>
      </c>
      <c r="BK957" t="s">
        <v>119</v>
      </c>
      <c r="BL957" t="s">
        <v>1999</v>
      </c>
      <c r="BM957" t="s">
        <v>17746</v>
      </c>
      <c r="BN957" t="s">
        <v>74</v>
      </c>
      <c r="BO957" t="s">
        <v>74</v>
      </c>
      <c r="BP957" t="s">
        <v>74</v>
      </c>
      <c r="BQ957" t="s">
        <v>74</v>
      </c>
      <c r="BR957" t="s">
        <v>99</v>
      </c>
      <c r="BS957" t="s">
        <v>17747</v>
      </c>
      <c r="BT957" t="str">
        <f>HYPERLINK("https%3A%2F%2Fwww.webofscience.com%2Fwos%2Fwoscc%2Ffull-record%2FWOS:001034348200001","View Full Record in Web of Science")</f>
        <v>View Full Record in Web of Science</v>
      </c>
    </row>
    <row r="958" spans="1:72" x14ac:dyDescent="0.15">
      <c r="A958" t="s">
        <v>72</v>
      </c>
      <c r="B958" t="s">
        <v>17748</v>
      </c>
      <c r="C958" t="s">
        <v>74</v>
      </c>
      <c r="D958" t="s">
        <v>74</v>
      </c>
      <c r="E958" t="s">
        <v>74</v>
      </c>
      <c r="F958" t="s">
        <v>17749</v>
      </c>
      <c r="G958" t="s">
        <v>74</v>
      </c>
      <c r="H958" t="s">
        <v>74</v>
      </c>
      <c r="I958" t="s">
        <v>17750</v>
      </c>
      <c r="J958" t="s">
        <v>593</v>
      </c>
      <c r="K958" t="s">
        <v>74</v>
      </c>
      <c r="L958" t="s">
        <v>74</v>
      </c>
      <c r="M958" t="s">
        <v>78</v>
      </c>
      <c r="N958" t="s">
        <v>338</v>
      </c>
      <c r="O958" t="s">
        <v>74</v>
      </c>
      <c r="P958" t="s">
        <v>74</v>
      </c>
      <c r="Q958" t="s">
        <v>74</v>
      </c>
      <c r="R958" t="s">
        <v>74</v>
      </c>
      <c r="S958" t="s">
        <v>74</v>
      </c>
      <c r="T958" t="s">
        <v>17751</v>
      </c>
      <c r="U958" t="s">
        <v>17752</v>
      </c>
      <c r="V958" t="s">
        <v>17753</v>
      </c>
      <c r="W958" t="s">
        <v>17754</v>
      </c>
      <c r="X958" t="s">
        <v>17755</v>
      </c>
      <c r="Y958" t="s">
        <v>17756</v>
      </c>
      <c r="Z958" t="s">
        <v>17757</v>
      </c>
      <c r="AA958" t="s">
        <v>74</v>
      </c>
      <c r="AB958" t="s">
        <v>74</v>
      </c>
      <c r="AC958" t="s">
        <v>17758</v>
      </c>
      <c r="AD958" t="s">
        <v>17759</v>
      </c>
      <c r="AE958" t="s">
        <v>17760</v>
      </c>
      <c r="AF958" t="s">
        <v>74</v>
      </c>
      <c r="AG958">
        <v>47</v>
      </c>
      <c r="AH958">
        <v>0</v>
      </c>
      <c r="AI958">
        <v>0</v>
      </c>
      <c r="AJ958">
        <v>23</v>
      </c>
      <c r="AK958">
        <v>23</v>
      </c>
      <c r="AL958" t="s">
        <v>426</v>
      </c>
      <c r="AM958" t="s">
        <v>427</v>
      </c>
      <c r="AN958" t="s">
        <v>428</v>
      </c>
      <c r="AO958" t="s">
        <v>605</v>
      </c>
      <c r="AP958" t="s">
        <v>606</v>
      </c>
      <c r="AQ958" t="s">
        <v>74</v>
      </c>
      <c r="AR958" t="s">
        <v>593</v>
      </c>
      <c r="AS958" t="s">
        <v>607</v>
      </c>
      <c r="AT958" t="s">
        <v>17535</v>
      </c>
      <c r="AU958">
        <v>2023</v>
      </c>
      <c r="AV958" t="s">
        <v>74</v>
      </c>
      <c r="AW958" t="s">
        <v>74</v>
      </c>
      <c r="AX958" t="s">
        <v>74</v>
      </c>
      <c r="AY958" t="s">
        <v>74</v>
      </c>
      <c r="AZ958" t="s">
        <v>74</v>
      </c>
      <c r="BA958" t="s">
        <v>74</v>
      </c>
      <c r="BB958" t="s">
        <v>74</v>
      </c>
      <c r="BC958" t="s">
        <v>74</v>
      </c>
      <c r="BD958" t="s">
        <v>74</v>
      </c>
      <c r="BE958" t="s">
        <v>17761</v>
      </c>
      <c r="BF958" t="str">
        <f>HYPERLINK("http://dx.doi.org/10.1002/smll.202305326","http://dx.doi.org/10.1002/smll.202305326")</f>
        <v>http://dx.doi.org/10.1002/smll.202305326</v>
      </c>
      <c r="BG958" t="s">
        <v>74</v>
      </c>
      <c r="BH958" t="s">
        <v>16585</v>
      </c>
      <c r="BI958">
        <v>8</v>
      </c>
      <c r="BJ958" t="s">
        <v>609</v>
      </c>
      <c r="BK958" t="s">
        <v>119</v>
      </c>
      <c r="BL958" t="s">
        <v>610</v>
      </c>
      <c r="BM958" t="s">
        <v>17762</v>
      </c>
      <c r="BN958">
        <v>37501332</v>
      </c>
      <c r="BO958" t="s">
        <v>301</v>
      </c>
      <c r="BP958" t="s">
        <v>74</v>
      </c>
      <c r="BQ958" t="s">
        <v>74</v>
      </c>
      <c r="BR958" t="s">
        <v>99</v>
      </c>
      <c r="BS958" t="s">
        <v>17763</v>
      </c>
      <c r="BT958" t="str">
        <f>HYPERLINK("https%3A%2F%2Fwww.webofscience.com%2Fwos%2Fwoscc%2Ffull-record%2FWOS:001034346300001","View Full Record in Web of Science")</f>
        <v>View Full Record in Web of Science</v>
      </c>
    </row>
    <row r="959" spans="1:72" x14ac:dyDescent="0.15">
      <c r="A959" t="s">
        <v>72</v>
      </c>
      <c r="B959" t="s">
        <v>17764</v>
      </c>
      <c r="C959" t="s">
        <v>74</v>
      </c>
      <c r="D959" t="s">
        <v>74</v>
      </c>
      <c r="E959" t="s">
        <v>74</v>
      </c>
      <c r="F959" t="s">
        <v>17765</v>
      </c>
      <c r="G959" t="s">
        <v>74</v>
      </c>
      <c r="H959" t="s">
        <v>74</v>
      </c>
      <c r="I959" t="s">
        <v>17766</v>
      </c>
      <c r="J959" t="s">
        <v>5329</v>
      </c>
      <c r="K959" t="s">
        <v>74</v>
      </c>
      <c r="L959" t="s">
        <v>74</v>
      </c>
      <c r="M959" t="s">
        <v>78</v>
      </c>
      <c r="N959" t="s">
        <v>338</v>
      </c>
      <c r="O959" t="s">
        <v>74</v>
      </c>
      <c r="P959" t="s">
        <v>74</v>
      </c>
      <c r="Q959" t="s">
        <v>74</v>
      </c>
      <c r="R959" t="s">
        <v>74</v>
      </c>
      <c r="S959" t="s">
        <v>74</v>
      </c>
      <c r="T959" t="s">
        <v>17767</v>
      </c>
      <c r="U959" t="s">
        <v>17768</v>
      </c>
      <c r="V959" t="s">
        <v>17769</v>
      </c>
      <c r="W959" t="s">
        <v>17770</v>
      </c>
      <c r="X959" t="s">
        <v>17771</v>
      </c>
      <c r="Y959" t="s">
        <v>17772</v>
      </c>
      <c r="Z959" t="s">
        <v>17773</v>
      </c>
      <c r="AA959" t="s">
        <v>17774</v>
      </c>
      <c r="AB959" t="s">
        <v>17775</v>
      </c>
      <c r="AC959" t="s">
        <v>17776</v>
      </c>
      <c r="AD959" t="s">
        <v>17777</v>
      </c>
      <c r="AE959" t="s">
        <v>17778</v>
      </c>
      <c r="AF959" t="s">
        <v>74</v>
      </c>
      <c r="AG959">
        <v>29</v>
      </c>
      <c r="AH959">
        <v>0</v>
      </c>
      <c r="AI959">
        <v>0</v>
      </c>
      <c r="AJ959">
        <v>0</v>
      </c>
      <c r="AK959">
        <v>0</v>
      </c>
      <c r="AL959" t="s">
        <v>87</v>
      </c>
      <c r="AM959" t="s">
        <v>88</v>
      </c>
      <c r="AN959" t="s">
        <v>89</v>
      </c>
      <c r="AO959" t="s">
        <v>5340</v>
      </c>
      <c r="AP959" t="s">
        <v>74</v>
      </c>
      <c r="AQ959" t="s">
        <v>74</v>
      </c>
      <c r="AR959" t="s">
        <v>5341</v>
      </c>
      <c r="AS959" t="s">
        <v>5342</v>
      </c>
      <c r="AT959" t="s">
        <v>17779</v>
      </c>
      <c r="AU959">
        <v>2023</v>
      </c>
      <c r="AV959" t="s">
        <v>74</v>
      </c>
      <c r="AW959" t="s">
        <v>74</v>
      </c>
      <c r="AX959" t="s">
        <v>74</v>
      </c>
      <c r="AY959" t="s">
        <v>74</v>
      </c>
      <c r="AZ959" t="s">
        <v>74</v>
      </c>
      <c r="BA959" t="s">
        <v>74</v>
      </c>
      <c r="BB959" t="s">
        <v>74</v>
      </c>
      <c r="BC959" t="s">
        <v>74</v>
      </c>
      <c r="BD959" t="s">
        <v>74</v>
      </c>
      <c r="BE959" t="s">
        <v>17780</v>
      </c>
      <c r="BF959" t="str">
        <f>HYPERLINK("http://dx.doi.org/10.1002/bdr2.2222","http://dx.doi.org/10.1002/bdr2.2222")</f>
        <v>http://dx.doi.org/10.1002/bdr2.2222</v>
      </c>
      <c r="BG959" t="s">
        <v>74</v>
      </c>
      <c r="BH959" t="s">
        <v>16585</v>
      </c>
      <c r="BI959">
        <v>10</v>
      </c>
      <c r="BJ959" t="s">
        <v>5344</v>
      </c>
      <c r="BK959" t="s">
        <v>119</v>
      </c>
      <c r="BL959" t="s">
        <v>5344</v>
      </c>
      <c r="BM959" t="s">
        <v>17781</v>
      </c>
      <c r="BN959">
        <v>37493268</v>
      </c>
      <c r="BO959" t="s">
        <v>122</v>
      </c>
      <c r="BP959" t="s">
        <v>74</v>
      </c>
      <c r="BQ959" t="s">
        <v>74</v>
      </c>
      <c r="BR959" t="s">
        <v>99</v>
      </c>
      <c r="BS959" t="s">
        <v>17782</v>
      </c>
      <c r="BT959" t="str">
        <f>HYPERLINK("https%3A%2F%2Fwww.webofscience.com%2Fwos%2Fwoscc%2Ffull-record%2FWOS:001036972700001","View Full Record in Web of Science")</f>
        <v>View Full Record in Web of Science</v>
      </c>
    </row>
    <row r="960" spans="1:72" x14ac:dyDescent="0.15">
      <c r="A960" t="s">
        <v>72</v>
      </c>
      <c r="B960" t="s">
        <v>17783</v>
      </c>
      <c r="C960" t="s">
        <v>74</v>
      </c>
      <c r="D960" t="s">
        <v>74</v>
      </c>
      <c r="E960" t="s">
        <v>74</v>
      </c>
      <c r="F960" t="s">
        <v>17784</v>
      </c>
      <c r="G960" t="s">
        <v>74</v>
      </c>
      <c r="H960" t="s">
        <v>74</v>
      </c>
      <c r="I960" t="s">
        <v>17785</v>
      </c>
      <c r="J960" t="s">
        <v>2913</v>
      </c>
      <c r="K960" t="s">
        <v>74</v>
      </c>
      <c r="L960" t="s">
        <v>74</v>
      </c>
      <c r="M960" t="s">
        <v>78</v>
      </c>
      <c r="N960" t="s">
        <v>79</v>
      </c>
      <c r="O960" t="s">
        <v>74</v>
      </c>
      <c r="P960" t="s">
        <v>74</v>
      </c>
      <c r="Q960" t="s">
        <v>74</v>
      </c>
      <c r="R960" t="s">
        <v>74</v>
      </c>
      <c r="S960" t="s">
        <v>74</v>
      </c>
      <c r="T960" t="s">
        <v>17786</v>
      </c>
      <c r="U960" t="s">
        <v>17787</v>
      </c>
      <c r="V960" t="s">
        <v>17788</v>
      </c>
      <c r="W960" t="s">
        <v>17789</v>
      </c>
      <c r="X960" t="s">
        <v>17790</v>
      </c>
      <c r="Y960" t="s">
        <v>17791</v>
      </c>
      <c r="Z960" t="s">
        <v>17792</v>
      </c>
      <c r="AA960" t="s">
        <v>74</v>
      </c>
      <c r="AB960" t="s">
        <v>74</v>
      </c>
      <c r="AC960" t="s">
        <v>17793</v>
      </c>
      <c r="AD960" t="s">
        <v>17794</v>
      </c>
      <c r="AE960" t="s">
        <v>17795</v>
      </c>
      <c r="AF960" t="s">
        <v>74</v>
      </c>
      <c r="AG960">
        <v>57</v>
      </c>
      <c r="AH960">
        <v>0</v>
      </c>
      <c r="AI960">
        <v>0</v>
      </c>
      <c r="AJ960">
        <v>10</v>
      </c>
      <c r="AK960">
        <v>10</v>
      </c>
      <c r="AL960" t="s">
        <v>426</v>
      </c>
      <c r="AM960" t="s">
        <v>427</v>
      </c>
      <c r="AN960" t="s">
        <v>428</v>
      </c>
      <c r="AO960" t="s">
        <v>2925</v>
      </c>
      <c r="AP960" t="s">
        <v>2926</v>
      </c>
      <c r="AQ960" t="s">
        <v>74</v>
      </c>
      <c r="AR960" t="s">
        <v>2927</v>
      </c>
      <c r="AS960" t="s">
        <v>2928</v>
      </c>
      <c r="AT960" t="s">
        <v>16491</v>
      </c>
      <c r="AU960">
        <v>2023</v>
      </c>
      <c r="AV960">
        <v>29</v>
      </c>
      <c r="AW960">
        <v>49</v>
      </c>
      <c r="AX960" t="s">
        <v>74</v>
      </c>
      <c r="AY960" t="s">
        <v>74</v>
      </c>
      <c r="AZ960" t="s">
        <v>74</v>
      </c>
      <c r="BA960" t="s">
        <v>74</v>
      </c>
      <c r="BB960" t="s">
        <v>74</v>
      </c>
      <c r="BC960" t="s">
        <v>74</v>
      </c>
      <c r="BD960" t="s">
        <v>74</v>
      </c>
      <c r="BE960" t="s">
        <v>17796</v>
      </c>
      <c r="BF960" t="str">
        <f>HYPERLINK("http://dx.doi.org/10.1002/chem.202301446","http://dx.doi.org/10.1002/chem.202301446")</f>
        <v>http://dx.doi.org/10.1002/chem.202301446</v>
      </c>
      <c r="BG960" t="s">
        <v>74</v>
      </c>
      <c r="BH960" t="s">
        <v>16585</v>
      </c>
      <c r="BI960">
        <v>8</v>
      </c>
      <c r="BJ960" t="s">
        <v>523</v>
      </c>
      <c r="BK960" t="s">
        <v>119</v>
      </c>
      <c r="BL960" t="s">
        <v>524</v>
      </c>
      <c r="BM960" t="s">
        <v>17797</v>
      </c>
      <c r="BN960">
        <v>37300836</v>
      </c>
      <c r="BO960" t="s">
        <v>122</v>
      </c>
      <c r="BP960" t="s">
        <v>74</v>
      </c>
      <c r="BQ960" t="s">
        <v>74</v>
      </c>
      <c r="BR960" t="s">
        <v>99</v>
      </c>
      <c r="BS960" t="s">
        <v>17798</v>
      </c>
      <c r="BT960" t="str">
        <f>HYPERLINK("https%3A%2F%2Fwww.webofscience.com%2Fwos%2Fwoscc%2Ffull-record%2FWOS:001035746000001","View Full Record in Web of Science")</f>
        <v>View Full Record in Web of Science</v>
      </c>
    </row>
    <row r="961" spans="1:72" x14ac:dyDescent="0.15">
      <c r="A961" t="s">
        <v>72</v>
      </c>
      <c r="B961" t="s">
        <v>17799</v>
      </c>
      <c r="C961" t="s">
        <v>74</v>
      </c>
      <c r="D961" t="s">
        <v>74</v>
      </c>
      <c r="E961" t="s">
        <v>74</v>
      </c>
      <c r="F961" t="s">
        <v>17800</v>
      </c>
      <c r="G961" t="s">
        <v>74</v>
      </c>
      <c r="H961" t="s">
        <v>74</v>
      </c>
      <c r="I961" t="s">
        <v>17801</v>
      </c>
      <c r="J961" t="s">
        <v>4947</v>
      </c>
      <c r="K961" t="s">
        <v>74</v>
      </c>
      <c r="L961" t="s">
        <v>74</v>
      </c>
      <c r="M961" t="s">
        <v>78</v>
      </c>
      <c r="N961" t="s">
        <v>307</v>
      </c>
      <c r="O961" t="s">
        <v>74</v>
      </c>
      <c r="P961" t="s">
        <v>74</v>
      </c>
      <c r="Q961" t="s">
        <v>74</v>
      </c>
      <c r="R961" t="s">
        <v>74</v>
      </c>
      <c r="S961" t="s">
        <v>74</v>
      </c>
      <c r="T961" t="s">
        <v>17802</v>
      </c>
      <c r="U961" t="s">
        <v>74</v>
      </c>
      <c r="V961" t="s">
        <v>74</v>
      </c>
      <c r="W961" t="s">
        <v>17803</v>
      </c>
      <c r="X961" t="s">
        <v>17804</v>
      </c>
      <c r="Y961" t="s">
        <v>17805</v>
      </c>
      <c r="Z961" t="s">
        <v>17806</v>
      </c>
      <c r="AA961" t="s">
        <v>74</v>
      </c>
      <c r="AB961" t="s">
        <v>17807</v>
      </c>
      <c r="AC961" t="s">
        <v>74</v>
      </c>
      <c r="AD961" t="s">
        <v>74</v>
      </c>
      <c r="AE961" t="s">
        <v>74</v>
      </c>
      <c r="AF961" t="s">
        <v>74</v>
      </c>
      <c r="AG961">
        <v>5</v>
      </c>
      <c r="AH961">
        <v>0</v>
      </c>
      <c r="AI961">
        <v>0</v>
      </c>
      <c r="AJ961">
        <v>0</v>
      </c>
      <c r="AK961">
        <v>0</v>
      </c>
      <c r="AL961" t="s">
        <v>87</v>
      </c>
      <c r="AM961" t="s">
        <v>88</v>
      </c>
      <c r="AN961" t="s">
        <v>89</v>
      </c>
      <c r="AO961" t="s">
        <v>4955</v>
      </c>
      <c r="AP961" t="s">
        <v>4956</v>
      </c>
      <c r="AQ961" t="s">
        <v>74</v>
      </c>
      <c r="AR961" t="s">
        <v>4957</v>
      </c>
      <c r="AS961" t="s">
        <v>4958</v>
      </c>
      <c r="AT961" t="s">
        <v>6725</v>
      </c>
      <c r="AU961">
        <v>2023</v>
      </c>
      <c r="AV961">
        <v>601</v>
      </c>
      <c r="AW961">
        <v>17</v>
      </c>
      <c r="AX961" t="s">
        <v>74</v>
      </c>
      <c r="AY961" t="s">
        <v>74</v>
      </c>
      <c r="AZ961" t="s">
        <v>74</v>
      </c>
      <c r="BA961" t="s">
        <v>74</v>
      </c>
      <c r="BB961">
        <v>3703</v>
      </c>
      <c r="BC961">
        <v>3704</v>
      </c>
      <c r="BD961" t="s">
        <v>74</v>
      </c>
      <c r="BE961" t="s">
        <v>17808</v>
      </c>
      <c r="BF961" t="str">
        <f>HYPERLINK("http://dx.doi.org/10.1113/JP285121","http://dx.doi.org/10.1113/JP285121")</f>
        <v>http://dx.doi.org/10.1113/JP285121</v>
      </c>
      <c r="BG961" t="s">
        <v>74</v>
      </c>
      <c r="BH961" t="s">
        <v>16585</v>
      </c>
      <c r="BI961">
        <v>2</v>
      </c>
      <c r="BJ961" t="s">
        <v>4960</v>
      </c>
      <c r="BK961" t="s">
        <v>119</v>
      </c>
      <c r="BL961" t="s">
        <v>4961</v>
      </c>
      <c r="BM961" t="s">
        <v>17809</v>
      </c>
      <c r="BN961">
        <v>37492964</v>
      </c>
      <c r="BO961" t="s">
        <v>74</v>
      </c>
      <c r="BP961" t="s">
        <v>74</v>
      </c>
      <c r="BQ961" t="s">
        <v>74</v>
      </c>
      <c r="BR961" t="s">
        <v>99</v>
      </c>
      <c r="BS961" t="s">
        <v>17810</v>
      </c>
      <c r="BT961" t="str">
        <f>HYPERLINK("https%3A%2F%2Fwww.webofscience.com%2Fwos%2Fwoscc%2Ffull-record%2FWOS:001035587400001","View Full Record in Web of Science")</f>
        <v>View Full Record in Web of Science</v>
      </c>
    </row>
    <row r="962" spans="1:72" x14ac:dyDescent="0.15">
      <c r="A962" t="s">
        <v>72</v>
      </c>
      <c r="B962" t="s">
        <v>17811</v>
      </c>
      <c r="C962" t="s">
        <v>74</v>
      </c>
      <c r="D962" t="s">
        <v>74</v>
      </c>
      <c r="E962" t="s">
        <v>74</v>
      </c>
      <c r="F962" t="s">
        <v>17812</v>
      </c>
      <c r="G962" t="s">
        <v>74</v>
      </c>
      <c r="H962" t="s">
        <v>74</v>
      </c>
      <c r="I962" t="s">
        <v>17813</v>
      </c>
      <c r="J962" t="s">
        <v>9198</v>
      </c>
      <c r="K962" t="s">
        <v>74</v>
      </c>
      <c r="L962" t="s">
        <v>74</v>
      </c>
      <c r="M962" t="s">
        <v>78</v>
      </c>
      <c r="N962" t="s">
        <v>79</v>
      </c>
      <c r="O962" t="s">
        <v>74</v>
      </c>
      <c r="P962" t="s">
        <v>74</v>
      </c>
      <c r="Q962" t="s">
        <v>74</v>
      </c>
      <c r="R962" t="s">
        <v>74</v>
      </c>
      <c r="S962" t="s">
        <v>74</v>
      </c>
      <c r="T962" t="s">
        <v>74</v>
      </c>
      <c r="U962" t="s">
        <v>17814</v>
      </c>
      <c r="V962" t="s">
        <v>17815</v>
      </c>
      <c r="W962" t="s">
        <v>17816</v>
      </c>
      <c r="X962" t="s">
        <v>17817</v>
      </c>
      <c r="Y962" t="s">
        <v>17818</v>
      </c>
      <c r="Z962" t="s">
        <v>17819</v>
      </c>
      <c r="AA962" t="s">
        <v>74</v>
      </c>
      <c r="AB962" t="s">
        <v>17820</v>
      </c>
      <c r="AC962" t="s">
        <v>74</v>
      </c>
      <c r="AD962" t="s">
        <v>74</v>
      </c>
      <c r="AE962" t="s">
        <v>74</v>
      </c>
      <c r="AF962" t="s">
        <v>74</v>
      </c>
      <c r="AG962">
        <v>30</v>
      </c>
      <c r="AH962">
        <v>0</v>
      </c>
      <c r="AI962">
        <v>0</v>
      </c>
      <c r="AJ962">
        <v>0</v>
      </c>
      <c r="AK962">
        <v>0</v>
      </c>
      <c r="AL962" t="s">
        <v>87</v>
      </c>
      <c r="AM962" t="s">
        <v>88</v>
      </c>
      <c r="AN962" t="s">
        <v>89</v>
      </c>
      <c r="AO962" t="s">
        <v>9210</v>
      </c>
      <c r="AP962" t="s">
        <v>9211</v>
      </c>
      <c r="AQ962" t="s">
        <v>74</v>
      </c>
      <c r="AR962" t="s">
        <v>9212</v>
      </c>
      <c r="AS962" t="s">
        <v>9213</v>
      </c>
      <c r="AT962" t="s">
        <v>6725</v>
      </c>
      <c r="AU962">
        <v>2023</v>
      </c>
      <c r="AV962">
        <v>87</v>
      </c>
      <c r="AW962">
        <v>5</v>
      </c>
      <c r="AX962" t="s">
        <v>74</v>
      </c>
      <c r="AY962" t="s">
        <v>74</v>
      </c>
      <c r="AZ962" t="s">
        <v>74</v>
      </c>
      <c r="BA962" t="s">
        <v>74</v>
      </c>
      <c r="BB962">
        <v>1109</v>
      </c>
      <c r="BC962">
        <v>1119</v>
      </c>
      <c r="BD962" t="s">
        <v>74</v>
      </c>
      <c r="BE962" t="s">
        <v>17821</v>
      </c>
      <c r="BF962" t="str">
        <f>HYPERLINK("http://dx.doi.org/10.1002/saj2.20567","http://dx.doi.org/10.1002/saj2.20567")</f>
        <v>http://dx.doi.org/10.1002/saj2.20567</v>
      </c>
      <c r="BG962" t="s">
        <v>74</v>
      </c>
      <c r="BH962" t="s">
        <v>16585</v>
      </c>
      <c r="BI962">
        <v>11</v>
      </c>
      <c r="BJ962" t="s">
        <v>9215</v>
      </c>
      <c r="BK962" t="s">
        <v>119</v>
      </c>
      <c r="BL962" t="s">
        <v>1126</v>
      </c>
      <c r="BM962" t="s">
        <v>17822</v>
      </c>
      <c r="BN962" t="s">
        <v>74</v>
      </c>
      <c r="BO962" t="s">
        <v>74</v>
      </c>
      <c r="BP962" t="s">
        <v>74</v>
      </c>
      <c r="BQ962" t="s">
        <v>74</v>
      </c>
      <c r="BR962" t="s">
        <v>99</v>
      </c>
      <c r="BS962" t="s">
        <v>17823</v>
      </c>
      <c r="BT962" t="str">
        <f>HYPERLINK("https%3A%2F%2Fwww.webofscience.com%2Fwos%2Fwoscc%2Ffull-record%2FWOS:001033044500001","View Full Record in Web of Science")</f>
        <v>View Full Record in Web of Science</v>
      </c>
    </row>
    <row r="963" spans="1:72" x14ac:dyDescent="0.15">
      <c r="A963" t="s">
        <v>72</v>
      </c>
      <c r="B963" t="s">
        <v>17824</v>
      </c>
      <c r="C963" t="s">
        <v>74</v>
      </c>
      <c r="D963" t="s">
        <v>74</v>
      </c>
      <c r="E963" t="s">
        <v>74</v>
      </c>
      <c r="F963" t="s">
        <v>17825</v>
      </c>
      <c r="G963" t="s">
        <v>74</v>
      </c>
      <c r="H963" t="s">
        <v>74</v>
      </c>
      <c r="I963" t="s">
        <v>17826</v>
      </c>
      <c r="J963" t="s">
        <v>17827</v>
      </c>
      <c r="K963" t="s">
        <v>74</v>
      </c>
      <c r="L963" t="s">
        <v>74</v>
      </c>
      <c r="M963" t="s">
        <v>78</v>
      </c>
      <c r="N963" t="s">
        <v>338</v>
      </c>
      <c r="O963" t="s">
        <v>74</v>
      </c>
      <c r="P963" t="s">
        <v>74</v>
      </c>
      <c r="Q963" t="s">
        <v>74</v>
      </c>
      <c r="R963" t="s">
        <v>74</v>
      </c>
      <c r="S963" t="s">
        <v>74</v>
      </c>
      <c r="T963" t="s">
        <v>17828</v>
      </c>
      <c r="U963" t="s">
        <v>17829</v>
      </c>
      <c r="V963" t="s">
        <v>17830</v>
      </c>
      <c r="W963" t="s">
        <v>17831</v>
      </c>
      <c r="X963" t="s">
        <v>17832</v>
      </c>
      <c r="Y963" t="s">
        <v>17833</v>
      </c>
      <c r="Z963" t="s">
        <v>17834</v>
      </c>
      <c r="AA963" t="s">
        <v>74</v>
      </c>
      <c r="AB963" t="s">
        <v>17835</v>
      </c>
      <c r="AC963" t="s">
        <v>17836</v>
      </c>
      <c r="AD963" t="s">
        <v>17837</v>
      </c>
      <c r="AE963" t="s">
        <v>17838</v>
      </c>
      <c r="AF963" t="s">
        <v>74</v>
      </c>
      <c r="AG963">
        <v>42</v>
      </c>
      <c r="AH963">
        <v>0</v>
      </c>
      <c r="AI963">
        <v>0</v>
      </c>
      <c r="AJ963">
        <v>1</v>
      </c>
      <c r="AK963">
        <v>1</v>
      </c>
      <c r="AL963" t="s">
        <v>87</v>
      </c>
      <c r="AM963" t="s">
        <v>88</v>
      </c>
      <c r="AN963" t="s">
        <v>89</v>
      </c>
      <c r="AO963" t="s">
        <v>17839</v>
      </c>
      <c r="AP963" t="s">
        <v>17840</v>
      </c>
      <c r="AQ963" t="s">
        <v>74</v>
      </c>
      <c r="AR963" t="s">
        <v>17841</v>
      </c>
      <c r="AS963" t="s">
        <v>17842</v>
      </c>
      <c r="AT963" t="s">
        <v>17779</v>
      </c>
      <c r="AU963">
        <v>2023</v>
      </c>
      <c r="AV963" t="s">
        <v>74</v>
      </c>
      <c r="AW963" t="s">
        <v>74</v>
      </c>
      <c r="AX963" t="s">
        <v>74</v>
      </c>
      <c r="AY963" t="s">
        <v>74</v>
      </c>
      <c r="AZ963" t="s">
        <v>74</v>
      </c>
      <c r="BA963" t="s">
        <v>74</v>
      </c>
      <c r="BB963" t="s">
        <v>74</v>
      </c>
      <c r="BC963" t="s">
        <v>74</v>
      </c>
      <c r="BD963" t="s">
        <v>74</v>
      </c>
      <c r="BE963" t="s">
        <v>17843</v>
      </c>
      <c r="BF963" t="str">
        <f>HYPERLINK("http://dx.doi.org/10.1111/joa.13934","http://dx.doi.org/10.1111/joa.13934")</f>
        <v>http://dx.doi.org/10.1111/joa.13934</v>
      </c>
      <c r="BG963" t="s">
        <v>74</v>
      </c>
      <c r="BH963" t="s">
        <v>16585</v>
      </c>
      <c r="BI963">
        <v>15</v>
      </c>
      <c r="BJ963" t="s">
        <v>281</v>
      </c>
      <c r="BK963" t="s">
        <v>119</v>
      </c>
      <c r="BL963" t="s">
        <v>281</v>
      </c>
      <c r="BM963" t="s">
        <v>17844</v>
      </c>
      <c r="BN963">
        <v>37492024</v>
      </c>
      <c r="BO963" t="s">
        <v>74</v>
      </c>
      <c r="BP963" t="s">
        <v>74</v>
      </c>
      <c r="BQ963" t="s">
        <v>74</v>
      </c>
      <c r="BR963" t="s">
        <v>99</v>
      </c>
      <c r="BS963" t="s">
        <v>17845</v>
      </c>
      <c r="BT963" t="str">
        <f>HYPERLINK("https%3A%2F%2Fwww.webofscience.com%2Fwos%2Fwoscc%2Ffull-record%2FWOS:001036815700001","View Full Record in Web of Science")</f>
        <v>View Full Record in Web of Science</v>
      </c>
    </row>
    <row r="964" spans="1:72" x14ac:dyDescent="0.15">
      <c r="A964" t="s">
        <v>72</v>
      </c>
      <c r="B964" t="s">
        <v>17846</v>
      </c>
      <c r="C964" t="s">
        <v>74</v>
      </c>
      <c r="D964" t="s">
        <v>74</v>
      </c>
      <c r="E964" t="s">
        <v>74</v>
      </c>
      <c r="F964" t="s">
        <v>17847</v>
      </c>
      <c r="G964" t="s">
        <v>74</v>
      </c>
      <c r="H964" t="s">
        <v>74</v>
      </c>
      <c r="I964" t="s">
        <v>17848</v>
      </c>
      <c r="J964" t="s">
        <v>10991</v>
      </c>
      <c r="K964" t="s">
        <v>74</v>
      </c>
      <c r="L964" t="s">
        <v>74</v>
      </c>
      <c r="M964" t="s">
        <v>78</v>
      </c>
      <c r="N964" t="s">
        <v>1297</v>
      </c>
      <c r="O964" t="s">
        <v>74</v>
      </c>
      <c r="P964" t="s">
        <v>74</v>
      </c>
      <c r="Q964" t="s">
        <v>74</v>
      </c>
      <c r="R964" t="s">
        <v>74</v>
      </c>
      <c r="S964" t="s">
        <v>74</v>
      </c>
      <c r="T964" t="s">
        <v>17849</v>
      </c>
      <c r="U964" t="s">
        <v>17850</v>
      </c>
      <c r="V964" t="s">
        <v>74</v>
      </c>
      <c r="W964" t="s">
        <v>17851</v>
      </c>
      <c r="X964" t="s">
        <v>17852</v>
      </c>
      <c r="Y964" t="s">
        <v>17853</v>
      </c>
      <c r="Z964" t="s">
        <v>17854</v>
      </c>
      <c r="AA964" t="s">
        <v>74</v>
      </c>
      <c r="AB964" t="s">
        <v>74</v>
      </c>
      <c r="AC964" t="s">
        <v>74</v>
      </c>
      <c r="AD964" t="s">
        <v>74</v>
      </c>
      <c r="AE964" t="s">
        <v>74</v>
      </c>
      <c r="AF964" t="s">
        <v>74</v>
      </c>
      <c r="AG964">
        <v>10</v>
      </c>
      <c r="AH964">
        <v>0</v>
      </c>
      <c r="AI964">
        <v>0</v>
      </c>
      <c r="AJ964">
        <v>1</v>
      </c>
      <c r="AK964">
        <v>1</v>
      </c>
      <c r="AL964" t="s">
        <v>87</v>
      </c>
      <c r="AM964" t="s">
        <v>88</v>
      </c>
      <c r="AN964" t="s">
        <v>89</v>
      </c>
      <c r="AO964" t="s">
        <v>10999</v>
      </c>
      <c r="AP964" t="s">
        <v>11000</v>
      </c>
      <c r="AQ964" t="s">
        <v>74</v>
      </c>
      <c r="AR964" t="s">
        <v>10991</v>
      </c>
      <c r="AS964" t="s">
        <v>11001</v>
      </c>
      <c r="AT964" t="s">
        <v>17779</v>
      </c>
      <c r="AU964">
        <v>2023</v>
      </c>
      <c r="AV964" t="s">
        <v>74</v>
      </c>
      <c r="AW964" t="s">
        <v>74</v>
      </c>
      <c r="AX964" t="s">
        <v>74</v>
      </c>
      <c r="AY964" t="s">
        <v>74</v>
      </c>
      <c r="AZ964" t="s">
        <v>74</v>
      </c>
      <c r="BA964" t="s">
        <v>74</v>
      </c>
      <c r="BB964" t="s">
        <v>74</v>
      </c>
      <c r="BC964" t="s">
        <v>74</v>
      </c>
      <c r="BD964" t="s">
        <v>74</v>
      </c>
      <c r="BE964" t="s">
        <v>17855</v>
      </c>
      <c r="BF964" t="str">
        <f>HYPERLINK("http://dx.doi.org/10.1111/resp.14559","http://dx.doi.org/10.1111/resp.14559")</f>
        <v>http://dx.doi.org/10.1111/resp.14559</v>
      </c>
      <c r="BG964" t="s">
        <v>74</v>
      </c>
      <c r="BH964" t="s">
        <v>16585</v>
      </c>
      <c r="BI964">
        <v>2</v>
      </c>
      <c r="BJ964" t="s">
        <v>11003</v>
      </c>
      <c r="BK964" t="s">
        <v>119</v>
      </c>
      <c r="BL964" t="s">
        <v>11003</v>
      </c>
      <c r="BM964" t="s">
        <v>17856</v>
      </c>
      <c r="BN964">
        <v>37492938</v>
      </c>
      <c r="BO964" t="s">
        <v>122</v>
      </c>
      <c r="BP964" t="s">
        <v>74</v>
      </c>
      <c r="BQ964" t="s">
        <v>74</v>
      </c>
      <c r="BR964" t="s">
        <v>99</v>
      </c>
      <c r="BS964" t="s">
        <v>17857</v>
      </c>
      <c r="BT964" t="str">
        <f>HYPERLINK("https%3A%2F%2Fwww.webofscience.com%2Fwos%2Fwoscc%2Ffull-record%2FWOS:001036849800001","View Full Record in Web of Science")</f>
        <v>View Full Record in Web of Science</v>
      </c>
    </row>
    <row r="965" spans="1:72" x14ac:dyDescent="0.15">
      <c r="A965" t="s">
        <v>72</v>
      </c>
      <c r="B965" t="s">
        <v>17858</v>
      </c>
      <c r="C965" t="s">
        <v>74</v>
      </c>
      <c r="D965" t="s">
        <v>74</v>
      </c>
      <c r="E965" t="s">
        <v>74</v>
      </c>
      <c r="F965" t="s">
        <v>17859</v>
      </c>
      <c r="G965" t="s">
        <v>74</v>
      </c>
      <c r="H965" t="s">
        <v>74</v>
      </c>
      <c r="I965" t="s">
        <v>17860</v>
      </c>
      <c r="J965" t="s">
        <v>9221</v>
      </c>
      <c r="K965" t="s">
        <v>74</v>
      </c>
      <c r="L965" t="s">
        <v>74</v>
      </c>
      <c r="M965" t="s">
        <v>78</v>
      </c>
      <c r="N965" t="s">
        <v>338</v>
      </c>
      <c r="O965" t="s">
        <v>74</v>
      </c>
      <c r="P965" t="s">
        <v>74</v>
      </c>
      <c r="Q965" t="s">
        <v>74</v>
      </c>
      <c r="R965" t="s">
        <v>74</v>
      </c>
      <c r="S965" t="s">
        <v>74</v>
      </c>
      <c r="T965" t="s">
        <v>17861</v>
      </c>
      <c r="U965" t="s">
        <v>17862</v>
      </c>
      <c r="V965" t="s">
        <v>17863</v>
      </c>
      <c r="W965" t="s">
        <v>17864</v>
      </c>
      <c r="X965" t="s">
        <v>17865</v>
      </c>
      <c r="Y965" t="s">
        <v>17866</v>
      </c>
      <c r="Z965" t="s">
        <v>17867</v>
      </c>
      <c r="AA965" t="s">
        <v>74</v>
      </c>
      <c r="AB965" t="s">
        <v>74</v>
      </c>
      <c r="AC965" t="s">
        <v>17868</v>
      </c>
      <c r="AD965" t="s">
        <v>17869</v>
      </c>
      <c r="AE965" t="s">
        <v>17870</v>
      </c>
      <c r="AF965" t="s">
        <v>74</v>
      </c>
      <c r="AG965">
        <v>87</v>
      </c>
      <c r="AH965">
        <v>0</v>
      </c>
      <c r="AI965">
        <v>0</v>
      </c>
      <c r="AJ965">
        <v>12</v>
      </c>
      <c r="AK965">
        <v>12</v>
      </c>
      <c r="AL965" t="s">
        <v>87</v>
      </c>
      <c r="AM965" t="s">
        <v>88</v>
      </c>
      <c r="AN965" t="s">
        <v>89</v>
      </c>
      <c r="AO965" t="s">
        <v>9234</v>
      </c>
      <c r="AP965" t="s">
        <v>9235</v>
      </c>
      <c r="AQ965" t="s">
        <v>74</v>
      </c>
      <c r="AR965" t="s">
        <v>9236</v>
      </c>
      <c r="AS965" t="s">
        <v>9237</v>
      </c>
      <c r="AT965" t="s">
        <v>17779</v>
      </c>
      <c r="AU965">
        <v>2023</v>
      </c>
      <c r="AV965" t="s">
        <v>74</v>
      </c>
      <c r="AW965" t="s">
        <v>74</v>
      </c>
      <c r="AX965" t="s">
        <v>74</v>
      </c>
      <c r="AY965" t="s">
        <v>74</v>
      </c>
      <c r="AZ965" t="s">
        <v>74</v>
      </c>
      <c r="BA965" t="s">
        <v>74</v>
      </c>
      <c r="BB965" t="s">
        <v>74</v>
      </c>
      <c r="BC965" t="s">
        <v>74</v>
      </c>
      <c r="BD965" t="s">
        <v>74</v>
      </c>
      <c r="BE965" t="s">
        <v>17871</v>
      </c>
      <c r="BF965" t="str">
        <f>HYPERLINK("http://dx.doi.org/10.1111/tpj.16389","http://dx.doi.org/10.1111/tpj.16389")</f>
        <v>http://dx.doi.org/10.1111/tpj.16389</v>
      </c>
      <c r="BG965" t="s">
        <v>74</v>
      </c>
      <c r="BH965" t="s">
        <v>16585</v>
      </c>
      <c r="BI965">
        <v>17</v>
      </c>
      <c r="BJ965" t="s">
        <v>1751</v>
      </c>
      <c r="BK965" t="s">
        <v>119</v>
      </c>
      <c r="BL965" t="s">
        <v>1751</v>
      </c>
      <c r="BM965" t="s">
        <v>17872</v>
      </c>
      <c r="BN965">
        <v>37460197</v>
      </c>
      <c r="BO965" t="s">
        <v>74</v>
      </c>
      <c r="BP965" t="s">
        <v>74</v>
      </c>
      <c r="BQ965" t="s">
        <v>74</v>
      </c>
      <c r="BR965" t="s">
        <v>99</v>
      </c>
      <c r="BS965" t="s">
        <v>17873</v>
      </c>
      <c r="BT965" t="str">
        <f>HYPERLINK("https%3A%2F%2Fwww.webofscience.com%2Fwos%2Fwoscc%2Ffull-record%2FWOS:001034330500001","View Full Record in Web of Science")</f>
        <v>View Full Record in Web of Science</v>
      </c>
    </row>
    <row r="966" spans="1:72" x14ac:dyDescent="0.15">
      <c r="A966" t="s">
        <v>72</v>
      </c>
      <c r="B966" t="s">
        <v>17874</v>
      </c>
      <c r="C966" t="s">
        <v>74</v>
      </c>
      <c r="D966" t="s">
        <v>74</v>
      </c>
      <c r="E966" t="s">
        <v>74</v>
      </c>
      <c r="F966" t="s">
        <v>17875</v>
      </c>
      <c r="G966" t="s">
        <v>74</v>
      </c>
      <c r="H966" t="s">
        <v>74</v>
      </c>
      <c r="I966" t="s">
        <v>17876</v>
      </c>
      <c r="J966" t="s">
        <v>5171</v>
      </c>
      <c r="K966" t="s">
        <v>74</v>
      </c>
      <c r="L966" t="s">
        <v>74</v>
      </c>
      <c r="M966" t="s">
        <v>78</v>
      </c>
      <c r="N966" t="s">
        <v>338</v>
      </c>
      <c r="O966" t="s">
        <v>74</v>
      </c>
      <c r="P966" t="s">
        <v>74</v>
      </c>
      <c r="Q966" t="s">
        <v>74</v>
      </c>
      <c r="R966" t="s">
        <v>74</v>
      </c>
      <c r="S966" t="s">
        <v>74</v>
      </c>
      <c r="T966" t="s">
        <v>17877</v>
      </c>
      <c r="U966" t="s">
        <v>74</v>
      </c>
      <c r="V966" t="s">
        <v>74</v>
      </c>
      <c r="W966" t="s">
        <v>17878</v>
      </c>
      <c r="X966" t="s">
        <v>17879</v>
      </c>
      <c r="Y966" t="s">
        <v>17880</v>
      </c>
      <c r="Z966" t="s">
        <v>17881</v>
      </c>
      <c r="AA966" t="s">
        <v>74</v>
      </c>
      <c r="AB966" t="s">
        <v>17882</v>
      </c>
      <c r="AC966" t="s">
        <v>74</v>
      </c>
      <c r="AD966" t="s">
        <v>74</v>
      </c>
      <c r="AE966" t="s">
        <v>74</v>
      </c>
      <c r="AF966" t="s">
        <v>74</v>
      </c>
      <c r="AG966">
        <v>12</v>
      </c>
      <c r="AH966">
        <v>1</v>
      </c>
      <c r="AI966">
        <v>1</v>
      </c>
      <c r="AJ966">
        <v>2</v>
      </c>
      <c r="AK966">
        <v>2</v>
      </c>
      <c r="AL966" t="s">
        <v>87</v>
      </c>
      <c r="AM966" t="s">
        <v>88</v>
      </c>
      <c r="AN966" t="s">
        <v>89</v>
      </c>
      <c r="AO966" t="s">
        <v>5178</v>
      </c>
      <c r="AP966" t="s">
        <v>5179</v>
      </c>
      <c r="AQ966" t="s">
        <v>74</v>
      </c>
      <c r="AR966" t="s">
        <v>5171</v>
      </c>
      <c r="AS966" t="s">
        <v>5180</v>
      </c>
      <c r="AT966" t="s">
        <v>17779</v>
      </c>
      <c r="AU966">
        <v>2023</v>
      </c>
      <c r="AV966" t="s">
        <v>74</v>
      </c>
      <c r="AW966" t="s">
        <v>74</v>
      </c>
      <c r="AX966" t="s">
        <v>74</v>
      </c>
      <c r="AY966" t="s">
        <v>74</v>
      </c>
      <c r="AZ966" t="s">
        <v>74</v>
      </c>
      <c r="BA966" t="s">
        <v>74</v>
      </c>
      <c r="BB966" t="s">
        <v>74</v>
      </c>
      <c r="BC966" t="s">
        <v>74</v>
      </c>
      <c r="BD966" t="s">
        <v>74</v>
      </c>
      <c r="BE966" t="s">
        <v>17883</v>
      </c>
      <c r="BF966" t="str">
        <f>HYPERLINK("http://dx.doi.org/10.1111/all.15821","http://dx.doi.org/10.1111/all.15821")</f>
        <v>http://dx.doi.org/10.1111/all.15821</v>
      </c>
      <c r="BG966" t="s">
        <v>74</v>
      </c>
      <c r="BH966" t="s">
        <v>16585</v>
      </c>
      <c r="BI966">
        <v>3</v>
      </c>
      <c r="BJ966" t="s">
        <v>5182</v>
      </c>
      <c r="BK966" t="s">
        <v>119</v>
      </c>
      <c r="BL966" t="s">
        <v>5182</v>
      </c>
      <c r="BM966" t="s">
        <v>17884</v>
      </c>
      <c r="BN966">
        <v>37493219</v>
      </c>
      <c r="BO966" t="s">
        <v>122</v>
      </c>
      <c r="BP966" t="s">
        <v>74</v>
      </c>
      <c r="BQ966" t="s">
        <v>74</v>
      </c>
      <c r="BR966" t="s">
        <v>99</v>
      </c>
      <c r="BS966" t="s">
        <v>17885</v>
      </c>
      <c r="BT966" t="str">
        <f>HYPERLINK("https%3A%2F%2Fwww.webofscience.com%2Fwos%2Fwoscc%2Ffull-record%2FWOS:001033321300001","View Full Record in Web of Science")</f>
        <v>View Full Record in Web of Science</v>
      </c>
    </row>
    <row r="967" spans="1:72" x14ac:dyDescent="0.15">
      <c r="A967" t="s">
        <v>72</v>
      </c>
      <c r="B967" t="s">
        <v>17886</v>
      </c>
      <c r="C967" t="s">
        <v>74</v>
      </c>
      <c r="D967" t="s">
        <v>74</v>
      </c>
      <c r="E967" t="s">
        <v>74</v>
      </c>
      <c r="F967" t="s">
        <v>17887</v>
      </c>
      <c r="G967" t="s">
        <v>74</v>
      </c>
      <c r="H967" t="s">
        <v>74</v>
      </c>
      <c r="I967" t="s">
        <v>17888</v>
      </c>
      <c r="J967" t="s">
        <v>17889</v>
      </c>
      <c r="K967" t="s">
        <v>74</v>
      </c>
      <c r="L967" t="s">
        <v>74</v>
      </c>
      <c r="M967" t="s">
        <v>78</v>
      </c>
      <c r="N967" t="s">
        <v>594</v>
      </c>
      <c r="O967" t="s">
        <v>74</v>
      </c>
      <c r="P967" t="s">
        <v>74</v>
      </c>
      <c r="Q967" t="s">
        <v>74</v>
      </c>
      <c r="R967" t="s">
        <v>74</v>
      </c>
      <c r="S967" t="s">
        <v>74</v>
      </c>
      <c r="T967" t="s">
        <v>17890</v>
      </c>
      <c r="U967" t="s">
        <v>17891</v>
      </c>
      <c r="V967" t="s">
        <v>17892</v>
      </c>
      <c r="W967" t="s">
        <v>17893</v>
      </c>
      <c r="X967" t="s">
        <v>17894</v>
      </c>
      <c r="Y967" t="s">
        <v>17895</v>
      </c>
      <c r="Z967" t="s">
        <v>17896</v>
      </c>
      <c r="AA967" t="s">
        <v>17897</v>
      </c>
      <c r="AB967" t="s">
        <v>17898</v>
      </c>
      <c r="AC967" t="s">
        <v>17899</v>
      </c>
      <c r="AD967" t="s">
        <v>74</v>
      </c>
      <c r="AE967" t="s">
        <v>17900</v>
      </c>
      <c r="AF967" t="s">
        <v>74</v>
      </c>
      <c r="AG967">
        <v>91</v>
      </c>
      <c r="AH967">
        <v>0</v>
      </c>
      <c r="AI967">
        <v>0</v>
      </c>
      <c r="AJ967">
        <v>3</v>
      </c>
      <c r="AK967">
        <v>3</v>
      </c>
      <c r="AL967" t="s">
        <v>87</v>
      </c>
      <c r="AM967" t="s">
        <v>88</v>
      </c>
      <c r="AN967" t="s">
        <v>89</v>
      </c>
      <c r="AO967" t="s">
        <v>74</v>
      </c>
      <c r="AP967" t="s">
        <v>17901</v>
      </c>
      <c r="AQ967" t="s">
        <v>74</v>
      </c>
      <c r="AR967" t="s">
        <v>17889</v>
      </c>
      <c r="AS967" t="s">
        <v>17902</v>
      </c>
      <c r="AT967" t="s">
        <v>17779</v>
      </c>
      <c r="AU967">
        <v>2023</v>
      </c>
      <c r="AV967" t="s">
        <v>74</v>
      </c>
      <c r="AW967" t="s">
        <v>74</v>
      </c>
      <c r="AX967" t="s">
        <v>74</v>
      </c>
      <c r="AY967" t="s">
        <v>74</v>
      </c>
      <c r="AZ967" t="s">
        <v>74</v>
      </c>
      <c r="BA967" t="s">
        <v>74</v>
      </c>
      <c r="BB967" t="s">
        <v>74</v>
      </c>
      <c r="BC967" t="s">
        <v>74</v>
      </c>
      <c r="BD967" t="s">
        <v>74</v>
      </c>
      <c r="BE967" t="s">
        <v>17903</v>
      </c>
      <c r="BF967" t="str">
        <f>HYPERLINK("http://dx.doi.org/10.1002/ppp3.10412","http://dx.doi.org/10.1002/ppp3.10412")</f>
        <v>http://dx.doi.org/10.1002/ppp3.10412</v>
      </c>
      <c r="BG967" t="s">
        <v>74</v>
      </c>
      <c r="BH967" t="s">
        <v>16585</v>
      </c>
      <c r="BI967">
        <v>15</v>
      </c>
      <c r="BJ967" t="s">
        <v>17904</v>
      </c>
      <c r="BK967" t="s">
        <v>119</v>
      </c>
      <c r="BL967" t="s">
        <v>17905</v>
      </c>
      <c r="BM967" t="s">
        <v>17906</v>
      </c>
      <c r="BN967" t="s">
        <v>74</v>
      </c>
      <c r="BO967" t="s">
        <v>234</v>
      </c>
      <c r="BP967" t="s">
        <v>74</v>
      </c>
      <c r="BQ967" t="s">
        <v>74</v>
      </c>
      <c r="BR967" t="s">
        <v>99</v>
      </c>
      <c r="BS967" t="s">
        <v>17907</v>
      </c>
      <c r="BT967" t="str">
        <f>HYPERLINK("https%3A%2F%2Fwww.webofscience.com%2Fwos%2Fwoscc%2Ffull-record%2FWOS:001033793600001","View Full Record in Web of Science")</f>
        <v>View Full Record in Web of Science</v>
      </c>
    </row>
    <row r="968" spans="1:72" x14ac:dyDescent="0.15">
      <c r="A968" t="s">
        <v>72</v>
      </c>
      <c r="B968" t="s">
        <v>17908</v>
      </c>
      <c r="C968" t="s">
        <v>74</v>
      </c>
      <c r="D968" t="s">
        <v>74</v>
      </c>
      <c r="E968" t="s">
        <v>74</v>
      </c>
      <c r="F968" t="s">
        <v>17909</v>
      </c>
      <c r="G968" t="s">
        <v>74</v>
      </c>
      <c r="H968" t="s">
        <v>74</v>
      </c>
      <c r="I968" t="s">
        <v>17910</v>
      </c>
      <c r="J968" t="s">
        <v>2028</v>
      </c>
      <c r="K968" t="s">
        <v>74</v>
      </c>
      <c r="L968" t="s">
        <v>74</v>
      </c>
      <c r="M968" t="s">
        <v>78</v>
      </c>
      <c r="N968" t="s">
        <v>79</v>
      </c>
      <c r="O968" t="s">
        <v>74</v>
      </c>
      <c r="P968" t="s">
        <v>74</v>
      </c>
      <c r="Q968" t="s">
        <v>74</v>
      </c>
      <c r="R968" t="s">
        <v>74</v>
      </c>
      <c r="S968" t="s">
        <v>74</v>
      </c>
      <c r="T968" t="s">
        <v>17911</v>
      </c>
      <c r="U968" t="s">
        <v>17912</v>
      </c>
      <c r="V968" t="s">
        <v>17913</v>
      </c>
      <c r="W968" t="s">
        <v>17914</v>
      </c>
      <c r="X968" t="s">
        <v>17915</v>
      </c>
      <c r="Y968" t="s">
        <v>17916</v>
      </c>
      <c r="Z968" t="s">
        <v>17917</v>
      </c>
      <c r="AA968" t="s">
        <v>74</v>
      </c>
      <c r="AB968" t="s">
        <v>74</v>
      </c>
      <c r="AC968" t="s">
        <v>74</v>
      </c>
      <c r="AD968" t="s">
        <v>74</v>
      </c>
      <c r="AE968" t="s">
        <v>74</v>
      </c>
      <c r="AF968" t="s">
        <v>74</v>
      </c>
      <c r="AG968">
        <v>46</v>
      </c>
      <c r="AH968">
        <v>0</v>
      </c>
      <c r="AI968">
        <v>0</v>
      </c>
      <c r="AJ968">
        <v>0</v>
      </c>
      <c r="AK968">
        <v>0</v>
      </c>
      <c r="AL968" t="s">
        <v>426</v>
      </c>
      <c r="AM968" t="s">
        <v>427</v>
      </c>
      <c r="AN968" t="s">
        <v>428</v>
      </c>
      <c r="AO968" t="s">
        <v>2037</v>
      </c>
      <c r="AP968" t="s">
        <v>74</v>
      </c>
      <c r="AQ968" t="s">
        <v>74</v>
      </c>
      <c r="AR968" t="s">
        <v>2028</v>
      </c>
      <c r="AS968" t="s">
        <v>2038</v>
      </c>
      <c r="AT968" t="s">
        <v>17918</v>
      </c>
      <c r="AU968">
        <v>2023</v>
      </c>
      <c r="AV968">
        <v>8</v>
      </c>
      <c r="AW968">
        <v>28</v>
      </c>
      <c r="AX968" t="s">
        <v>74</v>
      </c>
      <c r="AY968" t="s">
        <v>74</v>
      </c>
      <c r="AZ968" t="s">
        <v>74</v>
      </c>
      <c r="BA968" t="s">
        <v>74</v>
      </c>
      <c r="BB968" t="s">
        <v>74</v>
      </c>
      <c r="BC968" t="s">
        <v>74</v>
      </c>
      <c r="BD968" t="s">
        <v>17919</v>
      </c>
      <c r="BE968" t="s">
        <v>17920</v>
      </c>
      <c r="BF968" t="str">
        <f>HYPERLINK("http://dx.doi.org/10.1002/slct.202301239","http://dx.doi.org/10.1002/slct.202301239")</f>
        <v>http://dx.doi.org/10.1002/slct.202301239</v>
      </c>
      <c r="BG968" t="s">
        <v>74</v>
      </c>
      <c r="BH968" t="s">
        <v>74</v>
      </c>
      <c r="BI968">
        <v>8</v>
      </c>
      <c r="BJ968" t="s">
        <v>523</v>
      </c>
      <c r="BK968" t="s">
        <v>119</v>
      </c>
      <c r="BL968" t="s">
        <v>524</v>
      </c>
      <c r="BM968" t="s">
        <v>17921</v>
      </c>
      <c r="BN968" t="s">
        <v>74</v>
      </c>
      <c r="BO968" t="s">
        <v>74</v>
      </c>
      <c r="BP968" t="s">
        <v>74</v>
      </c>
      <c r="BQ968" t="s">
        <v>74</v>
      </c>
      <c r="BR968" t="s">
        <v>99</v>
      </c>
      <c r="BS968" t="s">
        <v>17922</v>
      </c>
      <c r="BT968" t="str">
        <f>HYPERLINK("https%3A%2F%2Fwww.webofscience.com%2Fwos%2Fwoscc%2Ffull-record%2FWOS:001035561800001","View Full Record in Web of Science")</f>
        <v>View Full Record in Web of Science</v>
      </c>
    </row>
    <row r="969" spans="1:72" x14ac:dyDescent="0.15">
      <c r="A969" t="s">
        <v>72</v>
      </c>
      <c r="B969" t="s">
        <v>17923</v>
      </c>
      <c r="C969" t="s">
        <v>74</v>
      </c>
      <c r="D969" t="s">
        <v>74</v>
      </c>
      <c r="E969" t="s">
        <v>74</v>
      </c>
      <c r="F969" t="s">
        <v>17924</v>
      </c>
      <c r="G969" t="s">
        <v>74</v>
      </c>
      <c r="H969" t="s">
        <v>74</v>
      </c>
      <c r="I969" t="s">
        <v>17925</v>
      </c>
      <c r="J969" t="s">
        <v>3538</v>
      </c>
      <c r="K969" t="s">
        <v>74</v>
      </c>
      <c r="L969" t="s">
        <v>74</v>
      </c>
      <c r="M969" t="s">
        <v>78</v>
      </c>
      <c r="N969" t="s">
        <v>338</v>
      </c>
      <c r="O969" t="s">
        <v>74</v>
      </c>
      <c r="P969" t="s">
        <v>74</v>
      </c>
      <c r="Q969" t="s">
        <v>74</v>
      </c>
      <c r="R969" t="s">
        <v>74</v>
      </c>
      <c r="S969" t="s">
        <v>74</v>
      </c>
      <c r="T969" t="s">
        <v>17926</v>
      </c>
      <c r="U969" t="s">
        <v>17927</v>
      </c>
      <c r="V969" t="s">
        <v>17928</v>
      </c>
      <c r="W969" t="s">
        <v>17929</v>
      </c>
      <c r="X969" t="s">
        <v>17930</v>
      </c>
      <c r="Y969" t="s">
        <v>17931</v>
      </c>
      <c r="Z969" t="s">
        <v>17932</v>
      </c>
      <c r="AA969" t="s">
        <v>74</v>
      </c>
      <c r="AB969" t="s">
        <v>17933</v>
      </c>
      <c r="AC969" t="s">
        <v>74</v>
      </c>
      <c r="AD969" t="s">
        <v>74</v>
      </c>
      <c r="AE969" t="s">
        <v>74</v>
      </c>
      <c r="AF969" t="s">
        <v>74</v>
      </c>
      <c r="AG969">
        <v>21</v>
      </c>
      <c r="AH969">
        <v>0</v>
      </c>
      <c r="AI969">
        <v>0</v>
      </c>
      <c r="AJ969">
        <v>0</v>
      </c>
      <c r="AK969">
        <v>0</v>
      </c>
      <c r="AL969" t="s">
        <v>87</v>
      </c>
      <c r="AM969" t="s">
        <v>88</v>
      </c>
      <c r="AN969" t="s">
        <v>89</v>
      </c>
      <c r="AO969" t="s">
        <v>3550</v>
      </c>
      <c r="AP969" t="s">
        <v>3551</v>
      </c>
      <c r="AQ969" t="s">
        <v>74</v>
      </c>
      <c r="AR969" t="s">
        <v>3538</v>
      </c>
      <c r="AS969" t="s">
        <v>3552</v>
      </c>
      <c r="AT969" t="s">
        <v>17779</v>
      </c>
      <c r="AU969">
        <v>2023</v>
      </c>
      <c r="AV969" t="s">
        <v>74</v>
      </c>
      <c r="AW969" t="s">
        <v>74</v>
      </c>
      <c r="AX969" t="s">
        <v>74</v>
      </c>
      <c r="AY969" t="s">
        <v>74</v>
      </c>
      <c r="AZ969" t="s">
        <v>74</v>
      </c>
      <c r="BA969" t="s">
        <v>74</v>
      </c>
      <c r="BB969" t="s">
        <v>74</v>
      </c>
      <c r="BC969" t="s">
        <v>74</v>
      </c>
      <c r="BD969" t="s">
        <v>74</v>
      </c>
      <c r="BE969" t="s">
        <v>17934</v>
      </c>
      <c r="BF969" t="str">
        <f>HYPERLINK("http://dx.doi.org/10.1111/trf.17496","http://dx.doi.org/10.1111/trf.17496")</f>
        <v>http://dx.doi.org/10.1111/trf.17496</v>
      </c>
      <c r="BG969" t="s">
        <v>74</v>
      </c>
      <c r="BH969" t="s">
        <v>16585</v>
      </c>
      <c r="BI969">
        <v>8</v>
      </c>
      <c r="BJ969" t="s">
        <v>1625</v>
      </c>
      <c r="BK969" t="s">
        <v>119</v>
      </c>
      <c r="BL969" t="s">
        <v>1625</v>
      </c>
      <c r="BM969" t="s">
        <v>17935</v>
      </c>
      <c r="BN969">
        <v>37493440</v>
      </c>
      <c r="BO969" t="s">
        <v>74</v>
      </c>
      <c r="BP969" t="s">
        <v>74</v>
      </c>
      <c r="BQ969" t="s">
        <v>74</v>
      </c>
      <c r="BR969" t="s">
        <v>99</v>
      </c>
      <c r="BS969" t="s">
        <v>17936</v>
      </c>
      <c r="BT969" t="str">
        <f>HYPERLINK("https%3A%2F%2Fwww.webofscience.com%2Fwos%2Fwoscc%2Ffull-record%2FWOS:001036998500001","View Full Record in Web of Science")</f>
        <v>View Full Record in Web of Science</v>
      </c>
    </row>
    <row r="970" spans="1:72" x14ac:dyDescent="0.15">
      <c r="A970" t="s">
        <v>72</v>
      </c>
      <c r="B970" t="s">
        <v>17937</v>
      </c>
      <c r="C970" t="s">
        <v>74</v>
      </c>
      <c r="D970" t="s">
        <v>74</v>
      </c>
      <c r="E970" t="s">
        <v>74</v>
      </c>
      <c r="F970" t="s">
        <v>17938</v>
      </c>
      <c r="G970" t="s">
        <v>74</v>
      </c>
      <c r="H970" t="s">
        <v>74</v>
      </c>
      <c r="I970" t="s">
        <v>17939</v>
      </c>
      <c r="J970" t="s">
        <v>1839</v>
      </c>
      <c r="K970" t="s">
        <v>74</v>
      </c>
      <c r="L970" t="s">
        <v>74</v>
      </c>
      <c r="M970" t="s">
        <v>78</v>
      </c>
      <c r="N970" t="s">
        <v>338</v>
      </c>
      <c r="O970" t="s">
        <v>74</v>
      </c>
      <c r="P970" t="s">
        <v>74</v>
      </c>
      <c r="Q970" t="s">
        <v>74</v>
      </c>
      <c r="R970" t="s">
        <v>74</v>
      </c>
      <c r="S970" t="s">
        <v>74</v>
      </c>
      <c r="T970" t="s">
        <v>17940</v>
      </c>
      <c r="U970" t="s">
        <v>17941</v>
      </c>
      <c r="V970" t="s">
        <v>17942</v>
      </c>
      <c r="W970" t="s">
        <v>17943</v>
      </c>
      <c r="X970" t="s">
        <v>17944</v>
      </c>
      <c r="Y970" t="s">
        <v>17945</v>
      </c>
      <c r="Z970" t="s">
        <v>17946</v>
      </c>
      <c r="AA970" t="s">
        <v>17947</v>
      </c>
      <c r="AB970" t="s">
        <v>17948</v>
      </c>
      <c r="AC970" t="s">
        <v>17949</v>
      </c>
      <c r="AD970" t="s">
        <v>17950</v>
      </c>
      <c r="AE970" t="s">
        <v>17951</v>
      </c>
      <c r="AF970" t="s">
        <v>74</v>
      </c>
      <c r="AG970">
        <v>22</v>
      </c>
      <c r="AH970">
        <v>0</v>
      </c>
      <c r="AI970">
        <v>0</v>
      </c>
      <c r="AJ970">
        <v>0</v>
      </c>
      <c r="AK970">
        <v>0</v>
      </c>
      <c r="AL970" t="s">
        <v>87</v>
      </c>
      <c r="AM970" t="s">
        <v>88</v>
      </c>
      <c r="AN970" t="s">
        <v>89</v>
      </c>
      <c r="AO970" t="s">
        <v>1844</v>
      </c>
      <c r="AP970" t="s">
        <v>1845</v>
      </c>
      <c r="AQ970" t="s">
        <v>74</v>
      </c>
      <c r="AR970" t="s">
        <v>1846</v>
      </c>
      <c r="AS970" t="s">
        <v>1847</v>
      </c>
      <c r="AT970" t="s">
        <v>17779</v>
      </c>
      <c r="AU970">
        <v>2023</v>
      </c>
      <c r="AV970" t="s">
        <v>74</v>
      </c>
      <c r="AW970" t="s">
        <v>74</v>
      </c>
      <c r="AX970" t="s">
        <v>74</v>
      </c>
      <c r="AY970" t="s">
        <v>74</v>
      </c>
      <c r="AZ970" t="s">
        <v>74</v>
      </c>
      <c r="BA970" t="s">
        <v>74</v>
      </c>
      <c r="BB970" t="s">
        <v>74</v>
      </c>
      <c r="BC970" t="s">
        <v>74</v>
      </c>
      <c r="BD970" t="s">
        <v>74</v>
      </c>
      <c r="BE970" t="s">
        <v>17952</v>
      </c>
      <c r="BF970" t="str">
        <f>HYPERLINK("http://dx.doi.org/10.1111/jce.16006","http://dx.doi.org/10.1111/jce.16006")</f>
        <v>http://dx.doi.org/10.1111/jce.16006</v>
      </c>
      <c r="BG970" t="s">
        <v>74</v>
      </c>
      <c r="BH970" t="s">
        <v>16585</v>
      </c>
      <c r="BI970">
        <v>8</v>
      </c>
      <c r="BJ970" t="s">
        <v>1849</v>
      </c>
      <c r="BK970" t="s">
        <v>119</v>
      </c>
      <c r="BL970" t="s">
        <v>1850</v>
      </c>
      <c r="BM970" t="s">
        <v>17953</v>
      </c>
      <c r="BN970">
        <v>37493500</v>
      </c>
      <c r="BO970" t="s">
        <v>74</v>
      </c>
      <c r="BP970" t="s">
        <v>74</v>
      </c>
      <c r="BQ970" t="s">
        <v>74</v>
      </c>
      <c r="BR970" t="s">
        <v>99</v>
      </c>
      <c r="BS970" t="s">
        <v>17954</v>
      </c>
      <c r="BT970" t="str">
        <f>HYPERLINK("https%3A%2F%2Fwww.webofscience.com%2Fwos%2Fwoscc%2Ffull-record%2FWOS:001035797900001","View Full Record in Web of Science")</f>
        <v>View Full Record in Web of Science</v>
      </c>
    </row>
    <row r="971" spans="1:72" x14ac:dyDescent="0.15">
      <c r="A971" t="s">
        <v>72</v>
      </c>
      <c r="B971" t="s">
        <v>17955</v>
      </c>
      <c r="C971" t="s">
        <v>74</v>
      </c>
      <c r="D971" t="s">
        <v>74</v>
      </c>
      <c r="E971" t="s">
        <v>74</v>
      </c>
      <c r="F971" t="s">
        <v>17956</v>
      </c>
      <c r="G971" t="s">
        <v>74</v>
      </c>
      <c r="H971" t="s">
        <v>74</v>
      </c>
      <c r="I971" t="s">
        <v>17957</v>
      </c>
      <c r="J971" t="s">
        <v>2028</v>
      </c>
      <c r="K971" t="s">
        <v>74</v>
      </c>
      <c r="L971" t="s">
        <v>74</v>
      </c>
      <c r="M971" t="s">
        <v>78</v>
      </c>
      <c r="N971" t="s">
        <v>79</v>
      </c>
      <c r="O971" t="s">
        <v>74</v>
      </c>
      <c r="P971" t="s">
        <v>74</v>
      </c>
      <c r="Q971" t="s">
        <v>74</v>
      </c>
      <c r="R971" t="s">
        <v>74</v>
      </c>
      <c r="S971" t="s">
        <v>74</v>
      </c>
      <c r="T971" t="s">
        <v>17958</v>
      </c>
      <c r="U971" t="s">
        <v>17959</v>
      </c>
      <c r="V971" t="s">
        <v>17960</v>
      </c>
      <c r="W971" t="s">
        <v>17961</v>
      </c>
      <c r="X971" t="s">
        <v>17962</v>
      </c>
      <c r="Y971" t="s">
        <v>17963</v>
      </c>
      <c r="Z971" t="s">
        <v>17964</v>
      </c>
      <c r="AA971" t="s">
        <v>74</v>
      </c>
      <c r="AB971" t="s">
        <v>17965</v>
      </c>
      <c r="AC971" t="s">
        <v>17966</v>
      </c>
      <c r="AD971" t="s">
        <v>17967</v>
      </c>
      <c r="AE971" t="s">
        <v>17968</v>
      </c>
      <c r="AF971" t="s">
        <v>74</v>
      </c>
      <c r="AG971">
        <v>29</v>
      </c>
      <c r="AH971">
        <v>0</v>
      </c>
      <c r="AI971">
        <v>0</v>
      </c>
      <c r="AJ971">
        <v>0</v>
      </c>
      <c r="AK971">
        <v>0</v>
      </c>
      <c r="AL971" t="s">
        <v>426</v>
      </c>
      <c r="AM971" t="s">
        <v>427</v>
      </c>
      <c r="AN971" t="s">
        <v>428</v>
      </c>
      <c r="AO971" t="s">
        <v>2037</v>
      </c>
      <c r="AP971" t="s">
        <v>74</v>
      </c>
      <c r="AQ971" t="s">
        <v>74</v>
      </c>
      <c r="AR971" t="s">
        <v>2028</v>
      </c>
      <c r="AS971" t="s">
        <v>2038</v>
      </c>
      <c r="AT971" t="s">
        <v>17918</v>
      </c>
      <c r="AU971">
        <v>2023</v>
      </c>
      <c r="AV971">
        <v>8</v>
      </c>
      <c r="AW971">
        <v>28</v>
      </c>
      <c r="AX971" t="s">
        <v>74</v>
      </c>
      <c r="AY971" t="s">
        <v>74</v>
      </c>
      <c r="AZ971" t="s">
        <v>74</v>
      </c>
      <c r="BA971" t="s">
        <v>74</v>
      </c>
      <c r="BB971" t="s">
        <v>74</v>
      </c>
      <c r="BC971" t="s">
        <v>74</v>
      </c>
      <c r="BD971" t="s">
        <v>17969</v>
      </c>
      <c r="BE971" t="s">
        <v>17970</v>
      </c>
      <c r="BF971" t="str">
        <f>HYPERLINK("http://dx.doi.org/10.1002/slct.202302228","http://dx.doi.org/10.1002/slct.202302228")</f>
        <v>http://dx.doi.org/10.1002/slct.202302228</v>
      </c>
      <c r="BG971" t="s">
        <v>74</v>
      </c>
      <c r="BH971" t="s">
        <v>74</v>
      </c>
      <c r="BI971">
        <v>3</v>
      </c>
      <c r="BJ971" t="s">
        <v>523</v>
      </c>
      <c r="BK971" t="s">
        <v>119</v>
      </c>
      <c r="BL971" t="s">
        <v>524</v>
      </c>
      <c r="BM971" t="s">
        <v>17971</v>
      </c>
      <c r="BN971" t="s">
        <v>74</v>
      </c>
      <c r="BO971" t="s">
        <v>301</v>
      </c>
      <c r="BP971" t="s">
        <v>74</v>
      </c>
      <c r="BQ971" t="s">
        <v>74</v>
      </c>
      <c r="BR971" t="s">
        <v>99</v>
      </c>
      <c r="BS971" t="s">
        <v>17972</v>
      </c>
      <c r="BT971" t="str">
        <f>HYPERLINK("https%3A%2F%2Fwww.webofscience.com%2Fwos%2Fwoscc%2Ffull-record%2FWOS:001035561300001","View Full Record in Web of Science")</f>
        <v>View Full Record in Web of Science</v>
      </c>
    </row>
    <row r="972" spans="1:72" x14ac:dyDescent="0.15">
      <c r="A972" t="s">
        <v>72</v>
      </c>
      <c r="B972" t="s">
        <v>17973</v>
      </c>
      <c r="C972" t="s">
        <v>74</v>
      </c>
      <c r="D972" t="s">
        <v>74</v>
      </c>
      <c r="E972" t="s">
        <v>74</v>
      </c>
      <c r="F972" t="s">
        <v>17974</v>
      </c>
      <c r="G972" t="s">
        <v>74</v>
      </c>
      <c r="H972" t="s">
        <v>74</v>
      </c>
      <c r="I972" t="s">
        <v>17975</v>
      </c>
      <c r="J972" t="s">
        <v>16754</v>
      </c>
      <c r="K972" t="s">
        <v>74</v>
      </c>
      <c r="L972" t="s">
        <v>74</v>
      </c>
      <c r="M972" t="s">
        <v>78</v>
      </c>
      <c r="N972" t="s">
        <v>594</v>
      </c>
      <c r="O972" t="s">
        <v>74</v>
      </c>
      <c r="P972" t="s">
        <v>74</v>
      </c>
      <c r="Q972" t="s">
        <v>74</v>
      </c>
      <c r="R972" t="s">
        <v>74</v>
      </c>
      <c r="S972" t="s">
        <v>74</v>
      </c>
      <c r="T972" t="s">
        <v>17976</v>
      </c>
      <c r="U972" t="s">
        <v>17977</v>
      </c>
      <c r="V972" t="s">
        <v>17978</v>
      </c>
      <c r="W972" t="s">
        <v>17979</v>
      </c>
      <c r="X972" t="s">
        <v>17980</v>
      </c>
      <c r="Y972" t="s">
        <v>17981</v>
      </c>
      <c r="Z972" t="s">
        <v>17982</v>
      </c>
      <c r="AA972" t="s">
        <v>74</v>
      </c>
      <c r="AB972" t="s">
        <v>17983</v>
      </c>
      <c r="AC972" t="s">
        <v>74</v>
      </c>
      <c r="AD972" t="s">
        <v>74</v>
      </c>
      <c r="AE972" t="s">
        <v>74</v>
      </c>
      <c r="AF972" t="s">
        <v>74</v>
      </c>
      <c r="AG972">
        <v>100</v>
      </c>
      <c r="AH972">
        <v>0</v>
      </c>
      <c r="AI972">
        <v>0</v>
      </c>
      <c r="AJ972">
        <v>2</v>
      </c>
      <c r="AK972">
        <v>2</v>
      </c>
      <c r="AL972" t="s">
        <v>87</v>
      </c>
      <c r="AM972" t="s">
        <v>88</v>
      </c>
      <c r="AN972" t="s">
        <v>89</v>
      </c>
      <c r="AO972" t="s">
        <v>16765</v>
      </c>
      <c r="AP972" t="s">
        <v>16766</v>
      </c>
      <c r="AQ972" t="s">
        <v>74</v>
      </c>
      <c r="AR972" t="s">
        <v>16767</v>
      </c>
      <c r="AS972" t="s">
        <v>16768</v>
      </c>
      <c r="AT972" t="s">
        <v>17779</v>
      </c>
      <c r="AU972">
        <v>2023</v>
      </c>
      <c r="AV972" t="s">
        <v>74</v>
      </c>
      <c r="AW972" t="s">
        <v>74</v>
      </c>
      <c r="AX972" t="s">
        <v>74</v>
      </c>
      <c r="AY972" t="s">
        <v>74</v>
      </c>
      <c r="AZ972" t="s">
        <v>74</v>
      </c>
      <c r="BA972" t="s">
        <v>74</v>
      </c>
      <c r="BB972" t="s">
        <v>74</v>
      </c>
      <c r="BC972" t="s">
        <v>74</v>
      </c>
      <c r="BD972" t="s">
        <v>74</v>
      </c>
      <c r="BE972" t="s">
        <v>17984</v>
      </c>
      <c r="BF972" t="str">
        <f>HYPERLINK("http://dx.doi.org/10.1002/clc.24095","http://dx.doi.org/10.1002/clc.24095")</f>
        <v>http://dx.doi.org/10.1002/clc.24095</v>
      </c>
      <c r="BG972" t="s">
        <v>74</v>
      </c>
      <c r="BH972" t="s">
        <v>16585</v>
      </c>
      <c r="BI972">
        <v>13</v>
      </c>
      <c r="BJ972" t="s">
        <v>1849</v>
      </c>
      <c r="BK972" t="s">
        <v>119</v>
      </c>
      <c r="BL972" t="s">
        <v>1850</v>
      </c>
      <c r="BM972" t="s">
        <v>17985</v>
      </c>
      <c r="BN972">
        <v>37493125</v>
      </c>
      <c r="BO972" t="s">
        <v>234</v>
      </c>
      <c r="BP972" t="s">
        <v>74</v>
      </c>
      <c r="BQ972" t="s">
        <v>74</v>
      </c>
      <c r="BR972" t="s">
        <v>99</v>
      </c>
      <c r="BS972" t="s">
        <v>17986</v>
      </c>
      <c r="BT972" t="str">
        <f>HYPERLINK("https%3A%2F%2Fwww.webofscience.com%2Fwos%2Fwoscc%2Ffull-record%2FWOS:001035648200001","View Full Record in Web of Science")</f>
        <v>View Full Record in Web of Science</v>
      </c>
    </row>
    <row r="973" spans="1:72" x14ac:dyDescent="0.15">
      <c r="A973" t="s">
        <v>72</v>
      </c>
      <c r="B973" t="s">
        <v>17987</v>
      </c>
      <c r="C973" t="s">
        <v>74</v>
      </c>
      <c r="D973" t="s">
        <v>74</v>
      </c>
      <c r="E973" t="s">
        <v>74</v>
      </c>
      <c r="F973" t="s">
        <v>17988</v>
      </c>
      <c r="G973" t="s">
        <v>74</v>
      </c>
      <c r="H973" t="s">
        <v>74</v>
      </c>
      <c r="I973" t="s">
        <v>17989</v>
      </c>
      <c r="J973" t="s">
        <v>9321</v>
      </c>
      <c r="K973" t="s">
        <v>74</v>
      </c>
      <c r="L973" t="s">
        <v>74</v>
      </c>
      <c r="M973" t="s">
        <v>78</v>
      </c>
      <c r="N973" t="s">
        <v>338</v>
      </c>
      <c r="O973" t="s">
        <v>74</v>
      </c>
      <c r="P973" t="s">
        <v>74</v>
      </c>
      <c r="Q973" t="s">
        <v>74</v>
      </c>
      <c r="R973" t="s">
        <v>74</v>
      </c>
      <c r="S973" t="s">
        <v>74</v>
      </c>
      <c r="T973" t="s">
        <v>17990</v>
      </c>
      <c r="U973" t="s">
        <v>17991</v>
      </c>
      <c r="V973" t="s">
        <v>17992</v>
      </c>
      <c r="W973" t="s">
        <v>17993</v>
      </c>
      <c r="X973" t="s">
        <v>17994</v>
      </c>
      <c r="Y973" t="s">
        <v>17995</v>
      </c>
      <c r="Z973" t="s">
        <v>17996</v>
      </c>
      <c r="AA973" t="s">
        <v>74</v>
      </c>
      <c r="AB973" t="s">
        <v>74</v>
      </c>
      <c r="AC973" t="s">
        <v>74</v>
      </c>
      <c r="AD973" t="s">
        <v>74</v>
      </c>
      <c r="AE973" t="s">
        <v>74</v>
      </c>
      <c r="AF973" t="s">
        <v>74</v>
      </c>
      <c r="AG973">
        <v>73</v>
      </c>
      <c r="AH973">
        <v>0</v>
      </c>
      <c r="AI973">
        <v>0</v>
      </c>
      <c r="AJ973">
        <v>0</v>
      </c>
      <c r="AK973">
        <v>0</v>
      </c>
      <c r="AL973" t="s">
        <v>87</v>
      </c>
      <c r="AM973" t="s">
        <v>88</v>
      </c>
      <c r="AN973" t="s">
        <v>89</v>
      </c>
      <c r="AO973" t="s">
        <v>9333</v>
      </c>
      <c r="AP973" t="s">
        <v>9334</v>
      </c>
      <c r="AQ973" t="s">
        <v>74</v>
      </c>
      <c r="AR973" t="s">
        <v>9335</v>
      </c>
      <c r="AS973" t="s">
        <v>9336</v>
      </c>
      <c r="AT973" t="s">
        <v>17779</v>
      </c>
      <c r="AU973">
        <v>2023</v>
      </c>
      <c r="AV973" t="s">
        <v>74</v>
      </c>
      <c r="AW973" t="s">
        <v>74</v>
      </c>
      <c r="AX973" t="s">
        <v>74</v>
      </c>
      <c r="AY973" t="s">
        <v>74</v>
      </c>
      <c r="AZ973" t="s">
        <v>74</v>
      </c>
      <c r="BA973" t="s">
        <v>74</v>
      </c>
      <c r="BB973" t="s">
        <v>74</v>
      </c>
      <c r="BC973" t="s">
        <v>74</v>
      </c>
      <c r="BD973" t="s">
        <v>74</v>
      </c>
      <c r="BE973" t="s">
        <v>17997</v>
      </c>
      <c r="BF973" t="str">
        <f>HYPERLINK("http://dx.doi.org/10.1002/etc.5694","http://dx.doi.org/10.1002/etc.5694")</f>
        <v>http://dx.doi.org/10.1002/etc.5694</v>
      </c>
      <c r="BG973" t="s">
        <v>74</v>
      </c>
      <c r="BH973" t="s">
        <v>16585</v>
      </c>
      <c r="BI973">
        <v>16</v>
      </c>
      <c r="BJ973" t="s">
        <v>9338</v>
      </c>
      <c r="BK973" t="s">
        <v>119</v>
      </c>
      <c r="BL973" t="s">
        <v>9339</v>
      </c>
      <c r="BM973" t="s">
        <v>17998</v>
      </c>
      <c r="BN973">
        <v>37314104</v>
      </c>
      <c r="BO973" t="s">
        <v>74</v>
      </c>
      <c r="BP973" t="s">
        <v>74</v>
      </c>
      <c r="BQ973" t="s">
        <v>74</v>
      </c>
      <c r="BR973" t="s">
        <v>99</v>
      </c>
      <c r="BS973" t="s">
        <v>17999</v>
      </c>
      <c r="BT973" t="str">
        <f>HYPERLINK("https%3A%2F%2Fwww.webofscience.com%2Fwos%2Fwoscc%2Ffull-record%2FWOS:001035639600001","View Full Record in Web of Science")</f>
        <v>View Full Record in Web of Science</v>
      </c>
    </row>
    <row r="974" spans="1:72" x14ac:dyDescent="0.15">
      <c r="A974" t="s">
        <v>72</v>
      </c>
      <c r="B974" t="s">
        <v>18000</v>
      </c>
      <c r="C974" t="s">
        <v>74</v>
      </c>
      <c r="D974" t="s">
        <v>74</v>
      </c>
      <c r="E974" t="s">
        <v>74</v>
      </c>
      <c r="F974" t="s">
        <v>18001</v>
      </c>
      <c r="G974" t="s">
        <v>74</v>
      </c>
      <c r="H974" t="s">
        <v>74</v>
      </c>
      <c r="I974" t="s">
        <v>18002</v>
      </c>
      <c r="J974" t="s">
        <v>13289</v>
      </c>
      <c r="K974" t="s">
        <v>74</v>
      </c>
      <c r="L974" t="s">
        <v>74</v>
      </c>
      <c r="M974" t="s">
        <v>78</v>
      </c>
      <c r="N974" t="s">
        <v>338</v>
      </c>
      <c r="O974" t="s">
        <v>74</v>
      </c>
      <c r="P974" t="s">
        <v>74</v>
      </c>
      <c r="Q974" t="s">
        <v>74</v>
      </c>
      <c r="R974" t="s">
        <v>74</v>
      </c>
      <c r="S974" t="s">
        <v>74</v>
      </c>
      <c r="T974" t="s">
        <v>74</v>
      </c>
      <c r="U974" t="s">
        <v>18003</v>
      </c>
      <c r="V974" t="s">
        <v>18004</v>
      </c>
      <c r="W974" t="s">
        <v>18005</v>
      </c>
      <c r="X974" t="s">
        <v>18006</v>
      </c>
      <c r="Y974" t="s">
        <v>18007</v>
      </c>
      <c r="Z974" t="s">
        <v>18008</v>
      </c>
      <c r="AA974" t="s">
        <v>18009</v>
      </c>
      <c r="AB974" t="s">
        <v>18010</v>
      </c>
      <c r="AC974" t="s">
        <v>74</v>
      </c>
      <c r="AD974" t="s">
        <v>74</v>
      </c>
      <c r="AE974" t="s">
        <v>74</v>
      </c>
      <c r="AF974" t="s">
        <v>74</v>
      </c>
      <c r="AG974">
        <v>43</v>
      </c>
      <c r="AH974">
        <v>0</v>
      </c>
      <c r="AI974">
        <v>0</v>
      </c>
      <c r="AJ974">
        <v>0</v>
      </c>
      <c r="AK974">
        <v>0</v>
      </c>
      <c r="AL974" t="s">
        <v>87</v>
      </c>
      <c r="AM974" t="s">
        <v>88</v>
      </c>
      <c r="AN974" t="s">
        <v>89</v>
      </c>
      <c r="AO974" t="s">
        <v>13299</v>
      </c>
      <c r="AP974" t="s">
        <v>74</v>
      </c>
      <c r="AQ974" t="s">
        <v>74</v>
      </c>
      <c r="AR974" t="s">
        <v>13300</v>
      </c>
      <c r="AS974" t="s">
        <v>13301</v>
      </c>
      <c r="AT974" t="s">
        <v>17779</v>
      </c>
      <c r="AU974">
        <v>2023</v>
      </c>
      <c r="AV974" t="s">
        <v>74</v>
      </c>
      <c r="AW974" t="s">
        <v>74</v>
      </c>
      <c r="AX974" t="s">
        <v>74</v>
      </c>
      <c r="AY974" t="s">
        <v>74</v>
      </c>
      <c r="AZ974" t="s">
        <v>74</v>
      </c>
      <c r="BA974" t="s">
        <v>74</v>
      </c>
      <c r="BB974" t="s">
        <v>74</v>
      </c>
      <c r="BC974" t="s">
        <v>74</v>
      </c>
      <c r="BD974" t="s">
        <v>74</v>
      </c>
      <c r="BE974" t="s">
        <v>18011</v>
      </c>
      <c r="BF974" t="str">
        <f>HYPERLINK("http://dx.doi.org/10.1002/acn3.51856","http://dx.doi.org/10.1002/acn3.51856")</f>
        <v>http://dx.doi.org/10.1002/acn3.51856</v>
      </c>
      <c r="BG974" t="s">
        <v>74</v>
      </c>
      <c r="BH974" t="s">
        <v>16585</v>
      </c>
      <c r="BI974">
        <v>11</v>
      </c>
      <c r="BJ974" t="s">
        <v>1670</v>
      </c>
      <c r="BK974" t="s">
        <v>119</v>
      </c>
      <c r="BL974" t="s">
        <v>1562</v>
      </c>
      <c r="BM974" t="s">
        <v>18012</v>
      </c>
      <c r="BN974">
        <v>37496179</v>
      </c>
      <c r="BO974" t="s">
        <v>234</v>
      </c>
      <c r="BP974" t="s">
        <v>74</v>
      </c>
      <c r="BQ974" t="s">
        <v>74</v>
      </c>
      <c r="BR974" t="s">
        <v>99</v>
      </c>
      <c r="BS974" t="s">
        <v>18013</v>
      </c>
      <c r="BT974" t="str">
        <f>HYPERLINK("https%3A%2F%2Fwww.webofscience.com%2Fwos%2Fwoscc%2Ffull-record%2FWOS:001037638100001","View Full Record in Web of Science")</f>
        <v>View Full Record in Web of Science</v>
      </c>
    </row>
    <row r="975" spans="1:72" x14ac:dyDescent="0.15">
      <c r="A975" t="s">
        <v>72</v>
      </c>
      <c r="B975" t="s">
        <v>18014</v>
      </c>
      <c r="C975" t="s">
        <v>74</v>
      </c>
      <c r="D975" t="s">
        <v>74</v>
      </c>
      <c r="E975" t="s">
        <v>74</v>
      </c>
      <c r="F975" t="s">
        <v>18015</v>
      </c>
      <c r="G975" t="s">
        <v>74</v>
      </c>
      <c r="H975" t="s">
        <v>74</v>
      </c>
      <c r="I975" t="s">
        <v>18016</v>
      </c>
      <c r="J975" t="s">
        <v>5957</v>
      </c>
      <c r="K975" t="s">
        <v>74</v>
      </c>
      <c r="L975" t="s">
        <v>74</v>
      </c>
      <c r="M975" t="s">
        <v>78</v>
      </c>
      <c r="N975" t="s">
        <v>338</v>
      </c>
      <c r="O975" t="s">
        <v>74</v>
      </c>
      <c r="P975" t="s">
        <v>74</v>
      </c>
      <c r="Q975" t="s">
        <v>74</v>
      </c>
      <c r="R975" t="s">
        <v>74</v>
      </c>
      <c r="S975" t="s">
        <v>74</v>
      </c>
      <c r="T975" t="s">
        <v>18017</v>
      </c>
      <c r="U975" t="s">
        <v>18018</v>
      </c>
      <c r="V975" t="s">
        <v>18019</v>
      </c>
      <c r="W975" t="s">
        <v>18020</v>
      </c>
      <c r="X975" t="s">
        <v>74</v>
      </c>
      <c r="Y975" t="s">
        <v>18021</v>
      </c>
      <c r="Z975" t="s">
        <v>18022</v>
      </c>
      <c r="AA975" t="s">
        <v>74</v>
      </c>
      <c r="AB975" t="s">
        <v>18023</v>
      </c>
      <c r="AC975" t="s">
        <v>18024</v>
      </c>
      <c r="AD975" t="s">
        <v>18025</v>
      </c>
      <c r="AE975" t="s">
        <v>18026</v>
      </c>
      <c r="AF975" t="s">
        <v>74</v>
      </c>
      <c r="AG975">
        <v>38</v>
      </c>
      <c r="AH975">
        <v>0</v>
      </c>
      <c r="AI975">
        <v>0</v>
      </c>
      <c r="AJ975">
        <v>2</v>
      </c>
      <c r="AK975">
        <v>2</v>
      </c>
      <c r="AL975" t="s">
        <v>426</v>
      </c>
      <c r="AM975" t="s">
        <v>427</v>
      </c>
      <c r="AN975" t="s">
        <v>428</v>
      </c>
      <c r="AO975" t="s">
        <v>5967</v>
      </c>
      <c r="AP975" t="s">
        <v>5968</v>
      </c>
      <c r="AQ975" t="s">
        <v>74</v>
      </c>
      <c r="AR975" t="s">
        <v>5957</v>
      </c>
      <c r="AS975" t="s">
        <v>5969</v>
      </c>
      <c r="AT975" t="s">
        <v>17779</v>
      </c>
      <c r="AU975">
        <v>2023</v>
      </c>
      <c r="AV975" t="s">
        <v>74</v>
      </c>
      <c r="AW975" t="s">
        <v>74</v>
      </c>
      <c r="AX975" t="s">
        <v>74</v>
      </c>
      <c r="AY975" t="s">
        <v>74</v>
      </c>
      <c r="AZ975" t="s">
        <v>74</v>
      </c>
      <c r="BA975" t="s">
        <v>74</v>
      </c>
      <c r="BB975" t="s">
        <v>74</v>
      </c>
      <c r="BC975" t="s">
        <v>74</v>
      </c>
      <c r="BD975" t="s">
        <v>74</v>
      </c>
      <c r="BE975" t="s">
        <v>18027</v>
      </c>
      <c r="BF975" t="str">
        <f>HYPERLINK("http://dx.doi.org/10.1002/cctc.202300536","http://dx.doi.org/10.1002/cctc.202300536")</f>
        <v>http://dx.doi.org/10.1002/cctc.202300536</v>
      </c>
      <c r="BG975" t="s">
        <v>74</v>
      </c>
      <c r="BH975" t="s">
        <v>16585</v>
      </c>
      <c r="BI975">
        <v>12</v>
      </c>
      <c r="BJ975" t="s">
        <v>5972</v>
      </c>
      <c r="BK975" t="s">
        <v>119</v>
      </c>
      <c r="BL975" t="s">
        <v>524</v>
      </c>
      <c r="BM975" t="s">
        <v>18028</v>
      </c>
      <c r="BN975" t="s">
        <v>74</v>
      </c>
      <c r="BO975" t="s">
        <v>122</v>
      </c>
      <c r="BP975" t="s">
        <v>74</v>
      </c>
      <c r="BQ975" t="s">
        <v>74</v>
      </c>
      <c r="BR975" t="s">
        <v>99</v>
      </c>
      <c r="BS975" t="s">
        <v>18029</v>
      </c>
      <c r="BT975" t="str">
        <f>HYPERLINK("https%3A%2F%2Fwww.webofscience.com%2Fwos%2Fwoscc%2Ffull-record%2FWOS:001035743800001","View Full Record in Web of Science")</f>
        <v>View Full Record in Web of Science</v>
      </c>
    </row>
    <row r="976" spans="1:72" x14ac:dyDescent="0.15">
      <c r="A976" t="s">
        <v>72</v>
      </c>
      <c r="B976" t="s">
        <v>18030</v>
      </c>
      <c r="C976" t="s">
        <v>74</v>
      </c>
      <c r="D976" t="s">
        <v>74</v>
      </c>
      <c r="E976" t="s">
        <v>74</v>
      </c>
      <c r="F976" t="s">
        <v>18031</v>
      </c>
      <c r="G976" t="s">
        <v>74</v>
      </c>
      <c r="H976" t="s">
        <v>74</v>
      </c>
      <c r="I976" t="s">
        <v>18032</v>
      </c>
      <c r="J976" t="s">
        <v>10575</v>
      </c>
      <c r="K976" t="s">
        <v>74</v>
      </c>
      <c r="L976" t="s">
        <v>74</v>
      </c>
      <c r="M976" t="s">
        <v>78</v>
      </c>
      <c r="N976" t="s">
        <v>594</v>
      </c>
      <c r="O976" t="s">
        <v>74</v>
      </c>
      <c r="P976" t="s">
        <v>74</v>
      </c>
      <c r="Q976" t="s">
        <v>74</v>
      </c>
      <c r="R976" t="s">
        <v>74</v>
      </c>
      <c r="S976" t="s">
        <v>74</v>
      </c>
      <c r="T976" t="s">
        <v>18033</v>
      </c>
      <c r="U976" t="s">
        <v>18034</v>
      </c>
      <c r="V976" t="s">
        <v>18035</v>
      </c>
      <c r="W976" t="s">
        <v>18036</v>
      </c>
      <c r="X976" t="s">
        <v>18037</v>
      </c>
      <c r="Y976" t="s">
        <v>18038</v>
      </c>
      <c r="Z976" t="s">
        <v>18039</v>
      </c>
      <c r="AA976" t="s">
        <v>18040</v>
      </c>
      <c r="AB976" t="s">
        <v>18041</v>
      </c>
      <c r="AC976" t="s">
        <v>74</v>
      </c>
      <c r="AD976" t="s">
        <v>74</v>
      </c>
      <c r="AE976" t="s">
        <v>74</v>
      </c>
      <c r="AF976" t="s">
        <v>74</v>
      </c>
      <c r="AG976">
        <v>44</v>
      </c>
      <c r="AH976">
        <v>0</v>
      </c>
      <c r="AI976">
        <v>0</v>
      </c>
      <c r="AJ976">
        <v>0</v>
      </c>
      <c r="AK976">
        <v>0</v>
      </c>
      <c r="AL976" t="s">
        <v>87</v>
      </c>
      <c r="AM976" t="s">
        <v>88</v>
      </c>
      <c r="AN976" t="s">
        <v>89</v>
      </c>
      <c r="AO976" t="s">
        <v>10583</v>
      </c>
      <c r="AP976" t="s">
        <v>10584</v>
      </c>
      <c r="AQ976" t="s">
        <v>74</v>
      </c>
      <c r="AR976" t="s">
        <v>10585</v>
      </c>
      <c r="AS976" t="s">
        <v>10586</v>
      </c>
      <c r="AT976" t="s">
        <v>17779</v>
      </c>
      <c r="AU976">
        <v>2023</v>
      </c>
      <c r="AV976" t="s">
        <v>74</v>
      </c>
      <c r="AW976" t="s">
        <v>74</v>
      </c>
      <c r="AX976" t="s">
        <v>74</v>
      </c>
      <c r="AY976" t="s">
        <v>74</v>
      </c>
      <c r="AZ976" t="s">
        <v>74</v>
      </c>
      <c r="BA976" t="s">
        <v>74</v>
      </c>
      <c r="BB976" t="s">
        <v>74</v>
      </c>
      <c r="BC976" t="s">
        <v>74</v>
      </c>
      <c r="BD976" t="s">
        <v>74</v>
      </c>
      <c r="BE976" t="s">
        <v>18042</v>
      </c>
      <c r="BF976" t="str">
        <f>HYPERLINK("http://dx.doi.org/10.1002/ptr.7950","http://dx.doi.org/10.1002/ptr.7950")</f>
        <v>http://dx.doi.org/10.1002/ptr.7950</v>
      </c>
      <c r="BG976" t="s">
        <v>74</v>
      </c>
      <c r="BH976" t="s">
        <v>16585</v>
      </c>
      <c r="BI976">
        <v>15</v>
      </c>
      <c r="BJ976" t="s">
        <v>9982</v>
      </c>
      <c r="BK976" t="s">
        <v>119</v>
      </c>
      <c r="BL976" t="s">
        <v>299</v>
      </c>
      <c r="BM976" t="s">
        <v>18043</v>
      </c>
      <c r="BN976">
        <v>37495266</v>
      </c>
      <c r="BO976" t="s">
        <v>74</v>
      </c>
      <c r="BP976" t="s">
        <v>74</v>
      </c>
      <c r="BQ976" t="s">
        <v>74</v>
      </c>
      <c r="BR976" t="s">
        <v>99</v>
      </c>
      <c r="BS976" t="s">
        <v>18044</v>
      </c>
      <c r="BT976" t="str">
        <f>HYPERLINK("https%3A%2F%2Fwww.webofscience.com%2Fwos%2Fwoscc%2Ffull-record%2FWOS:001036069700001","View Full Record in Web of Science")</f>
        <v>View Full Record in Web of Science</v>
      </c>
    </row>
    <row r="977" spans="1:72" x14ac:dyDescent="0.15">
      <c r="A977" t="s">
        <v>72</v>
      </c>
      <c r="B977" t="s">
        <v>18045</v>
      </c>
      <c r="C977" t="s">
        <v>74</v>
      </c>
      <c r="D977" t="s">
        <v>74</v>
      </c>
      <c r="E977" t="s">
        <v>74</v>
      </c>
      <c r="F977" t="s">
        <v>18046</v>
      </c>
      <c r="G977" t="s">
        <v>74</v>
      </c>
      <c r="H977" t="s">
        <v>74</v>
      </c>
      <c r="I977" t="s">
        <v>18047</v>
      </c>
      <c r="J977" t="s">
        <v>1773</v>
      </c>
      <c r="K977" t="s">
        <v>74</v>
      </c>
      <c r="L977" t="s">
        <v>74</v>
      </c>
      <c r="M977" t="s">
        <v>78</v>
      </c>
      <c r="N977" t="s">
        <v>594</v>
      </c>
      <c r="O977" t="s">
        <v>74</v>
      </c>
      <c r="P977" t="s">
        <v>74</v>
      </c>
      <c r="Q977" t="s">
        <v>74</v>
      </c>
      <c r="R977" t="s">
        <v>74</v>
      </c>
      <c r="S977" t="s">
        <v>74</v>
      </c>
      <c r="T977" t="s">
        <v>18048</v>
      </c>
      <c r="U977" t="s">
        <v>18049</v>
      </c>
      <c r="V977" t="s">
        <v>18050</v>
      </c>
      <c r="W977" t="s">
        <v>18051</v>
      </c>
      <c r="X977" t="s">
        <v>74</v>
      </c>
      <c r="Y977" t="s">
        <v>18052</v>
      </c>
      <c r="Z977" t="s">
        <v>18053</v>
      </c>
      <c r="AA977" t="s">
        <v>18054</v>
      </c>
      <c r="AB977" t="s">
        <v>18055</v>
      </c>
      <c r="AC977" t="s">
        <v>18056</v>
      </c>
      <c r="AD977" t="s">
        <v>18057</v>
      </c>
      <c r="AE977" t="s">
        <v>18058</v>
      </c>
      <c r="AF977" t="s">
        <v>74</v>
      </c>
      <c r="AG977">
        <v>270</v>
      </c>
      <c r="AH977">
        <v>2</v>
      </c>
      <c r="AI977">
        <v>2</v>
      </c>
      <c r="AJ977">
        <v>30</v>
      </c>
      <c r="AK977">
        <v>30</v>
      </c>
      <c r="AL977" t="s">
        <v>426</v>
      </c>
      <c r="AM977" t="s">
        <v>427</v>
      </c>
      <c r="AN977" t="s">
        <v>428</v>
      </c>
      <c r="AO977" t="s">
        <v>1785</v>
      </c>
      <c r="AP977" t="s">
        <v>1786</v>
      </c>
      <c r="AQ977" t="s">
        <v>74</v>
      </c>
      <c r="AR977" t="s">
        <v>1787</v>
      </c>
      <c r="AS977" t="s">
        <v>1788</v>
      </c>
      <c r="AT977" t="s">
        <v>17779</v>
      </c>
      <c r="AU977">
        <v>2023</v>
      </c>
      <c r="AV977" t="s">
        <v>74</v>
      </c>
      <c r="AW977" t="s">
        <v>74</v>
      </c>
      <c r="AX977" t="s">
        <v>74</v>
      </c>
      <c r="AY977" t="s">
        <v>74</v>
      </c>
      <c r="AZ977" t="s">
        <v>74</v>
      </c>
      <c r="BA977" t="s">
        <v>74</v>
      </c>
      <c r="BB977" t="s">
        <v>74</v>
      </c>
      <c r="BC977" t="s">
        <v>74</v>
      </c>
      <c r="BD977" t="s">
        <v>74</v>
      </c>
      <c r="BE977" t="s">
        <v>18059</v>
      </c>
      <c r="BF977" t="str">
        <f>HYPERLINK("http://dx.doi.org/10.1002/adma.202302207","http://dx.doi.org/10.1002/adma.202302207")</f>
        <v>http://dx.doi.org/10.1002/adma.202302207</v>
      </c>
      <c r="BG977" t="s">
        <v>74</v>
      </c>
      <c r="BH977" t="s">
        <v>16585</v>
      </c>
      <c r="BI977">
        <v>28</v>
      </c>
      <c r="BJ977" t="s">
        <v>609</v>
      </c>
      <c r="BK977" t="s">
        <v>119</v>
      </c>
      <c r="BL977" t="s">
        <v>610</v>
      </c>
      <c r="BM977" t="s">
        <v>18060</v>
      </c>
      <c r="BN977">
        <v>37151102</v>
      </c>
      <c r="BO977" t="s">
        <v>122</v>
      </c>
      <c r="BP977" t="s">
        <v>74</v>
      </c>
      <c r="BQ977" t="s">
        <v>74</v>
      </c>
      <c r="BR977" t="s">
        <v>99</v>
      </c>
      <c r="BS977" t="s">
        <v>18061</v>
      </c>
      <c r="BT977" t="str">
        <f>HYPERLINK("https%3A%2F%2Fwww.webofscience.com%2Fwos%2Fwoscc%2Ffull-record%2FWOS:001036330600001","View Full Record in Web of Science")</f>
        <v>View Full Record in Web of Science</v>
      </c>
    </row>
    <row r="978" spans="1:72" x14ac:dyDescent="0.15">
      <c r="A978" t="s">
        <v>72</v>
      </c>
      <c r="B978" t="s">
        <v>18062</v>
      </c>
      <c r="C978" t="s">
        <v>74</v>
      </c>
      <c r="D978" t="s">
        <v>74</v>
      </c>
      <c r="E978" t="s">
        <v>74</v>
      </c>
      <c r="F978" t="s">
        <v>18063</v>
      </c>
      <c r="G978" t="s">
        <v>74</v>
      </c>
      <c r="H978" t="s">
        <v>74</v>
      </c>
      <c r="I978" t="s">
        <v>18064</v>
      </c>
      <c r="J978" t="s">
        <v>18065</v>
      </c>
      <c r="K978" t="s">
        <v>74</v>
      </c>
      <c r="L978" t="s">
        <v>74</v>
      </c>
      <c r="M978" t="s">
        <v>78</v>
      </c>
      <c r="N978" t="s">
        <v>594</v>
      </c>
      <c r="O978" t="s">
        <v>74</v>
      </c>
      <c r="P978" t="s">
        <v>74</v>
      </c>
      <c r="Q978" t="s">
        <v>74</v>
      </c>
      <c r="R978" t="s">
        <v>74</v>
      </c>
      <c r="S978" t="s">
        <v>74</v>
      </c>
      <c r="T978" t="s">
        <v>18066</v>
      </c>
      <c r="U978" t="s">
        <v>18067</v>
      </c>
      <c r="V978" t="s">
        <v>18068</v>
      </c>
      <c r="W978" t="s">
        <v>18069</v>
      </c>
      <c r="X978" t="s">
        <v>18070</v>
      </c>
      <c r="Y978" t="s">
        <v>18071</v>
      </c>
      <c r="Z978" t="s">
        <v>18072</v>
      </c>
      <c r="AA978" t="s">
        <v>18073</v>
      </c>
      <c r="AB978" t="s">
        <v>18074</v>
      </c>
      <c r="AC978" t="s">
        <v>18075</v>
      </c>
      <c r="AD978" t="s">
        <v>18076</v>
      </c>
      <c r="AE978" t="s">
        <v>18077</v>
      </c>
      <c r="AF978" t="s">
        <v>74</v>
      </c>
      <c r="AG978">
        <v>86</v>
      </c>
      <c r="AH978">
        <v>0</v>
      </c>
      <c r="AI978">
        <v>0</v>
      </c>
      <c r="AJ978">
        <v>1</v>
      </c>
      <c r="AK978">
        <v>1</v>
      </c>
      <c r="AL978" t="s">
        <v>87</v>
      </c>
      <c r="AM978" t="s">
        <v>88</v>
      </c>
      <c r="AN978" t="s">
        <v>89</v>
      </c>
      <c r="AO978" t="s">
        <v>18078</v>
      </c>
      <c r="AP978" t="s">
        <v>18079</v>
      </c>
      <c r="AQ978" t="s">
        <v>74</v>
      </c>
      <c r="AR978" t="s">
        <v>18080</v>
      </c>
      <c r="AS978" t="s">
        <v>18081</v>
      </c>
      <c r="AT978" t="s">
        <v>17779</v>
      </c>
      <c r="AU978">
        <v>2023</v>
      </c>
      <c r="AV978" t="s">
        <v>74</v>
      </c>
      <c r="AW978" t="s">
        <v>74</v>
      </c>
      <c r="AX978" t="s">
        <v>74</v>
      </c>
      <c r="AY978" t="s">
        <v>74</v>
      </c>
      <c r="AZ978" t="s">
        <v>74</v>
      </c>
      <c r="BA978" t="s">
        <v>74</v>
      </c>
      <c r="BB978" t="s">
        <v>74</v>
      </c>
      <c r="BC978" t="s">
        <v>74</v>
      </c>
      <c r="BD978" t="s">
        <v>74</v>
      </c>
      <c r="BE978" t="s">
        <v>18082</v>
      </c>
      <c r="BF978" t="str">
        <f>HYPERLINK("http://dx.doi.org/10.1002/alz.13410","http://dx.doi.org/10.1002/alz.13410")</f>
        <v>http://dx.doi.org/10.1002/alz.13410</v>
      </c>
      <c r="BG978" t="s">
        <v>74</v>
      </c>
      <c r="BH978" t="s">
        <v>16585</v>
      </c>
      <c r="BI978">
        <v>22</v>
      </c>
      <c r="BJ978" t="s">
        <v>1561</v>
      </c>
      <c r="BK978" t="s">
        <v>119</v>
      </c>
      <c r="BL978" t="s">
        <v>1562</v>
      </c>
      <c r="BM978" t="s">
        <v>18083</v>
      </c>
      <c r="BN978">
        <v>37496313</v>
      </c>
      <c r="BO978" t="s">
        <v>122</v>
      </c>
      <c r="BP978" t="s">
        <v>74</v>
      </c>
      <c r="BQ978" t="s">
        <v>74</v>
      </c>
      <c r="BR978" t="s">
        <v>99</v>
      </c>
      <c r="BS978" t="s">
        <v>18084</v>
      </c>
      <c r="BT978" t="str">
        <f>HYPERLINK("https%3A%2F%2Fwww.webofscience.com%2Fwos%2Fwoscc%2Ffull-record%2FWOS:001036337200001","View Full Record in Web of Science")</f>
        <v>View Full Record in Web of Science</v>
      </c>
    </row>
    <row r="979" spans="1:72" x14ac:dyDescent="0.15">
      <c r="A979" t="s">
        <v>72</v>
      </c>
      <c r="B979" t="s">
        <v>18085</v>
      </c>
      <c r="C979" t="s">
        <v>74</v>
      </c>
      <c r="D979" t="s">
        <v>74</v>
      </c>
      <c r="E979" t="s">
        <v>74</v>
      </c>
      <c r="F979" t="s">
        <v>18086</v>
      </c>
      <c r="G979" t="s">
        <v>74</v>
      </c>
      <c r="H979" t="s">
        <v>74</v>
      </c>
      <c r="I979" t="s">
        <v>18087</v>
      </c>
      <c r="J979" t="s">
        <v>593</v>
      </c>
      <c r="K979" t="s">
        <v>74</v>
      </c>
      <c r="L979" t="s">
        <v>74</v>
      </c>
      <c r="M979" t="s">
        <v>78</v>
      </c>
      <c r="N979" t="s">
        <v>338</v>
      </c>
      <c r="O979" t="s">
        <v>74</v>
      </c>
      <c r="P979" t="s">
        <v>74</v>
      </c>
      <c r="Q979" t="s">
        <v>74</v>
      </c>
      <c r="R979" t="s">
        <v>74</v>
      </c>
      <c r="S979" t="s">
        <v>74</v>
      </c>
      <c r="T979" t="s">
        <v>18088</v>
      </c>
      <c r="U979" t="s">
        <v>18089</v>
      </c>
      <c r="V979" t="s">
        <v>18090</v>
      </c>
      <c r="W979" t="s">
        <v>18091</v>
      </c>
      <c r="X979" t="s">
        <v>18092</v>
      </c>
      <c r="Y979" t="s">
        <v>18093</v>
      </c>
      <c r="Z979" t="s">
        <v>18094</v>
      </c>
      <c r="AA979" t="s">
        <v>74</v>
      </c>
      <c r="AB979" t="s">
        <v>18095</v>
      </c>
      <c r="AC979" t="s">
        <v>18096</v>
      </c>
      <c r="AD979" t="s">
        <v>18097</v>
      </c>
      <c r="AE979" t="s">
        <v>18098</v>
      </c>
      <c r="AF979" t="s">
        <v>74</v>
      </c>
      <c r="AG979">
        <v>39</v>
      </c>
      <c r="AH979">
        <v>0</v>
      </c>
      <c r="AI979">
        <v>0</v>
      </c>
      <c r="AJ979">
        <v>21</v>
      </c>
      <c r="AK979">
        <v>21</v>
      </c>
      <c r="AL979" t="s">
        <v>426</v>
      </c>
      <c r="AM979" t="s">
        <v>427</v>
      </c>
      <c r="AN979" t="s">
        <v>428</v>
      </c>
      <c r="AO979" t="s">
        <v>605</v>
      </c>
      <c r="AP979" t="s">
        <v>606</v>
      </c>
      <c r="AQ979" t="s">
        <v>74</v>
      </c>
      <c r="AR979" t="s">
        <v>593</v>
      </c>
      <c r="AS979" t="s">
        <v>607</v>
      </c>
      <c r="AT979" t="s">
        <v>17779</v>
      </c>
      <c r="AU979">
        <v>2023</v>
      </c>
      <c r="AV979" t="s">
        <v>74</v>
      </c>
      <c r="AW979" t="s">
        <v>74</v>
      </c>
      <c r="AX979" t="s">
        <v>74</v>
      </c>
      <c r="AY979" t="s">
        <v>74</v>
      </c>
      <c r="AZ979" t="s">
        <v>74</v>
      </c>
      <c r="BA979" t="s">
        <v>74</v>
      </c>
      <c r="BB979" t="s">
        <v>74</v>
      </c>
      <c r="BC979" t="s">
        <v>74</v>
      </c>
      <c r="BD979" t="s">
        <v>74</v>
      </c>
      <c r="BE979" t="s">
        <v>18099</v>
      </c>
      <c r="BF979" t="str">
        <f>HYPERLINK("http://dx.doi.org/10.1002/smll.202303715","http://dx.doi.org/10.1002/smll.202303715")</f>
        <v>http://dx.doi.org/10.1002/smll.202303715</v>
      </c>
      <c r="BG979" t="s">
        <v>74</v>
      </c>
      <c r="BH979" t="s">
        <v>16585</v>
      </c>
      <c r="BI979">
        <v>8</v>
      </c>
      <c r="BJ979" t="s">
        <v>609</v>
      </c>
      <c r="BK979" t="s">
        <v>119</v>
      </c>
      <c r="BL979" t="s">
        <v>610</v>
      </c>
      <c r="BM979" t="s">
        <v>18100</v>
      </c>
      <c r="BN979">
        <v>37496044</v>
      </c>
      <c r="BO979" t="s">
        <v>74</v>
      </c>
      <c r="BP979" t="s">
        <v>74</v>
      </c>
      <c r="BQ979" t="s">
        <v>74</v>
      </c>
      <c r="BR979" t="s">
        <v>99</v>
      </c>
      <c r="BS979" t="s">
        <v>18101</v>
      </c>
      <c r="BT979" t="str">
        <f>HYPERLINK("https%3A%2F%2Fwww.webofscience.com%2Fwos%2Fwoscc%2Ffull-record%2FWOS:001036318900001","View Full Record in Web of Science")</f>
        <v>View Full Record in Web of Science</v>
      </c>
    </row>
    <row r="980" spans="1:72" x14ac:dyDescent="0.15">
      <c r="A980" t="s">
        <v>72</v>
      </c>
      <c r="B980" t="s">
        <v>18102</v>
      </c>
      <c r="C980" t="s">
        <v>74</v>
      </c>
      <c r="D980" t="s">
        <v>74</v>
      </c>
      <c r="E980" t="s">
        <v>74</v>
      </c>
      <c r="F980" t="s">
        <v>18103</v>
      </c>
      <c r="G980" t="s">
        <v>74</v>
      </c>
      <c r="H980" t="s">
        <v>74</v>
      </c>
      <c r="I980" t="s">
        <v>18104</v>
      </c>
      <c r="J980" t="s">
        <v>9656</v>
      </c>
      <c r="K980" t="s">
        <v>74</v>
      </c>
      <c r="L980" t="s">
        <v>74</v>
      </c>
      <c r="M980" t="s">
        <v>78</v>
      </c>
      <c r="N980" t="s">
        <v>79</v>
      </c>
      <c r="O980" t="s">
        <v>74</v>
      </c>
      <c r="P980" t="s">
        <v>74</v>
      </c>
      <c r="Q980" t="s">
        <v>74</v>
      </c>
      <c r="R980" t="s">
        <v>74</v>
      </c>
      <c r="S980" t="s">
        <v>74</v>
      </c>
      <c r="T980" t="s">
        <v>18105</v>
      </c>
      <c r="U980" t="s">
        <v>18106</v>
      </c>
      <c r="V980" t="s">
        <v>18107</v>
      </c>
      <c r="W980" t="s">
        <v>18108</v>
      </c>
      <c r="X980" t="s">
        <v>18109</v>
      </c>
      <c r="Y980" t="s">
        <v>18110</v>
      </c>
      <c r="Z980" t="s">
        <v>18111</v>
      </c>
      <c r="AA980" t="s">
        <v>18112</v>
      </c>
      <c r="AB980" t="s">
        <v>18113</v>
      </c>
      <c r="AC980" t="s">
        <v>18114</v>
      </c>
      <c r="AD980" t="s">
        <v>18115</v>
      </c>
      <c r="AE980" t="s">
        <v>18116</v>
      </c>
      <c r="AF980" t="s">
        <v>74</v>
      </c>
      <c r="AG980">
        <v>58</v>
      </c>
      <c r="AH980">
        <v>0</v>
      </c>
      <c r="AI980">
        <v>0</v>
      </c>
      <c r="AJ980">
        <v>3</v>
      </c>
      <c r="AK980">
        <v>3</v>
      </c>
      <c r="AL980" t="s">
        <v>87</v>
      </c>
      <c r="AM980" t="s">
        <v>88</v>
      </c>
      <c r="AN980" t="s">
        <v>89</v>
      </c>
      <c r="AO980" t="s">
        <v>9663</v>
      </c>
      <c r="AP980" t="s">
        <v>74</v>
      </c>
      <c r="AQ980" t="s">
        <v>74</v>
      </c>
      <c r="AR980" t="s">
        <v>9656</v>
      </c>
      <c r="AS980" t="s">
        <v>9664</v>
      </c>
      <c r="AT980" t="s">
        <v>6725</v>
      </c>
      <c r="AU980">
        <v>2023</v>
      </c>
      <c r="AV980">
        <v>13</v>
      </c>
      <c r="AW980">
        <v>9</v>
      </c>
      <c r="AX980" t="s">
        <v>74</v>
      </c>
      <c r="AY980" t="s">
        <v>74</v>
      </c>
      <c r="AZ980" t="s">
        <v>9665</v>
      </c>
      <c r="BA980" t="s">
        <v>74</v>
      </c>
      <c r="BB980">
        <v>1772</v>
      </c>
      <c r="BC980">
        <v>1788</v>
      </c>
      <c r="BD980" t="s">
        <v>74</v>
      </c>
      <c r="BE980" t="s">
        <v>18117</v>
      </c>
      <c r="BF980" t="str">
        <f>HYPERLINK("http://dx.doi.org/10.1002/2211-5463.13671","http://dx.doi.org/10.1002/2211-5463.13671")</f>
        <v>http://dx.doi.org/10.1002/2211-5463.13671</v>
      </c>
      <c r="BG980" t="s">
        <v>74</v>
      </c>
      <c r="BH980" t="s">
        <v>16585</v>
      </c>
      <c r="BI980">
        <v>17</v>
      </c>
      <c r="BJ980" t="s">
        <v>212</v>
      </c>
      <c r="BK980" t="s">
        <v>119</v>
      </c>
      <c r="BL980" t="s">
        <v>212</v>
      </c>
      <c r="BM980" t="s">
        <v>9667</v>
      </c>
      <c r="BN980">
        <v>37410396</v>
      </c>
      <c r="BO980" t="s">
        <v>234</v>
      </c>
      <c r="BP980" t="s">
        <v>74</v>
      </c>
      <c r="BQ980" t="s">
        <v>74</v>
      </c>
      <c r="BR980" t="s">
        <v>99</v>
      </c>
      <c r="BS980" t="s">
        <v>18118</v>
      </c>
      <c r="BT980" t="str">
        <f>HYPERLINK("https%3A%2F%2Fwww.webofscience.com%2Fwos%2Fwoscc%2Ffull-record%2FWOS:001037392400001","View Full Record in Web of Science")</f>
        <v>View Full Record in Web of Science</v>
      </c>
    </row>
    <row r="981" spans="1:72" x14ac:dyDescent="0.15">
      <c r="A981" t="s">
        <v>72</v>
      </c>
      <c r="B981" t="s">
        <v>18119</v>
      </c>
      <c r="C981" t="s">
        <v>74</v>
      </c>
      <c r="D981" t="s">
        <v>74</v>
      </c>
      <c r="E981" t="s">
        <v>74</v>
      </c>
      <c r="F981" t="s">
        <v>18120</v>
      </c>
      <c r="G981" t="s">
        <v>74</v>
      </c>
      <c r="H981" t="s">
        <v>74</v>
      </c>
      <c r="I981" t="s">
        <v>18121</v>
      </c>
      <c r="J981" t="s">
        <v>639</v>
      </c>
      <c r="K981" t="s">
        <v>74</v>
      </c>
      <c r="L981" t="s">
        <v>74</v>
      </c>
      <c r="M981" t="s">
        <v>78</v>
      </c>
      <c r="N981" t="s">
        <v>338</v>
      </c>
      <c r="O981" t="s">
        <v>74</v>
      </c>
      <c r="P981" t="s">
        <v>74</v>
      </c>
      <c r="Q981" t="s">
        <v>74</v>
      </c>
      <c r="R981" t="s">
        <v>74</v>
      </c>
      <c r="S981" t="s">
        <v>74</v>
      </c>
      <c r="T981" t="s">
        <v>18122</v>
      </c>
      <c r="U981" t="s">
        <v>18123</v>
      </c>
      <c r="V981" t="s">
        <v>18124</v>
      </c>
      <c r="W981" t="s">
        <v>18125</v>
      </c>
      <c r="X981" t="s">
        <v>18126</v>
      </c>
      <c r="Y981" t="s">
        <v>18127</v>
      </c>
      <c r="Z981" t="s">
        <v>18128</v>
      </c>
      <c r="AA981" t="s">
        <v>74</v>
      </c>
      <c r="AB981" t="s">
        <v>74</v>
      </c>
      <c r="AC981" t="s">
        <v>18129</v>
      </c>
      <c r="AD981" t="s">
        <v>18130</v>
      </c>
      <c r="AE981" t="s">
        <v>18131</v>
      </c>
      <c r="AF981" t="s">
        <v>74</v>
      </c>
      <c r="AG981">
        <v>64</v>
      </c>
      <c r="AH981">
        <v>0</v>
      </c>
      <c r="AI981">
        <v>0</v>
      </c>
      <c r="AJ981">
        <v>6</v>
      </c>
      <c r="AK981">
        <v>6</v>
      </c>
      <c r="AL981" t="s">
        <v>87</v>
      </c>
      <c r="AM981" t="s">
        <v>88</v>
      </c>
      <c r="AN981" t="s">
        <v>89</v>
      </c>
      <c r="AO981" t="s">
        <v>650</v>
      </c>
      <c r="AP981" t="s">
        <v>651</v>
      </c>
      <c r="AQ981" t="s">
        <v>74</v>
      </c>
      <c r="AR981" t="s">
        <v>652</v>
      </c>
      <c r="AS981" t="s">
        <v>653</v>
      </c>
      <c r="AT981" t="s">
        <v>17779</v>
      </c>
      <c r="AU981">
        <v>2023</v>
      </c>
      <c r="AV981" t="s">
        <v>74</v>
      </c>
      <c r="AW981" t="s">
        <v>74</v>
      </c>
      <c r="AX981" t="s">
        <v>74</v>
      </c>
      <c r="AY981" t="s">
        <v>74</v>
      </c>
      <c r="AZ981" t="s">
        <v>74</v>
      </c>
      <c r="BA981" t="s">
        <v>74</v>
      </c>
      <c r="BB981" t="s">
        <v>74</v>
      </c>
      <c r="BC981" t="s">
        <v>74</v>
      </c>
      <c r="BD981" t="s">
        <v>74</v>
      </c>
      <c r="BE981" t="s">
        <v>18132</v>
      </c>
      <c r="BF981" t="str">
        <f>HYPERLINK("http://dx.doi.org/10.1111/jipb.13537","http://dx.doi.org/10.1111/jipb.13537")</f>
        <v>http://dx.doi.org/10.1111/jipb.13537</v>
      </c>
      <c r="BG981" t="s">
        <v>74</v>
      </c>
      <c r="BH981" t="s">
        <v>16585</v>
      </c>
      <c r="BI981">
        <v>18</v>
      </c>
      <c r="BJ981" t="s">
        <v>656</v>
      </c>
      <c r="BK981" t="s">
        <v>119</v>
      </c>
      <c r="BL981" t="s">
        <v>656</v>
      </c>
      <c r="BM981" t="s">
        <v>18133</v>
      </c>
      <c r="BN981">
        <v>37252889</v>
      </c>
      <c r="BO981" t="s">
        <v>74</v>
      </c>
      <c r="BP981" t="s">
        <v>74</v>
      </c>
      <c r="BQ981" t="s">
        <v>74</v>
      </c>
      <c r="BR981" t="s">
        <v>99</v>
      </c>
      <c r="BS981" t="s">
        <v>18134</v>
      </c>
      <c r="BT981" t="str">
        <f>HYPERLINK("https%3A%2F%2Fwww.webofscience.com%2Fwos%2Fwoscc%2Ffull-record%2FWOS:001035653200001","View Full Record in Web of Science")</f>
        <v>View Full Record in Web of Science</v>
      </c>
    </row>
    <row r="982" spans="1:72" x14ac:dyDescent="0.15">
      <c r="A982" t="s">
        <v>72</v>
      </c>
      <c r="B982" t="s">
        <v>18135</v>
      </c>
      <c r="C982" t="s">
        <v>74</v>
      </c>
      <c r="D982" t="s">
        <v>74</v>
      </c>
      <c r="E982" t="s">
        <v>74</v>
      </c>
      <c r="F982" t="s">
        <v>18136</v>
      </c>
      <c r="G982" t="s">
        <v>74</v>
      </c>
      <c r="H982" t="s">
        <v>74</v>
      </c>
      <c r="I982" t="s">
        <v>18137</v>
      </c>
      <c r="J982" t="s">
        <v>9731</v>
      </c>
      <c r="K982" t="s">
        <v>74</v>
      </c>
      <c r="L982" t="s">
        <v>74</v>
      </c>
      <c r="M982" t="s">
        <v>78</v>
      </c>
      <c r="N982" t="s">
        <v>338</v>
      </c>
      <c r="O982" t="s">
        <v>74</v>
      </c>
      <c r="P982" t="s">
        <v>74</v>
      </c>
      <c r="Q982" t="s">
        <v>74</v>
      </c>
      <c r="R982" t="s">
        <v>74</v>
      </c>
      <c r="S982" t="s">
        <v>74</v>
      </c>
      <c r="T982" t="s">
        <v>18138</v>
      </c>
      <c r="U982" t="s">
        <v>18139</v>
      </c>
      <c r="V982" t="s">
        <v>18140</v>
      </c>
      <c r="W982" t="s">
        <v>18141</v>
      </c>
      <c r="X982" t="s">
        <v>18142</v>
      </c>
      <c r="Y982" t="s">
        <v>18143</v>
      </c>
      <c r="Z982" t="s">
        <v>18144</v>
      </c>
      <c r="AA982" t="s">
        <v>74</v>
      </c>
      <c r="AB982" t="s">
        <v>18145</v>
      </c>
      <c r="AC982" t="s">
        <v>18146</v>
      </c>
      <c r="AD982" t="s">
        <v>18147</v>
      </c>
      <c r="AE982" t="s">
        <v>18148</v>
      </c>
      <c r="AF982" t="s">
        <v>74</v>
      </c>
      <c r="AG982">
        <v>48</v>
      </c>
      <c r="AH982">
        <v>0</v>
      </c>
      <c r="AI982">
        <v>0</v>
      </c>
      <c r="AJ982">
        <v>1</v>
      </c>
      <c r="AK982">
        <v>1</v>
      </c>
      <c r="AL982" t="s">
        <v>87</v>
      </c>
      <c r="AM982" t="s">
        <v>88</v>
      </c>
      <c r="AN982" t="s">
        <v>89</v>
      </c>
      <c r="AO982" t="s">
        <v>9741</v>
      </c>
      <c r="AP982" t="s">
        <v>9742</v>
      </c>
      <c r="AQ982" t="s">
        <v>74</v>
      </c>
      <c r="AR982" t="s">
        <v>9743</v>
      </c>
      <c r="AS982" t="s">
        <v>9744</v>
      </c>
      <c r="AT982" t="s">
        <v>17779</v>
      </c>
      <c r="AU982">
        <v>2023</v>
      </c>
      <c r="AV982" t="s">
        <v>74</v>
      </c>
      <c r="AW982" t="s">
        <v>74</v>
      </c>
      <c r="AX982" t="s">
        <v>74</v>
      </c>
      <c r="AY982" t="s">
        <v>74</v>
      </c>
      <c r="AZ982" t="s">
        <v>74</v>
      </c>
      <c r="BA982" t="s">
        <v>74</v>
      </c>
      <c r="BB982" t="s">
        <v>74</v>
      </c>
      <c r="BC982" t="s">
        <v>74</v>
      </c>
      <c r="BD982" t="s">
        <v>74</v>
      </c>
      <c r="BE982" t="s">
        <v>18149</v>
      </c>
      <c r="BF982" t="str">
        <f>HYPERLINK("http://dx.doi.org/10.1111/cid.13250","http://dx.doi.org/10.1111/cid.13250")</f>
        <v>http://dx.doi.org/10.1111/cid.13250</v>
      </c>
      <c r="BG982" t="s">
        <v>74</v>
      </c>
      <c r="BH982" t="s">
        <v>16585</v>
      </c>
      <c r="BI982">
        <v>11</v>
      </c>
      <c r="BJ982" t="s">
        <v>314</v>
      </c>
      <c r="BK982" t="s">
        <v>119</v>
      </c>
      <c r="BL982" t="s">
        <v>314</v>
      </c>
      <c r="BM982" t="s">
        <v>18150</v>
      </c>
      <c r="BN982">
        <v>37496294</v>
      </c>
      <c r="BO982" t="s">
        <v>74</v>
      </c>
      <c r="BP982" t="s">
        <v>74</v>
      </c>
      <c r="BQ982" t="s">
        <v>74</v>
      </c>
      <c r="BR982" t="s">
        <v>99</v>
      </c>
      <c r="BS982" t="s">
        <v>18151</v>
      </c>
      <c r="BT982" t="str">
        <f>HYPERLINK("https%3A%2F%2Fwww.webofscience.com%2Fwos%2Fwoscc%2Ffull-record%2FWOS:001033821200001","View Full Record in Web of Science")</f>
        <v>View Full Record in Web of Science</v>
      </c>
    </row>
    <row r="983" spans="1:72" x14ac:dyDescent="0.15">
      <c r="A983" t="s">
        <v>72</v>
      </c>
      <c r="B983" t="s">
        <v>18152</v>
      </c>
      <c r="C983" t="s">
        <v>74</v>
      </c>
      <c r="D983" t="s">
        <v>74</v>
      </c>
      <c r="E983" t="s">
        <v>74</v>
      </c>
      <c r="F983" t="s">
        <v>18153</v>
      </c>
      <c r="G983" t="s">
        <v>74</v>
      </c>
      <c r="H983" t="s">
        <v>74</v>
      </c>
      <c r="I983" t="s">
        <v>18154</v>
      </c>
      <c r="J983" t="s">
        <v>18155</v>
      </c>
      <c r="K983" t="s">
        <v>74</v>
      </c>
      <c r="L983" t="s">
        <v>74</v>
      </c>
      <c r="M983" t="s">
        <v>78</v>
      </c>
      <c r="N983" t="s">
        <v>338</v>
      </c>
      <c r="O983" t="s">
        <v>74</v>
      </c>
      <c r="P983" t="s">
        <v>74</v>
      </c>
      <c r="Q983" t="s">
        <v>74</v>
      </c>
      <c r="R983" t="s">
        <v>74</v>
      </c>
      <c r="S983" t="s">
        <v>74</v>
      </c>
      <c r="T983" t="s">
        <v>18156</v>
      </c>
      <c r="U983" t="s">
        <v>18157</v>
      </c>
      <c r="V983" t="s">
        <v>18158</v>
      </c>
      <c r="W983" t="s">
        <v>18159</v>
      </c>
      <c r="X983" t="s">
        <v>18160</v>
      </c>
      <c r="Y983" t="s">
        <v>18161</v>
      </c>
      <c r="Z983" t="s">
        <v>18162</v>
      </c>
      <c r="AA983" t="s">
        <v>18163</v>
      </c>
      <c r="AB983" t="s">
        <v>18164</v>
      </c>
      <c r="AC983" t="s">
        <v>18165</v>
      </c>
      <c r="AD983" t="s">
        <v>18166</v>
      </c>
      <c r="AE983" t="s">
        <v>18167</v>
      </c>
      <c r="AF983" t="s">
        <v>74</v>
      </c>
      <c r="AG983">
        <v>35</v>
      </c>
      <c r="AH983">
        <v>0</v>
      </c>
      <c r="AI983">
        <v>0</v>
      </c>
      <c r="AJ983">
        <v>0</v>
      </c>
      <c r="AK983">
        <v>0</v>
      </c>
      <c r="AL983" t="s">
        <v>87</v>
      </c>
      <c r="AM983" t="s">
        <v>88</v>
      </c>
      <c r="AN983" t="s">
        <v>89</v>
      </c>
      <c r="AO983" t="s">
        <v>18168</v>
      </c>
      <c r="AP983" t="s">
        <v>18169</v>
      </c>
      <c r="AQ983" t="s">
        <v>74</v>
      </c>
      <c r="AR983" t="s">
        <v>18170</v>
      </c>
      <c r="AS983" t="s">
        <v>18171</v>
      </c>
      <c r="AT983" t="s">
        <v>18172</v>
      </c>
      <c r="AU983">
        <v>2023</v>
      </c>
      <c r="AV983" t="s">
        <v>74</v>
      </c>
      <c r="AW983" t="s">
        <v>74</v>
      </c>
      <c r="AX983" t="s">
        <v>74</v>
      </c>
      <c r="AY983" t="s">
        <v>74</v>
      </c>
      <c r="AZ983" t="s">
        <v>74</v>
      </c>
      <c r="BA983" t="s">
        <v>74</v>
      </c>
      <c r="BB983" t="s">
        <v>74</v>
      </c>
      <c r="BC983" t="s">
        <v>74</v>
      </c>
      <c r="BD983" t="s">
        <v>74</v>
      </c>
      <c r="BE983" t="s">
        <v>18173</v>
      </c>
      <c r="BF983" t="str">
        <f>HYPERLINK("http://dx.doi.org/10.1111/aej.12782","http://dx.doi.org/10.1111/aej.12782")</f>
        <v>http://dx.doi.org/10.1111/aej.12782</v>
      </c>
      <c r="BG983" t="s">
        <v>74</v>
      </c>
      <c r="BH983" t="s">
        <v>16585</v>
      </c>
      <c r="BI983">
        <v>11</v>
      </c>
      <c r="BJ983" t="s">
        <v>314</v>
      </c>
      <c r="BK983" t="s">
        <v>119</v>
      </c>
      <c r="BL983" t="s">
        <v>314</v>
      </c>
      <c r="BM983" t="s">
        <v>18174</v>
      </c>
      <c r="BN983">
        <v>37489612</v>
      </c>
      <c r="BO983" t="s">
        <v>74</v>
      </c>
      <c r="BP983" t="s">
        <v>74</v>
      </c>
      <c r="BQ983" t="s">
        <v>74</v>
      </c>
      <c r="BR983" t="s">
        <v>99</v>
      </c>
      <c r="BS983" t="s">
        <v>18175</v>
      </c>
      <c r="BT983" t="str">
        <f>HYPERLINK("https%3A%2F%2Fwww.webofscience.com%2Fwos%2Fwoscc%2Ffull-record%2FWOS:001033578400001","View Full Record in Web of Science")</f>
        <v>View Full Record in Web of Science</v>
      </c>
    </row>
    <row r="984" spans="1:72" x14ac:dyDescent="0.15">
      <c r="A984" t="s">
        <v>72</v>
      </c>
      <c r="B984" t="s">
        <v>18176</v>
      </c>
      <c r="C984" t="s">
        <v>74</v>
      </c>
      <c r="D984" t="s">
        <v>74</v>
      </c>
      <c r="E984" t="s">
        <v>74</v>
      </c>
      <c r="F984" t="s">
        <v>18177</v>
      </c>
      <c r="G984" t="s">
        <v>74</v>
      </c>
      <c r="H984" t="s">
        <v>74</v>
      </c>
      <c r="I984" t="s">
        <v>18178</v>
      </c>
      <c r="J984" t="s">
        <v>18179</v>
      </c>
      <c r="K984" t="s">
        <v>74</v>
      </c>
      <c r="L984" t="s">
        <v>74</v>
      </c>
      <c r="M984" t="s">
        <v>78</v>
      </c>
      <c r="N984" t="s">
        <v>338</v>
      </c>
      <c r="O984" t="s">
        <v>74</v>
      </c>
      <c r="P984" t="s">
        <v>74</v>
      </c>
      <c r="Q984" t="s">
        <v>74</v>
      </c>
      <c r="R984" t="s">
        <v>74</v>
      </c>
      <c r="S984" t="s">
        <v>74</v>
      </c>
      <c r="T984" t="s">
        <v>18180</v>
      </c>
      <c r="U984" t="s">
        <v>18181</v>
      </c>
      <c r="V984" t="s">
        <v>18182</v>
      </c>
      <c r="W984" t="s">
        <v>18183</v>
      </c>
      <c r="X984" t="s">
        <v>18184</v>
      </c>
      <c r="Y984" t="s">
        <v>18185</v>
      </c>
      <c r="Z984" t="s">
        <v>18186</v>
      </c>
      <c r="AA984" t="s">
        <v>74</v>
      </c>
      <c r="AB984" t="s">
        <v>18187</v>
      </c>
      <c r="AC984" t="s">
        <v>18188</v>
      </c>
      <c r="AD984" t="s">
        <v>18189</v>
      </c>
      <c r="AE984" t="s">
        <v>18190</v>
      </c>
      <c r="AF984" t="s">
        <v>74</v>
      </c>
      <c r="AG984">
        <v>104</v>
      </c>
      <c r="AH984">
        <v>0</v>
      </c>
      <c r="AI984">
        <v>0</v>
      </c>
      <c r="AJ984">
        <v>2</v>
      </c>
      <c r="AK984">
        <v>2</v>
      </c>
      <c r="AL984" t="s">
        <v>87</v>
      </c>
      <c r="AM984" t="s">
        <v>88</v>
      </c>
      <c r="AN984" t="s">
        <v>89</v>
      </c>
      <c r="AO984" t="s">
        <v>18191</v>
      </c>
      <c r="AP984" t="s">
        <v>18192</v>
      </c>
      <c r="AQ984" t="s">
        <v>74</v>
      </c>
      <c r="AR984" t="s">
        <v>18179</v>
      </c>
      <c r="AS984" t="s">
        <v>18193</v>
      </c>
      <c r="AT984" t="s">
        <v>18172</v>
      </c>
      <c r="AU984">
        <v>2023</v>
      </c>
      <c r="AV984" t="s">
        <v>74</v>
      </c>
      <c r="AW984" t="s">
        <v>74</v>
      </c>
      <c r="AX984" t="s">
        <v>74</v>
      </c>
      <c r="AY984" t="s">
        <v>74</v>
      </c>
      <c r="AZ984" t="s">
        <v>74</v>
      </c>
      <c r="BA984" t="s">
        <v>74</v>
      </c>
      <c r="BB984" t="s">
        <v>74</v>
      </c>
      <c r="BC984" t="s">
        <v>74</v>
      </c>
      <c r="BD984" t="s">
        <v>18194</v>
      </c>
      <c r="BE984" t="s">
        <v>18195</v>
      </c>
      <c r="BF984" t="str">
        <f>HYPERLINK("http://dx.doi.org/10.1111/oik.09967","http://dx.doi.org/10.1111/oik.09967")</f>
        <v>http://dx.doi.org/10.1111/oik.09967</v>
      </c>
      <c r="BG984" t="s">
        <v>74</v>
      </c>
      <c r="BH984" t="s">
        <v>16585</v>
      </c>
      <c r="BI984">
        <v>13</v>
      </c>
      <c r="BJ984" t="s">
        <v>3316</v>
      </c>
      <c r="BK984" t="s">
        <v>119</v>
      </c>
      <c r="BL984" t="s">
        <v>3317</v>
      </c>
      <c r="BM984" t="s">
        <v>18196</v>
      </c>
      <c r="BN984" t="s">
        <v>74</v>
      </c>
      <c r="BO984" t="s">
        <v>5713</v>
      </c>
      <c r="BP984" t="s">
        <v>74</v>
      </c>
      <c r="BQ984" t="s">
        <v>74</v>
      </c>
      <c r="BR984" t="s">
        <v>99</v>
      </c>
      <c r="BS984" t="s">
        <v>18197</v>
      </c>
      <c r="BT984" t="str">
        <f>HYPERLINK("https%3A%2F%2Fwww.webofscience.com%2Fwos%2Fwoscc%2Ffull-record%2FWOS:001035661600001","View Full Record in Web of Science")</f>
        <v>View Full Record in Web of Science</v>
      </c>
    </row>
    <row r="985" spans="1:72" x14ac:dyDescent="0.15">
      <c r="A985" t="s">
        <v>72</v>
      </c>
      <c r="B985" t="s">
        <v>18198</v>
      </c>
      <c r="C985" t="s">
        <v>74</v>
      </c>
      <c r="D985" t="s">
        <v>74</v>
      </c>
      <c r="E985" t="s">
        <v>74</v>
      </c>
      <c r="F985" t="s">
        <v>18199</v>
      </c>
      <c r="G985" t="s">
        <v>74</v>
      </c>
      <c r="H985" t="s">
        <v>74</v>
      </c>
      <c r="I985" t="s">
        <v>18200</v>
      </c>
      <c r="J985" t="s">
        <v>18201</v>
      </c>
      <c r="K985" t="s">
        <v>74</v>
      </c>
      <c r="L985" t="s">
        <v>74</v>
      </c>
      <c r="M985" t="s">
        <v>78</v>
      </c>
      <c r="N985" t="s">
        <v>338</v>
      </c>
      <c r="O985" t="s">
        <v>74</v>
      </c>
      <c r="P985" t="s">
        <v>74</v>
      </c>
      <c r="Q985" t="s">
        <v>74</v>
      </c>
      <c r="R985" t="s">
        <v>74</v>
      </c>
      <c r="S985" t="s">
        <v>74</v>
      </c>
      <c r="T985" t="s">
        <v>18202</v>
      </c>
      <c r="U985" t="s">
        <v>18203</v>
      </c>
      <c r="V985" t="s">
        <v>18204</v>
      </c>
      <c r="W985" t="s">
        <v>18205</v>
      </c>
      <c r="X985" t="s">
        <v>18206</v>
      </c>
      <c r="Y985" t="s">
        <v>18207</v>
      </c>
      <c r="Z985" t="s">
        <v>18208</v>
      </c>
      <c r="AA985" t="s">
        <v>74</v>
      </c>
      <c r="AB985" t="s">
        <v>18209</v>
      </c>
      <c r="AC985" t="s">
        <v>74</v>
      </c>
      <c r="AD985" t="s">
        <v>74</v>
      </c>
      <c r="AE985" t="s">
        <v>74</v>
      </c>
      <c r="AF985" t="s">
        <v>74</v>
      </c>
      <c r="AG985">
        <v>125</v>
      </c>
      <c r="AH985">
        <v>0</v>
      </c>
      <c r="AI985">
        <v>0</v>
      </c>
      <c r="AJ985">
        <v>3</v>
      </c>
      <c r="AK985">
        <v>3</v>
      </c>
      <c r="AL985" t="s">
        <v>87</v>
      </c>
      <c r="AM985" t="s">
        <v>88</v>
      </c>
      <c r="AN985" t="s">
        <v>89</v>
      </c>
      <c r="AO985" t="s">
        <v>18210</v>
      </c>
      <c r="AP985" t="s">
        <v>18211</v>
      </c>
      <c r="AQ985" t="s">
        <v>74</v>
      </c>
      <c r="AR985" t="s">
        <v>18212</v>
      </c>
      <c r="AS985" t="s">
        <v>18213</v>
      </c>
      <c r="AT985" t="s">
        <v>18172</v>
      </c>
      <c r="AU985">
        <v>2023</v>
      </c>
      <c r="AV985" t="s">
        <v>74</v>
      </c>
      <c r="AW985" t="s">
        <v>74</v>
      </c>
      <c r="AX985" t="s">
        <v>74</v>
      </c>
      <c r="AY985" t="s">
        <v>74</v>
      </c>
      <c r="AZ985" t="s">
        <v>74</v>
      </c>
      <c r="BA985" t="s">
        <v>74</v>
      </c>
      <c r="BB985" t="s">
        <v>74</v>
      </c>
      <c r="BC985" t="s">
        <v>74</v>
      </c>
      <c r="BD985" t="s">
        <v>74</v>
      </c>
      <c r="BE985" t="s">
        <v>18214</v>
      </c>
      <c r="BF985" t="str">
        <f>HYPERLINK("http://dx.doi.org/10.1111/joms.12980","http://dx.doi.org/10.1111/joms.12980")</f>
        <v>http://dx.doi.org/10.1111/joms.12980</v>
      </c>
      <c r="BG985" t="s">
        <v>74</v>
      </c>
      <c r="BH985" t="s">
        <v>16585</v>
      </c>
      <c r="BI985">
        <v>34</v>
      </c>
      <c r="BJ985" t="s">
        <v>16748</v>
      </c>
      <c r="BK985" t="s">
        <v>546</v>
      </c>
      <c r="BL985" t="s">
        <v>547</v>
      </c>
      <c r="BM985" t="s">
        <v>18215</v>
      </c>
      <c r="BN985" t="s">
        <v>74</v>
      </c>
      <c r="BO985" t="s">
        <v>74</v>
      </c>
      <c r="BP985" t="s">
        <v>74</v>
      </c>
      <c r="BQ985" t="s">
        <v>74</v>
      </c>
      <c r="BR985" t="s">
        <v>99</v>
      </c>
      <c r="BS985" t="s">
        <v>18216</v>
      </c>
      <c r="BT985" t="str">
        <f>HYPERLINK("https%3A%2F%2Fwww.webofscience.com%2Fwos%2Fwoscc%2Ffull-record%2FWOS:001035088300001","View Full Record in Web of Science")</f>
        <v>View Full Record in Web of Science</v>
      </c>
    </row>
    <row r="986" spans="1:72" x14ac:dyDescent="0.15">
      <c r="A986" t="s">
        <v>72</v>
      </c>
      <c r="B986" t="s">
        <v>18217</v>
      </c>
      <c r="C986" t="s">
        <v>74</v>
      </c>
      <c r="D986" t="s">
        <v>74</v>
      </c>
      <c r="E986" t="s">
        <v>74</v>
      </c>
      <c r="F986" t="s">
        <v>18218</v>
      </c>
      <c r="G986" t="s">
        <v>74</v>
      </c>
      <c r="H986" t="s">
        <v>74</v>
      </c>
      <c r="I986" t="s">
        <v>18219</v>
      </c>
      <c r="J986" t="s">
        <v>14782</v>
      </c>
      <c r="K986" t="s">
        <v>74</v>
      </c>
      <c r="L986" t="s">
        <v>74</v>
      </c>
      <c r="M986" t="s">
        <v>78</v>
      </c>
      <c r="N986" t="s">
        <v>338</v>
      </c>
      <c r="O986" t="s">
        <v>74</v>
      </c>
      <c r="P986" t="s">
        <v>74</v>
      </c>
      <c r="Q986" t="s">
        <v>74</v>
      </c>
      <c r="R986" t="s">
        <v>74</v>
      </c>
      <c r="S986" t="s">
        <v>74</v>
      </c>
      <c r="T986" t="s">
        <v>18220</v>
      </c>
      <c r="U986" t="s">
        <v>18221</v>
      </c>
      <c r="V986" t="s">
        <v>18222</v>
      </c>
      <c r="W986" t="s">
        <v>18223</v>
      </c>
      <c r="X986" t="s">
        <v>18224</v>
      </c>
      <c r="Y986" t="s">
        <v>18225</v>
      </c>
      <c r="Z986" t="s">
        <v>18226</v>
      </c>
      <c r="AA986" t="s">
        <v>18227</v>
      </c>
      <c r="AB986" t="s">
        <v>18228</v>
      </c>
      <c r="AC986" t="s">
        <v>18229</v>
      </c>
      <c r="AD986" t="s">
        <v>18230</v>
      </c>
      <c r="AE986" t="s">
        <v>18231</v>
      </c>
      <c r="AF986" t="s">
        <v>74</v>
      </c>
      <c r="AG986">
        <v>48</v>
      </c>
      <c r="AH986">
        <v>0</v>
      </c>
      <c r="AI986">
        <v>0</v>
      </c>
      <c r="AJ986">
        <v>0</v>
      </c>
      <c r="AK986">
        <v>0</v>
      </c>
      <c r="AL986" t="s">
        <v>87</v>
      </c>
      <c r="AM986" t="s">
        <v>88</v>
      </c>
      <c r="AN986" t="s">
        <v>89</v>
      </c>
      <c r="AO986" t="s">
        <v>74</v>
      </c>
      <c r="AP986" t="s">
        <v>14790</v>
      </c>
      <c r="AQ986" t="s">
        <v>74</v>
      </c>
      <c r="AR986" t="s">
        <v>14791</v>
      </c>
      <c r="AS986" t="s">
        <v>14792</v>
      </c>
      <c r="AT986" t="s">
        <v>18172</v>
      </c>
      <c r="AU986">
        <v>2023</v>
      </c>
      <c r="AV986" t="s">
        <v>74</v>
      </c>
      <c r="AW986" t="s">
        <v>74</v>
      </c>
      <c r="AX986" t="s">
        <v>74</v>
      </c>
      <c r="AY986" t="s">
        <v>74</v>
      </c>
      <c r="AZ986" t="s">
        <v>74</v>
      </c>
      <c r="BA986" t="s">
        <v>74</v>
      </c>
      <c r="BB986" t="s">
        <v>74</v>
      </c>
      <c r="BC986" t="s">
        <v>74</v>
      </c>
      <c r="BD986" t="s">
        <v>74</v>
      </c>
      <c r="BE986" t="s">
        <v>18232</v>
      </c>
      <c r="BF986" t="str">
        <f>HYPERLINK("http://dx.doi.org/10.1002/ese3.1527","http://dx.doi.org/10.1002/ese3.1527")</f>
        <v>http://dx.doi.org/10.1002/ese3.1527</v>
      </c>
      <c r="BG986" t="s">
        <v>74</v>
      </c>
      <c r="BH986" t="s">
        <v>16585</v>
      </c>
      <c r="BI986">
        <v>16</v>
      </c>
      <c r="BJ986" t="s">
        <v>2022</v>
      </c>
      <c r="BK986" t="s">
        <v>119</v>
      </c>
      <c r="BL986" t="s">
        <v>2022</v>
      </c>
      <c r="BM986" t="s">
        <v>18233</v>
      </c>
      <c r="BN986" t="s">
        <v>74</v>
      </c>
      <c r="BO986" t="s">
        <v>234</v>
      </c>
      <c r="BP986" t="s">
        <v>74</v>
      </c>
      <c r="BQ986" t="s">
        <v>74</v>
      </c>
      <c r="BR986" t="s">
        <v>99</v>
      </c>
      <c r="BS986" t="s">
        <v>18234</v>
      </c>
      <c r="BT986" t="str">
        <f>HYPERLINK("https%3A%2F%2Fwww.webofscience.com%2Fwos%2Fwoscc%2Ffull-record%2FWOS:001032219400001","View Full Record in Web of Science")</f>
        <v>View Full Record in Web of Science</v>
      </c>
    </row>
    <row r="987" spans="1:72" x14ac:dyDescent="0.15">
      <c r="A987" t="s">
        <v>72</v>
      </c>
      <c r="B987" t="s">
        <v>18235</v>
      </c>
      <c r="C987" t="s">
        <v>74</v>
      </c>
      <c r="D987" t="s">
        <v>74</v>
      </c>
      <c r="E987" t="s">
        <v>74</v>
      </c>
      <c r="F987" t="s">
        <v>18236</v>
      </c>
      <c r="G987" t="s">
        <v>74</v>
      </c>
      <c r="H987" t="s">
        <v>74</v>
      </c>
      <c r="I987" t="s">
        <v>18237</v>
      </c>
      <c r="J987" t="s">
        <v>2418</v>
      </c>
      <c r="K987" t="s">
        <v>74</v>
      </c>
      <c r="L987" t="s">
        <v>74</v>
      </c>
      <c r="M987" t="s">
        <v>78</v>
      </c>
      <c r="N987" t="s">
        <v>338</v>
      </c>
      <c r="O987" t="s">
        <v>74</v>
      </c>
      <c r="P987" t="s">
        <v>74</v>
      </c>
      <c r="Q987" t="s">
        <v>74</v>
      </c>
      <c r="R987" t="s">
        <v>74</v>
      </c>
      <c r="S987" t="s">
        <v>74</v>
      </c>
      <c r="T987" t="s">
        <v>18238</v>
      </c>
      <c r="U987" t="s">
        <v>74</v>
      </c>
      <c r="V987" t="s">
        <v>18239</v>
      </c>
      <c r="W987" t="s">
        <v>18240</v>
      </c>
      <c r="X987" t="s">
        <v>7433</v>
      </c>
      <c r="Y987" t="s">
        <v>18241</v>
      </c>
      <c r="Z987" t="s">
        <v>18242</v>
      </c>
      <c r="AA987" t="s">
        <v>74</v>
      </c>
      <c r="AB987" t="s">
        <v>74</v>
      </c>
      <c r="AC987" t="s">
        <v>74</v>
      </c>
      <c r="AD987" t="s">
        <v>74</v>
      </c>
      <c r="AE987" t="s">
        <v>74</v>
      </c>
      <c r="AF987" t="s">
        <v>74</v>
      </c>
      <c r="AG987">
        <v>54</v>
      </c>
      <c r="AH987">
        <v>0</v>
      </c>
      <c r="AI987">
        <v>0</v>
      </c>
      <c r="AJ987">
        <v>0</v>
      </c>
      <c r="AK987">
        <v>0</v>
      </c>
      <c r="AL987" t="s">
        <v>87</v>
      </c>
      <c r="AM987" t="s">
        <v>88</v>
      </c>
      <c r="AN987" t="s">
        <v>89</v>
      </c>
      <c r="AO987" t="s">
        <v>2423</v>
      </c>
      <c r="AP987" t="s">
        <v>2424</v>
      </c>
      <c r="AQ987" t="s">
        <v>74</v>
      </c>
      <c r="AR987" t="s">
        <v>2425</v>
      </c>
      <c r="AS987" t="s">
        <v>2426</v>
      </c>
      <c r="AT987" t="s">
        <v>18172</v>
      </c>
      <c r="AU987">
        <v>2023</v>
      </c>
      <c r="AV987" t="s">
        <v>74</v>
      </c>
      <c r="AW987" t="s">
        <v>74</v>
      </c>
      <c r="AX987" t="s">
        <v>74</v>
      </c>
      <c r="AY987" t="s">
        <v>74</v>
      </c>
      <c r="AZ987" t="s">
        <v>74</v>
      </c>
      <c r="BA987" t="s">
        <v>74</v>
      </c>
      <c r="BB987" t="s">
        <v>74</v>
      </c>
      <c r="BC987" t="s">
        <v>74</v>
      </c>
      <c r="BD987" t="s">
        <v>74</v>
      </c>
      <c r="BE987" t="s">
        <v>18243</v>
      </c>
      <c r="BF987" t="str">
        <f>HYPERLINK("http://dx.doi.org/10.1111/bjp.12856","http://dx.doi.org/10.1111/bjp.12856")</f>
        <v>http://dx.doi.org/10.1111/bjp.12856</v>
      </c>
      <c r="BG987" t="s">
        <v>74</v>
      </c>
      <c r="BH987" t="s">
        <v>16585</v>
      </c>
      <c r="BI987">
        <v>19</v>
      </c>
      <c r="BJ987" t="s">
        <v>2428</v>
      </c>
      <c r="BK987" t="s">
        <v>96</v>
      </c>
      <c r="BL987" t="s">
        <v>2428</v>
      </c>
      <c r="BM987" t="s">
        <v>18244</v>
      </c>
      <c r="BN987" t="s">
        <v>74</v>
      </c>
      <c r="BO987" t="s">
        <v>122</v>
      </c>
      <c r="BP987" t="s">
        <v>74</v>
      </c>
      <c r="BQ987" t="s">
        <v>74</v>
      </c>
      <c r="BR987" t="s">
        <v>99</v>
      </c>
      <c r="BS987" t="s">
        <v>18245</v>
      </c>
      <c r="BT987" t="str">
        <f>HYPERLINK("https%3A%2F%2Fwww.webofscience.com%2Fwos%2Fwoscc%2Ffull-record%2FWOS:001036420200001","View Full Record in Web of Science")</f>
        <v>View Full Record in Web of Science</v>
      </c>
    </row>
    <row r="988" spans="1:72" x14ac:dyDescent="0.15">
      <c r="A988" t="s">
        <v>72</v>
      </c>
      <c r="B988" t="s">
        <v>18246</v>
      </c>
      <c r="C988" t="s">
        <v>74</v>
      </c>
      <c r="D988" t="s">
        <v>74</v>
      </c>
      <c r="E988" t="s">
        <v>74</v>
      </c>
      <c r="F988" t="s">
        <v>18247</v>
      </c>
      <c r="G988" t="s">
        <v>74</v>
      </c>
      <c r="H988" t="s">
        <v>74</v>
      </c>
      <c r="I988" t="s">
        <v>18248</v>
      </c>
      <c r="J988" t="s">
        <v>3873</v>
      </c>
      <c r="K988" t="s">
        <v>74</v>
      </c>
      <c r="L988" t="s">
        <v>74</v>
      </c>
      <c r="M988" t="s">
        <v>78</v>
      </c>
      <c r="N988" t="s">
        <v>79</v>
      </c>
      <c r="O988" t="s">
        <v>74</v>
      </c>
      <c r="P988" t="s">
        <v>74</v>
      </c>
      <c r="Q988" t="s">
        <v>74</v>
      </c>
      <c r="R988" t="s">
        <v>74</v>
      </c>
      <c r="S988" t="s">
        <v>74</v>
      </c>
      <c r="T988" t="s">
        <v>18249</v>
      </c>
      <c r="U988" t="s">
        <v>18250</v>
      </c>
      <c r="V988" t="s">
        <v>18251</v>
      </c>
      <c r="W988" t="s">
        <v>18252</v>
      </c>
      <c r="X988" t="s">
        <v>18253</v>
      </c>
      <c r="Y988" t="s">
        <v>18254</v>
      </c>
      <c r="Z988" t="s">
        <v>18255</v>
      </c>
      <c r="AA988" t="s">
        <v>74</v>
      </c>
      <c r="AB988" t="s">
        <v>74</v>
      </c>
      <c r="AC988" t="s">
        <v>18256</v>
      </c>
      <c r="AD988" t="s">
        <v>3742</v>
      </c>
      <c r="AE988" t="s">
        <v>18257</v>
      </c>
      <c r="AF988" t="s">
        <v>74</v>
      </c>
      <c r="AG988">
        <v>28</v>
      </c>
      <c r="AH988">
        <v>0</v>
      </c>
      <c r="AI988">
        <v>0</v>
      </c>
      <c r="AJ988">
        <v>7</v>
      </c>
      <c r="AK988">
        <v>7</v>
      </c>
      <c r="AL988" t="s">
        <v>87</v>
      </c>
      <c r="AM988" t="s">
        <v>88</v>
      </c>
      <c r="AN988" t="s">
        <v>89</v>
      </c>
      <c r="AO988" t="s">
        <v>3884</v>
      </c>
      <c r="AP988" t="s">
        <v>3885</v>
      </c>
      <c r="AQ988" t="s">
        <v>74</v>
      </c>
      <c r="AR988" t="s">
        <v>3886</v>
      </c>
      <c r="AS988" t="s">
        <v>3887</v>
      </c>
      <c r="AT988" t="s">
        <v>11302</v>
      </c>
      <c r="AU988">
        <v>2023</v>
      </c>
      <c r="AV988">
        <v>17</v>
      </c>
      <c r="AW988">
        <v>10</v>
      </c>
      <c r="AX988" t="s">
        <v>74</v>
      </c>
      <c r="AY988" t="s">
        <v>74</v>
      </c>
      <c r="AZ988" t="s">
        <v>74</v>
      </c>
      <c r="BA988" t="s">
        <v>74</v>
      </c>
      <c r="BB988">
        <v>797</v>
      </c>
      <c r="BC988">
        <v>806</v>
      </c>
      <c r="BD988" t="s">
        <v>74</v>
      </c>
      <c r="BE988" t="s">
        <v>18258</v>
      </c>
      <c r="BF988" t="str">
        <f>HYPERLINK("http://dx.doi.org/10.1049/mia2.12395","http://dx.doi.org/10.1049/mia2.12395")</f>
        <v>http://dx.doi.org/10.1049/mia2.12395</v>
      </c>
      <c r="BG988" t="s">
        <v>74</v>
      </c>
      <c r="BH988" t="s">
        <v>16585</v>
      </c>
      <c r="BI988">
        <v>10</v>
      </c>
      <c r="BJ988" t="s">
        <v>3889</v>
      </c>
      <c r="BK988" t="s">
        <v>119</v>
      </c>
      <c r="BL988" t="s">
        <v>3890</v>
      </c>
      <c r="BM988" t="s">
        <v>18259</v>
      </c>
      <c r="BN988" t="s">
        <v>74</v>
      </c>
      <c r="BO988" t="s">
        <v>234</v>
      </c>
      <c r="BP988" t="s">
        <v>74</v>
      </c>
      <c r="BQ988" t="s">
        <v>74</v>
      </c>
      <c r="BR988" t="s">
        <v>99</v>
      </c>
      <c r="BS988" t="s">
        <v>18260</v>
      </c>
      <c r="BT988" t="str">
        <f>HYPERLINK("https%3A%2F%2Fwww.webofscience.com%2Fwos%2Fwoscc%2Ffull-record%2FWOS:001032333500001","View Full Record in Web of Science")</f>
        <v>View Full Record in Web of Science</v>
      </c>
    </row>
    <row r="989" spans="1:72" x14ac:dyDescent="0.15">
      <c r="A989" t="s">
        <v>72</v>
      </c>
      <c r="B989" t="s">
        <v>18261</v>
      </c>
      <c r="C989" t="s">
        <v>74</v>
      </c>
      <c r="D989" t="s">
        <v>74</v>
      </c>
      <c r="E989" t="s">
        <v>74</v>
      </c>
      <c r="F989" t="s">
        <v>18262</v>
      </c>
      <c r="G989" t="s">
        <v>74</v>
      </c>
      <c r="H989" t="s">
        <v>74</v>
      </c>
      <c r="I989" t="s">
        <v>18263</v>
      </c>
      <c r="J989" t="s">
        <v>18264</v>
      </c>
      <c r="K989" t="s">
        <v>74</v>
      </c>
      <c r="L989" t="s">
        <v>74</v>
      </c>
      <c r="M989" t="s">
        <v>78</v>
      </c>
      <c r="N989" t="s">
        <v>79</v>
      </c>
      <c r="O989" t="s">
        <v>74</v>
      </c>
      <c r="P989" t="s">
        <v>74</v>
      </c>
      <c r="Q989" t="s">
        <v>74</v>
      </c>
      <c r="R989" t="s">
        <v>74</v>
      </c>
      <c r="S989" t="s">
        <v>74</v>
      </c>
      <c r="T989" t="s">
        <v>18265</v>
      </c>
      <c r="U989" t="s">
        <v>18266</v>
      </c>
      <c r="V989" t="s">
        <v>18267</v>
      </c>
      <c r="W989" t="s">
        <v>18268</v>
      </c>
      <c r="X989" t="s">
        <v>18269</v>
      </c>
      <c r="Y989" t="s">
        <v>18270</v>
      </c>
      <c r="Z989" t="s">
        <v>18271</v>
      </c>
      <c r="AA989" t="s">
        <v>74</v>
      </c>
      <c r="AB989" t="s">
        <v>18272</v>
      </c>
      <c r="AC989" t="s">
        <v>74</v>
      </c>
      <c r="AD989" t="s">
        <v>74</v>
      </c>
      <c r="AE989" t="s">
        <v>74</v>
      </c>
      <c r="AF989" t="s">
        <v>74</v>
      </c>
      <c r="AG989">
        <v>36</v>
      </c>
      <c r="AH989">
        <v>0</v>
      </c>
      <c r="AI989">
        <v>0</v>
      </c>
      <c r="AJ989">
        <v>1</v>
      </c>
      <c r="AK989">
        <v>1</v>
      </c>
      <c r="AL989" t="s">
        <v>87</v>
      </c>
      <c r="AM989" t="s">
        <v>88</v>
      </c>
      <c r="AN989" t="s">
        <v>89</v>
      </c>
      <c r="AO989" t="s">
        <v>18273</v>
      </c>
      <c r="AP989" t="s">
        <v>18274</v>
      </c>
      <c r="AQ989" t="s">
        <v>74</v>
      </c>
      <c r="AR989" t="s">
        <v>18275</v>
      </c>
      <c r="AS989" t="s">
        <v>18276</v>
      </c>
      <c r="AT989" t="s">
        <v>6725</v>
      </c>
      <c r="AU989">
        <v>2023</v>
      </c>
      <c r="AV989">
        <v>2023</v>
      </c>
      <c r="AW989">
        <v>9</v>
      </c>
      <c r="AX989" t="s">
        <v>74</v>
      </c>
      <c r="AY989" t="s">
        <v>74</v>
      </c>
      <c r="AZ989" t="s">
        <v>74</v>
      </c>
      <c r="BA989" t="s">
        <v>74</v>
      </c>
      <c r="BB989" t="s">
        <v>74</v>
      </c>
      <c r="BC989" t="s">
        <v>74</v>
      </c>
      <c r="BD989" t="s">
        <v>74</v>
      </c>
      <c r="BE989" t="s">
        <v>18277</v>
      </c>
      <c r="BF989" t="str">
        <f>HYPERLINK("http://dx.doi.org/10.1111/njb.03966","http://dx.doi.org/10.1111/njb.03966")</f>
        <v>http://dx.doi.org/10.1111/njb.03966</v>
      </c>
      <c r="BG989" t="s">
        <v>74</v>
      </c>
      <c r="BH989" t="s">
        <v>16585</v>
      </c>
      <c r="BI989">
        <v>10</v>
      </c>
      <c r="BJ989" t="s">
        <v>1751</v>
      </c>
      <c r="BK989" t="s">
        <v>119</v>
      </c>
      <c r="BL989" t="s">
        <v>1751</v>
      </c>
      <c r="BM989" t="s">
        <v>18278</v>
      </c>
      <c r="BN989" t="s">
        <v>74</v>
      </c>
      <c r="BO989" t="s">
        <v>301</v>
      </c>
      <c r="BP989" t="s">
        <v>74</v>
      </c>
      <c r="BQ989" t="s">
        <v>74</v>
      </c>
      <c r="BR989" t="s">
        <v>99</v>
      </c>
      <c r="BS989" t="s">
        <v>18279</v>
      </c>
      <c r="BT989" t="str">
        <f>HYPERLINK("https%3A%2F%2Fwww.webofscience.com%2Fwos%2Fwoscc%2Ffull-record%2FWOS:001034551900001","View Full Record in Web of Science")</f>
        <v>View Full Record in Web of Science</v>
      </c>
    </row>
    <row r="990" spans="1:72" x14ac:dyDescent="0.15">
      <c r="A990" t="s">
        <v>72</v>
      </c>
      <c r="B990" t="s">
        <v>18280</v>
      </c>
      <c r="C990" t="s">
        <v>74</v>
      </c>
      <c r="D990" t="s">
        <v>74</v>
      </c>
      <c r="E990" t="s">
        <v>74</v>
      </c>
      <c r="F990" t="s">
        <v>18281</v>
      </c>
      <c r="G990" t="s">
        <v>74</v>
      </c>
      <c r="H990" t="s">
        <v>74</v>
      </c>
      <c r="I990" t="s">
        <v>18282</v>
      </c>
      <c r="J990" t="s">
        <v>6560</v>
      </c>
      <c r="K990" t="s">
        <v>74</v>
      </c>
      <c r="L990" t="s">
        <v>74</v>
      </c>
      <c r="M990" t="s">
        <v>78</v>
      </c>
      <c r="N990" t="s">
        <v>79</v>
      </c>
      <c r="O990" t="s">
        <v>74</v>
      </c>
      <c r="P990" t="s">
        <v>74</v>
      </c>
      <c r="Q990" t="s">
        <v>74</v>
      </c>
      <c r="R990" t="s">
        <v>74</v>
      </c>
      <c r="S990" t="s">
        <v>74</v>
      </c>
      <c r="T990" t="s">
        <v>74</v>
      </c>
      <c r="U990" t="s">
        <v>74</v>
      </c>
      <c r="V990" t="s">
        <v>18283</v>
      </c>
      <c r="W990" t="s">
        <v>18284</v>
      </c>
      <c r="X990" t="s">
        <v>18285</v>
      </c>
      <c r="Y990" t="s">
        <v>18286</v>
      </c>
      <c r="Z990" t="s">
        <v>18287</v>
      </c>
      <c r="AA990" t="s">
        <v>74</v>
      </c>
      <c r="AB990" t="s">
        <v>18288</v>
      </c>
      <c r="AC990" t="s">
        <v>18289</v>
      </c>
      <c r="AD990" t="s">
        <v>18290</v>
      </c>
      <c r="AE990" t="s">
        <v>18291</v>
      </c>
      <c r="AF990" t="s">
        <v>74</v>
      </c>
      <c r="AG990">
        <v>13</v>
      </c>
      <c r="AH990">
        <v>0</v>
      </c>
      <c r="AI990">
        <v>0</v>
      </c>
      <c r="AJ990">
        <v>0</v>
      </c>
      <c r="AK990">
        <v>0</v>
      </c>
      <c r="AL990" t="s">
        <v>6567</v>
      </c>
      <c r="AM990" t="s">
        <v>6568</v>
      </c>
      <c r="AN990" t="s">
        <v>6569</v>
      </c>
      <c r="AO990" t="s">
        <v>6570</v>
      </c>
      <c r="AP990" t="s">
        <v>6571</v>
      </c>
      <c r="AQ990" t="s">
        <v>74</v>
      </c>
      <c r="AR990" t="s">
        <v>6572</v>
      </c>
      <c r="AS990" t="s">
        <v>6573</v>
      </c>
      <c r="AT990" t="s">
        <v>6725</v>
      </c>
      <c r="AU990">
        <v>2023</v>
      </c>
      <c r="AV990">
        <v>18</v>
      </c>
      <c r="AW990">
        <v>9</v>
      </c>
      <c r="AX990" t="s">
        <v>74</v>
      </c>
      <c r="AY990" t="s">
        <v>74</v>
      </c>
      <c r="AZ990" t="s">
        <v>74</v>
      </c>
      <c r="BA990" t="s">
        <v>74</v>
      </c>
      <c r="BB990">
        <v>822</v>
      </c>
      <c r="BC990">
        <v>828</v>
      </c>
      <c r="BD990" t="s">
        <v>74</v>
      </c>
      <c r="BE990" t="s">
        <v>18292</v>
      </c>
      <c r="BF990" t="str">
        <f>HYPERLINK("http://dx.doi.org/10.1002/jhm.13172","http://dx.doi.org/10.1002/jhm.13172")</f>
        <v>http://dx.doi.org/10.1002/jhm.13172</v>
      </c>
      <c r="BG990" t="s">
        <v>74</v>
      </c>
      <c r="BH990" t="s">
        <v>16585</v>
      </c>
      <c r="BI990">
        <v>7</v>
      </c>
      <c r="BJ990" t="s">
        <v>4689</v>
      </c>
      <c r="BK990" t="s">
        <v>119</v>
      </c>
      <c r="BL990" t="s">
        <v>4690</v>
      </c>
      <c r="BM990" t="s">
        <v>9903</v>
      </c>
      <c r="BN990">
        <v>37490045</v>
      </c>
      <c r="BO990" t="s">
        <v>122</v>
      </c>
      <c r="BP990" t="s">
        <v>74</v>
      </c>
      <c r="BQ990" t="s">
        <v>74</v>
      </c>
      <c r="BR990" t="s">
        <v>99</v>
      </c>
      <c r="BS990" t="s">
        <v>18293</v>
      </c>
      <c r="BT990" t="str">
        <f>HYPERLINK("https%3A%2F%2Fwww.webofscience.com%2Fwos%2Fwoscc%2Ffull-record%2FWOS:001035200200001","View Full Record in Web of Science")</f>
        <v>View Full Record in Web of Science</v>
      </c>
    </row>
    <row r="991" spans="1:72" x14ac:dyDescent="0.15">
      <c r="A991" t="s">
        <v>72</v>
      </c>
      <c r="B991" t="s">
        <v>18294</v>
      </c>
      <c r="C991" t="s">
        <v>74</v>
      </c>
      <c r="D991" t="s">
        <v>74</v>
      </c>
      <c r="E991" t="s">
        <v>74</v>
      </c>
      <c r="F991" t="s">
        <v>18295</v>
      </c>
      <c r="G991" t="s">
        <v>74</v>
      </c>
      <c r="H991" t="s">
        <v>74</v>
      </c>
      <c r="I991" t="s">
        <v>18296</v>
      </c>
      <c r="J991" t="s">
        <v>5957</v>
      </c>
      <c r="K991" t="s">
        <v>74</v>
      </c>
      <c r="L991" t="s">
        <v>74</v>
      </c>
      <c r="M991" t="s">
        <v>78</v>
      </c>
      <c r="N991" t="s">
        <v>594</v>
      </c>
      <c r="O991" t="s">
        <v>74</v>
      </c>
      <c r="P991" t="s">
        <v>74</v>
      </c>
      <c r="Q991" t="s">
        <v>74</v>
      </c>
      <c r="R991" t="s">
        <v>74</v>
      </c>
      <c r="S991" t="s">
        <v>74</v>
      </c>
      <c r="T991" t="s">
        <v>18297</v>
      </c>
      <c r="U991" t="s">
        <v>18298</v>
      </c>
      <c r="V991" t="s">
        <v>18299</v>
      </c>
      <c r="W991" t="s">
        <v>18300</v>
      </c>
      <c r="X991" t="s">
        <v>18301</v>
      </c>
      <c r="Y991" t="s">
        <v>18302</v>
      </c>
      <c r="Z991" t="s">
        <v>18303</v>
      </c>
      <c r="AA991" t="s">
        <v>74</v>
      </c>
      <c r="AB991" t="s">
        <v>18304</v>
      </c>
      <c r="AC991" t="s">
        <v>18305</v>
      </c>
      <c r="AD991" t="s">
        <v>18306</v>
      </c>
      <c r="AE991" t="s">
        <v>18307</v>
      </c>
      <c r="AF991" t="s">
        <v>74</v>
      </c>
      <c r="AG991">
        <v>104</v>
      </c>
      <c r="AH991">
        <v>0</v>
      </c>
      <c r="AI991">
        <v>0</v>
      </c>
      <c r="AJ991">
        <v>15</v>
      </c>
      <c r="AK991">
        <v>15</v>
      </c>
      <c r="AL991" t="s">
        <v>426</v>
      </c>
      <c r="AM991" t="s">
        <v>427</v>
      </c>
      <c r="AN991" t="s">
        <v>428</v>
      </c>
      <c r="AO991" t="s">
        <v>5967</v>
      </c>
      <c r="AP991" t="s">
        <v>5968</v>
      </c>
      <c r="AQ991" t="s">
        <v>74</v>
      </c>
      <c r="AR991" t="s">
        <v>5957</v>
      </c>
      <c r="AS991" t="s">
        <v>5969</v>
      </c>
      <c r="AT991" t="s">
        <v>18172</v>
      </c>
      <c r="AU991">
        <v>2023</v>
      </c>
      <c r="AV991" t="s">
        <v>74</v>
      </c>
      <c r="AW991" t="s">
        <v>74</v>
      </c>
      <c r="AX991" t="s">
        <v>74</v>
      </c>
      <c r="AY991" t="s">
        <v>74</v>
      </c>
      <c r="AZ991" t="s">
        <v>74</v>
      </c>
      <c r="BA991" t="s">
        <v>74</v>
      </c>
      <c r="BB991" t="s">
        <v>74</v>
      </c>
      <c r="BC991" t="s">
        <v>74</v>
      </c>
      <c r="BD991" t="s">
        <v>74</v>
      </c>
      <c r="BE991" t="s">
        <v>18308</v>
      </c>
      <c r="BF991" t="str">
        <f>HYPERLINK("http://dx.doi.org/10.1002/cctc.202300589","http://dx.doi.org/10.1002/cctc.202300589")</f>
        <v>http://dx.doi.org/10.1002/cctc.202300589</v>
      </c>
      <c r="BG991" t="s">
        <v>74</v>
      </c>
      <c r="BH991" t="s">
        <v>16585</v>
      </c>
      <c r="BI991">
        <v>16</v>
      </c>
      <c r="BJ991" t="s">
        <v>5972</v>
      </c>
      <c r="BK991" t="s">
        <v>119</v>
      </c>
      <c r="BL991" t="s">
        <v>524</v>
      </c>
      <c r="BM991" t="s">
        <v>18309</v>
      </c>
      <c r="BN991" t="s">
        <v>74</v>
      </c>
      <c r="BO991" t="s">
        <v>74</v>
      </c>
      <c r="BP991" t="s">
        <v>74</v>
      </c>
      <c r="BQ991" t="s">
        <v>74</v>
      </c>
      <c r="BR991" t="s">
        <v>99</v>
      </c>
      <c r="BS991" t="s">
        <v>18310</v>
      </c>
      <c r="BT991" t="str">
        <f>HYPERLINK("https%3A%2F%2Fwww.webofscience.com%2Fwos%2Fwoscc%2Ffull-record%2FWOS:001032475200001","View Full Record in Web of Science")</f>
        <v>View Full Record in Web of Science</v>
      </c>
    </row>
    <row r="992" spans="1:72" x14ac:dyDescent="0.15">
      <c r="A992" t="s">
        <v>72</v>
      </c>
      <c r="B992" t="s">
        <v>18311</v>
      </c>
      <c r="C992" t="s">
        <v>74</v>
      </c>
      <c r="D992" t="s">
        <v>74</v>
      </c>
      <c r="E992" t="s">
        <v>74</v>
      </c>
      <c r="F992" t="s">
        <v>18312</v>
      </c>
      <c r="G992" t="s">
        <v>74</v>
      </c>
      <c r="H992" t="s">
        <v>74</v>
      </c>
      <c r="I992" t="s">
        <v>18313</v>
      </c>
      <c r="J992" t="s">
        <v>18314</v>
      </c>
      <c r="K992" t="s">
        <v>74</v>
      </c>
      <c r="L992" t="s">
        <v>74</v>
      </c>
      <c r="M992" t="s">
        <v>78</v>
      </c>
      <c r="N992" t="s">
        <v>338</v>
      </c>
      <c r="O992" t="s">
        <v>74</v>
      </c>
      <c r="P992" t="s">
        <v>74</v>
      </c>
      <c r="Q992" t="s">
        <v>74</v>
      </c>
      <c r="R992" t="s">
        <v>74</v>
      </c>
      <c r="S992" t="s">
        <v>74</v>
      </c>
      <c r="T992" t="s">
        <v>18315</v>
      </c>
      <c r="U992" t="s">
        <v>18316</v>
      </c>
      <c r="V992" t="s">
        <v>18317</v>
      </c>
      <c r="W992" t="s">
        <v>18318</v>
      </c>
      <c r="X992" t="s">
        <v>18319</v>
      </c>
      <c r="Y992" t="s">
        <v>18320</v>
      </c>
      <c r="Z992" t="s">
        <v>18321</v>
      </c>
      <c r="AA992" t="s">
        <v>74</v>
      </c>
      <c r="AB992" t="s">
        <v>18322</v>
      </c>
      <c r="AC992" t="s">
        <v>18323</v>
      </c>
      <c r="AD992" t="s">
        <v>18323</v>
      </c>
      <c r="AE992" t="s">
        <v>18323</v>
      </c>
      <c r="AF992" t="s">
        <v>74</v>
      </c>
      <c r="AG992">
        <v>56</v>
      </c>
      <c r="AH992">
        <v>0</v>
      </c>
      <c r="AI992">
        <v>0</v>
      </c>
      <c r="AJ992">
        <v>6</v>
      </c>
      <c r="AK992">
        <v>6</v>
      </c>
      <c r="AL992" t="s">
        <v>87</v>
      </c>
      <c r="AM992" t="s">
        <v>88</v>
      </c>
      <c r="AN992" t="s">
        <v>89</v>
      </c>
      <c r="AO992" t="s">
        <v>18324</v>
      </c>
      <c r="AP992" t="s">
        <v>18325</v>
      </c>
      <c r="AQ992" t="s">
        <v>74</v>
      </c>
      <c r="AR992" t="s">
        <v>18326</v>
      </c>
      <c r="AS992" t="s">
        <v>18327</v>
      </c>
      <c r="AT992" t="s">
        <v>18172</v>
      </c>
      <c r="AU992">
        <v>2023</v>
      </c>
      <c r="AV992" t="s">
        <v>74</v>
      </c>
      <c r="AW992" t="s">
        <v>74</v>
      </c>
      <c r="AX992" t="s">
        <v>74</v>
      </c>
      <c r="AY992" t="s">
        <v>74</v>
      </c>
      <c r="AZ992" t="s">
        <v>74</v>
      </c>
      <c r="BA992" t="s">
        <v>74</v>
      </c>
      <c r="BB992" t="s">
        <v>74</v>
      </c>
      <c r="BC992" t="s">
        <v>74</v>
      </c>
      <c r="BD992" t="s">
        <v>74</v>
      </c>
      <c r="BE992" t="s">
        <v>18328</v>
      </c>
      <c r="BF992" t="str">
        <f>HYPERLINK("http://dx.doi.org/10.1002/bit.28510","http://dx.doi.org/10.1002/bit.28510")</f>
        <v>http://dx.doi.org/10.1002/bit.28510</v>
      </c>
      <c r="BG992" t="s">
        <v>74</v>
      </c>
      <c r="BH992" t="s">
        <v>16585</v>
      </c>
      <c r="BI992">
        <v>12</v>
      </c>
      <c r="BJ992" t="s">
        <v>18329</v>
      </c>
      <c r="BK992" t="s">
        <v>119</v>
      </c>
      <c r="BL992" t="s">
        <v>18329</v>
      </c>
      <c r="BM992" t="s">
        <v>18330</v>
      </c>
      <c r="BN992">
        <v>37489850</v>
      </c>
      <c r="BO992" t="s">
        <v>74</v>
      </c>
      <c r="BP992" t="s">
        <v>74</v>
      </c>
      <c r="BQ992" t="s">
        <v>74</v>
      </c>
      <c r="BR992" t="s">
        <v>99</v>
      </c>
      <c r="BS992" t="s">
        <v>18331</v>
      </c>
      <c r="BT992" t="str">
        <f>HYPERLINK("https%3A%2F%2Fwww.webofscience.com%2Fwos%2Fwoscc%2Ffull-record%2FWOS:001035151700001","View Full Record in Web of Science")</f>
        <v>View Full Record in Web of Science</v>
      </c>
    </row>
    <row r="993" spans="1:72" x14ac:dyDescent="0.15">
      <c r="A993" t="s">
        <v>72</v>
      </c>
      <c r="B993" t="s">
        <v>18332</v>
      </c>
      <c r="C993" t="s">
        <v>74</v>
      </c>
      <c r="D993" t="s">
        <v>74</v>
      </c>
      <c r="E993" t="s">
        <v>74</v>
      </c>
      <c r="F993" t="s">
        <v>18333</v>
      </c>
      <c r="G993" t="s">
        <v>74</v>
      </c>
      <c r="H993" t="s">
        <v>74</v>
      </c>
      <c r="I993" t="s">
        <v>18334</v>
      </c>
      <c r="J993" t="s">
        <v>16754</v>
      </c>
      <c r="K993" t="s">
        <v>74</v>
      </c>
      <c r="L993" t="s">
        <v>74</v>
      </c>
      <c r="M993" t="s">
        <v>78</v>
      </c>
      <c r="N993" t="s">
        <v>338</v>
      </c>
      <c r="O993" t="s">
        <v>74</v>
      </c>
      <c r="P993" t="s">
        <v>74</v>
      </c>
      <c r="Q993" t="s">
        <v>74</v>
      </c>
      <c r="R993" t="s">
        <v>74</v>
      </c>
      <c r="S993" t="s">
        <v>74</v>
      </c>
      <c r="T993" t="s">
        <v>18335</v>
      </c>
      <c r="U993" t="s">
        <v>18336</v>
      </c>
      <c r="V993" t="s">
        <v>18337</v>
      </c>
      <c r="W993" t="s">
        <v>18338</v>
      </c>
      <c r="X993" t="s">
        <v>7491</v>
      </c>
      <c r="Y993" t="s">
        <v>18339</v>
      </c>
      <c r="Z993" t="s">
        <v>18340</v>
      </c>
      <c r="AA993" t="s">
        <v>74</v>
      </c>
      <c r="AB993" t="s">
        <v>74</v>
      </c>
      <c r="AC993" t="s">
        <v>18341</v>
      </c>
      <c r="AD993" t="s">
        <v>18342</v>
      </c>
      <c r="AE993" t="s">
        <v>18343</v>
      </c>
      <c r="AF993" t="s">
        <v>74</v>
      </c>
      <c r="AG993">
        <v>21</v>
      </c>
      <c r="AH993">
        <v>0</v>
      </c>
      <c r="AI993">
        <v>0</v>
      </c>
      <c r="AJ993">
        <v>2</v>
      </c>
      <c r="AK993">
        <v>2</v>
      </c>
      <c r="AL993" t="s">
        <v>87</v>
      </c>
      <c r="AM993" t="s">
        <v>88</v>
      </c>
      <c r="AN993" t="s">
        <v>89</v>
      </c>
      <c r="AO993" t="s">
        <v>16765</v>
      </c>
      <c r="AP993" t="s">
        <v>16766</v>
      </c>
      <c r="AQ993" t="s">
        <v>74</v>
      </c>
      <c r="AR993" t="s">
        <v>16767</v>
      </c>
      <c r="AS993" t="s">
        <v>16768</v>
      </c>
      <c r="AT993" t="s">
        <v>18172</v>
      </c>
      <c r="AU993">
        <v>2023</v>
      </c>
      <c r="AV993" t="s">
        <v>74</v>
      </c>
      <c r="AW993" t="s">
        <v>74</v>
      </c>
      <c r="AX993" t="s">
        <v>74</v>
      </c>
      <c r="AY993" t="s">
        <v>74</v>
      </c>
      <c r="AZ993" t="s">
        <v>74</v>
      </c>
      <c r="BA993" t="s">
        <v>74</v>
      </c>
      <c r="BB993" t="s">
        <v>74</v>
      </c>
      <c r="BC993" t="s">
        <v>74</v>
      </c>
      <c r="BD993" t="s">
        <v>74</v>
      </c>
      <c r="BE993" t="s">
        <v>18344</v>
      </c>
      <c r="BF993" t="str">
        <f>HYPERLINK("http://dx.doi.org/10.1002/clc.24098","http://dx.doi.org/10.1002/clc.24098")</f>
        <v>http://dx.doi.org/10.1002/clc.24098</v>
      </c>
      <c r="BG993" t="s">
        <v>74</v>
      </c>
      <c r="BH993" t="s">
        <v>16585</v>
      </c>
      <c r="BI993">
        <v>9</v>
      </c>
      <c r="BJ993" t="s">
        <v>1849</v>
      </c>
      <c r="BK993" t="s">
        <v>119</v>
      </c>
      <c r="BL993" t="s">
        <v>1850</v>
      </c>
      <c r="BM993" t="s">
        <v>18345</v>
      </c>
      <c r="BN993">
        <v>37489870</v>
      </c>
      <c r="BO993" t="s">
        <v>234</v>
      </c>
      <c r="BP993" t="s">
        <v>74</v>
      </c>
      <c r="BQ993" t="s">
        <v>74</v>
      </c>
      <c r="BR993" t="s">
        <v>99</v>
      </c>
      <c r="BS993" t="s">
        <v>18346</v>
      </c>
      <c r="BT993" t="str">
        <f>HYPERLINK("https%3A%2F%2Fwww.webofscience.com%2Fwos%2Fwoscc%2Ffull-record%2FWOS:001032560900001","View Full Record in Web of Science")</f>
        <v>View Full Record in Web of Science</v>
      </c>
    </row>
    <row r="994" spans="1:72" x14ac:dyDescent="0.15">
      <c r="A994" t="s">
        <v>72</v>
      </c>
      <c r="B994" t="s">
        <v>18347</v>
      </c>
      <c r="C994" t="s">
        <v>74</v>
      </c>
      <c r="D994" t="s">
        <v>74</v>
      </c>
      <c r="E994" t="s">
        <v>74</v>
      </c>
      <c r="F994" t="s">
        <v>18348</v>
      </c>
      <c r="G994" t="s">
        <v>74</v>
      </c>
      <c r="H994" t="s">
        <v>74</v>
      </c>
      <c r="I994" t="s">
        <v>18349</v>
      </c>
      <c r="J994" t="s">
        <v>18350</v>
      </c>
      <c r="K994" t="s">
        <v>74</v>
      </c>
      <c r="L994" t="s">
        <v>74</v>
      </c>
      <c r="M994" t="s">
        <v>78</v>
      </c>
      <c r="N994" t="s">
        <v>338</v>
      </c>
      <c r="O994" t="s">
        <v>74</v>
      </c>
      <c r="P994" t="s">
        <v>74</v>
      </c>
      <c r="Q994" t="s">
        <v>74</v>
      </c>
      <c r="R994" t="s">
        <v>74</v>
      </c>
      <c r="S994" t="s">
        <v>74</v>
      </c>
      <c r="T994" t="s">
        <v>74</v>
      </c>
      <c r="U994" t="s">
        <v>18351</v>
      </c>
      <c r="V994" t="s">
        <v>18352</v>
      </c>
      <c r="W994" t="s">
        <v>18353</v>
      </c>
      <c r="X994" t="s">
        <v>18354</v>
      </c>
      <c r="Y994" t="s">
        <v>18355</v>
      </c>
      <c r="Z994" t="s">
        <v>18356</v>
      </c>
      <c r="AA994" t="s">
        <v>74</v>
      </c>
      <c r="AB994" t="s">
        <v>18357</v>
      </c>
      <c r="AC994" t="s">
        <v>74</v>
      </c>
      <c r="AD994" t="s">
        <v>74</v>
      </c>
      <c r="AE994" t="s">
        <v>74</v>
      </c>
      <c r="AF994" t="s">
        <v>74</v>
      </c>
      <c r="AG994">
        <v>19</v>
      </c>
      <c r="AH994">
        <v>0</v>
      </c>
      <c r="AI994">
        <v>0</v>
      </c>
      <c r="AJ994">
        <v>0</v>
      </c>
      <c r="AK994">
        <v>0</v>
      </c>
      <c r="AL994" t="s">
        <v>87</v>
      </c>
      <c r="AM994" t="s">
        <v>88</v>
      </c>
      <c r="AN994" t="s">
        <v>89</v>
      </c>
      <c r="AO994" t="s">
        <v>18358</v>
      </c>
      <c r="AP994" t="s">
        <v>18359</v>
      </c>
      <c r="AQ994" t="s">
        <v>74</v>
      </c>
      <c r="AR994" t="s">
        <v>18360</v>
      </c>
      <c r="AS994" t="s">
        <v>18361</v>
      </c>
      <c r="AT994" t="s">
        <v>18172</v>
      </c>
      <c r="AU994">
        <v>2023</v>
      </c>
      <c r="AV994" t="s">
        <v>74</v>
      </c>
      <c r="AW994" t="s">
        <v>74</v>
      </c>
      <c r="AX994" t="s">
        <v>74</v>
      </c>
      <c r="AY994" t="s">
        <v>74</v>
      </c>
      <c r="AZ994" t="s">
        <v>74</v>
      </c>
      <c r="BA994" t="s">
        <v>74</v>
      </c>
      <c r="BB994" t="s">
        <v>74</v>
      </c>
      <c r="BC994" t="s">
        <v>74</v>
      </c>
      <c r="BD994" t="s">
        <v>74</v>
      </c>
      <c r="BE994" t="s">
        <v>18362</v>
      </c>
      <c r="BF994" t="str">
        <f>HYPERLINK("http://dx.doi.org/10.1002/pd.6409","http://dx.doi.org/10.1002/pd.6409")</f>
        <v>http://dx.doi.org/10.1002/pd.6409</v>
      </c>
      <c r="BG994" t="s">
        <v>74</v>
      </c>
      <c r="BH994" t="s">
        <v>16585</v>
      </c>
      <c r="BI994">
        <v>10</v>
      </c>
      <c r="BJ994" t="s">
        <v>18363</v>
      </c>
      <c r="BK994" t="s">
        <v>119</v>
      </c>
      <c r="BL994" t="s">
        <v>18363</v>
      </c>
      <c r="BM994" t="s">
        <v>18364</v>
      </c>
      <c r="BN994">
        <v>37489851</v>
      </c>
      <c r="BO994" t="s">
        <v>74</v>
      </c>
      <c r="BP994" t="s">
        <v>74</v>
      </c>
      <c r="BQ994" t="s">
        <v>74</v>
      </c>
      <c r="BR994" t="s">
        <v>99</v>
      </c>
      <c r="BS994" t="s">
        <v>18365</v>
      </c>
      <c r="BT994" t="str">
        <f>HYPERLINK("https%3A%2F%2Fwww.webofscience.com%2Fwos%2Fwoscc%2Ffull-record%2FWOS:001032551000001","View Full Record in Web of Science")</f>
        <v>View Full Record in Web of Science</v>
      </c>
    </row>
    <row r="995" spans="1:72" x14ac:dyDescent="0.15">
      <c r="A995" t="s">
        <v>72</v>
      </c>
      <c r="B995" t="s">
        <v>18366</v>
      </c>
      <c r="C995" t="s">
        <v>74</v>
      </c>
      <c r="D995" t="s">
        <v>74</v>
      </c>
      <c r="E995" t="s">
        <v>74</v>
      </c>
      <c r="F995" t="s">
        <v>18367</v>
      </c>
      <c r="G995" t="s">
        <v>74</v>
      </c>
      <c r="H995" t="s">
        <v>74</v>
      </c>
      <c r="I995" t="s">
        <v>18368</v>
      </c>
      <c r="J995" t="s">
        <v>18369</v>
      </c>
      <c r="K995" t="s">
        <v>74</v>
      </c>
      <c r="L995" t="s">
        <v>74</v>
      </c>
      <c r="M995" t="s">
        <v>78</v>
      </c>
      <c r="N995" t="s">
        <v>338</v>
      </c>
      <c r="O995" t="s">
        <v>74</v>
      </c>
      <c r="P995" t="s">
        <v>74</v>
      </c>
      <c r="Q995" t="s">
        <v>74</v>
      </c>
      <c r="R995" t="s">
        <v>74</v>
      </c>
      <c r="S995" t="s">
        <v>74</v>
      </c>
      <c r="T995" t="s">
        <v>18370</v>
      </c>
      <c r="U995" t="s">
        <v>18371</v>
      </c>
      <c r="V995" t="s">
        <v>18372</v>
      </c>
      <c r="W995" t="s">
        <v>18373</v>
      </c>
      <c r="X995" t="s">
        <v>18374</v>
      </c>
      <c r="Y995" t="s">
        <v>18375</v>
      </c>
      <c r="Z995" t="s">
        <v>18376</v>
      </c>
      <c r="AA995" t="s">
        <v>74</v>
      </c>
      <c r="AB995" t="s">
        <v>18377</v>
      </c>
      <c r="AC995" t="s">
        <v>74</v>
      </c>
      <c r="AD995" t="s">
        <v>74</v>
      </c>
      <c r="AE995" t="s">
        <v>74</v>
      </c>
      <c r="AF995" t="s">
        <v>74</v>
      </c>
      <c r="AG995">
        <v>53</v>
      </c>
      <c r="AH995">
        <v>0</v>
      </c>
      <c r="AI995">
        <v>0</v>
      </c>
      <c r="AJ995">
        <v>1</v>
      </c>
      <c r="AK995">
        <v>1</v>
      </c>
      <c r="AL995" t="s">
        <v>87</v>
      </c>
      <c r="AM995" t="s">
        <v>88</v>
      </c>
      <c r="AN995" t="s">
        <v>89</v>
      </c>
      <c r="AO995" t="s">
        <v>18378</v>
      </c>
      <c r="AP995" t="s">
        <v>18379</v>
      </c>
      <c r="AQ995" t="s">
        <v>74</v>
      </c>
      <c r="AR995" t="s">
        <v>18380</v>
      </c>
      <c r="AS995" t="s">
        <v>18381</v>
      </c>
      <c r="AT995" t="s">
        <v>18172</v>
      </c>
      <c r="AU995">
        <v>2023</v>
      </c>
      <c r="AV995" t="s">
        <v>74</v>
      </c>
      <c r="AW995" t="s">
        <v>74</v>
      </c>
      <c r="AX995" t="s">
        <v>74</v>
      </c>
      <c r="AY995" t="s">
        <v>74</v>
      </c>
      <c r="AZ995" t="s">
        <v>74</v>
      </c>
      <c r="BA995" t="s">
        <v>74</v>
      </c>
      <c r="BB995" t="s">
        <v>74</v>
      </c>
      <c r="BC995" t="s">
        <v>74</v>
      </c>
      <c r="BD995" t="s">
        <v>74</v>
      </c>
      <c r="BE995" t="s">
        <v>18382</v>
      </c>
      <c r="BF995" t="str">
        <f>HYPERLINK("http://dx.doi.org/10.1111/jar.13143","http://dx.doi.org/10.1111/jar.13143")</f>
        <v>http://dx.doi.org/10.1111/jar.13143</v>
      </c>
      <c r="BG995" t="s">
        <v>74</v>
      </c>
      <c r="BH995" t="s">
        <v>16585</v>
      </c>
      <c r="BI995">
        <v>10</v>
      </c>
      <c r="BJ995" t="s">
        <v>18383</v>
      </c>
      <c r="BK995" t="s">
        <v>546</v>
      </c>
      <c r="BL995" t="s">
        <v>18384</v>
      </c>
      <c r="BM995" t="s">
        <v>18385</v>
      </c>
      <c r="BN995">
        <v>37489607</v>
      </c>
      <c r="BO995" t="s">
        <v>122</v>
      </c>
      <c r="BP995" t="s">
        <v>74</v>
      </c>
      <c r="BQ995" t="s">
        <v>74</v>
      </c>
      <c r="BR995" t="s">
        <v>99</v>
      </c>
      <c r="BS995" t="s">
        <v>18386</v>
      </c>
      <c r="BT995" t="str">
        <f>HYPERLINK("https%3A%2F%2Fwww.webofscience.com%2Fwos%2Fwoscc%2Ffull-record%2FWOS:001032493800001","View Full Record in Web of Science")</f>
        <v>View Full Record in Web of Science</v>
      </c>
    </row>
    <row r="996" spans="1:72" x14ac:dyDescent="0.15">
      <c r="A996" t="s">
        <v>72</v>
      </c>
      <c r="B996" t="s">
        <v>18387</v>
      </c>
      <c r="C996" t="s">
        <v>74</v>
      </c>
      <c r="D996" t="s">
        <v>74</v>
      </c>
      <c r="E996" t="s">
        <v>74</v>
      </c>
      <c r="F996" t="s">
        <v>18388</v>
      </c>
      <c r="G996" t="s">
        <v>74</v>
      </c>
      <c r="H996" t="s">
        <v>74</v>
      </c>
      <c r="I996" t="s">
        <v>18389</v>
      </c>
      <c r="J996" t="s">
        <v>5978</v>
      </c>
      <c r="K996" t="s">
        <v>74</v>
      </c>
      <c r="L996" t="s">
        <v>74</v>
      </c>
      <c r="M996" t="s">
        <v>78</v>
      </c>
      <c r="N996" t="s">
        <v>1297</v>
      </c>
      <c r="O996" t="s">
        <v>74</v>
      </c>
      <c r="P996" t="s">
        <v>74</v>
      </c>
      <c r="Q996" t="s">
        <v>74</v>
      </c>
      <c r="R996" t="s">
        <v>74</v>
      </c>
      <c r="S996" t="s">
        <v>74</v>
      </c>
      <c r="T996" t="s">
        <v>18390</v>
      </c>
      <c r="U996" t="s">
        <v>74</v>
      </c>
      <c r="V996" t="s">
        <v>18391</v>
      </c>
      <c r="W996" t="s">
        <v>18392</v>
      </c>
      <c r="X996" t="s">
        <v>18393</v>
      </c>
      <c r="Y996" t="s">
        <v>18394</v>
      </c>
      <c r="Z996" t="s">
        <v>18395</v>
      </c>
      <c r="AA996" t="s">
        <v>74</v>
      </c>
      <c r="AB996" t="s">
        <v>18396</v>
      </c>
      <c r="AC996" t="s">
        <v>18397</v>
      </c>
      <c r="AD996" t="s">
        <v>18398</v>
      </c>
      <c r="AE996" t="s">
        <v>18399</v>
      </c>
      <c r="AF996" t="s">
        <v>74</v>
      </c>
      <c r="AG996">
        <v>15</v>
      </c>
      <c r="AH996">
        <v>0</v>
      </c>
      <c r="AI996">
        <v>0</v>
      </c>
      <c r="AJ996">
        <v>0</v>
      </c>
      <c r="AK996">
        <v>0</v>
      </c>
      <c r="AL996" t="s">
        <v>87</v>
      </c>
      <c r="AM996" t="s">
        <v>88</v>
      </c>
      <c r="AN996" t="s">
        <v>89</v>
      </c>
      <c r="AO996" t="s">
        <v>5987</v>
      </c>
      <c r="AP996" t="s">
        <v>5988</v>
      </c>
      <c r="AQ996" t="s">
        <v>74</v>
      </c>
      <c r="AR996" t="s">
        <v>5989</v>
      </c>
      <c r="AS996" t="s">
        <v>5990</v>
      </c>
      <c r="AT996" t="s">
        <v>18172</v>
      </c>
      <c r="AU996">
        <v>2023</v>
      </c>
      <c r="AV996" t="s">
        <v>74</v>
      </c>
      <c r="AW996" t="s">
        <v>74</v>
      </c>
      <c r="AX996" t="s">
        <v>74</v>
      </c>
      <c r="AY996" t="s">
        <v>74</v>
      </c>
      <c r="AZ996" t="s">
        <v>74</v>
      </c>
      <c r="BA996" t="s">
        <v>74</v>
      </c>
      <c r="BB996" t="s">
        <v>74</v>
      </c>
      <c r="BC996" t="s">
        <v>74</v>
      </c>
      <c r="BD996" t="s">
        <v>74</v>
      </c>
      <c r="BE996" t="s">
        <v>18400</v>
      </c>
      <c r="BF996" t="str">
        <f>HYPERLINK("http://dx.doi.org/10.1111/jrh.12784","http://dx.doi.org/10.1111/jrh.12784")</f>
        <v>http://dx.doi.org/10.1111/jrh.12784</v>
      </c>
      <c r="BG996" t="s">
        <v>74</v>
      </c>
      <c r="BH996" t="s">
        <v>16585</v>
      </c>
      <c r="BI996">
        <v>3</v>
      </c>
      <c r="BJ996" t="s">
        <v>5992</v>
      </c>
      <c r="BK996" t="s">
        <v>409</v>
      </c>
      <c r="BL996" t="s">
        <v>5993</v>
      </c>
      <c r="BM996" t="s">
        <v>18401</v>
      </c>
      <c r="BN996">
        <v>37489529</v>
      </c>
      <c r="BO996" t="s">
        <v>74</v>
      </c>
      <c r="BP996" t="s">
        <v>74</v>
      </c>
      <c r="BQ996" t="s">
        <v>74</v>
      </c>
      <c r="BR996" t="s">
        <v>99</v>
      </c>
      <c r="BS996" t="s">
        <v>18402</v>
      </c>
      <c r="BT996" t="str">
        <f>HYPERLINK("https%3A%2F%2Fwww.webofscience.com%2Fwos%2Fwoscc%2Ffull-record%2FWOS:001033415000001","View Full Record in Web of Science")</f>
        <v>View Full Record in Web of Science</v>
      </c>
    </row>
    <row r="997" spans="1:72" x14ac:dyDescent="0.15">
      <c r="A997" t="s">
        <v>72</v>
      </c>
      <c r="B997" t="s">
        <v>18403</v>
      </c>
      <c r="C997" t="s">
        <v>74</v>
      </c>
      <c r="D997" t="s">
        <v>74</v>
      </c>
      <c r="E997" t="s">
        <v>74</v>
      </c>
      <c r="F997" t="s">
        <v>18404</v>
      </c>
      <c r="G997" t="s">
        <v>74</v>
      </c>
      <c r="H997" t="s">
        <v>74</v>
      </c>
      <c r="I997" t="s">
        <v>18405</v>
      </c>
      <c r="J997" t="s">
        <v>18406</v>
      </c>
      <c r="K997" t="s">
        <v>74</v>
      </c>
      <c r="L997" t="s">
        <v>74</v>
      </c>
      <c r="M997" t="s">
        <v>78</v>
      </c>
      <c r="N997" t="s">
        <v>338</v>
      </c>
      <c r="O997" t="s">
        <v>74</v>
      </c>
      <c r="P997" t="s">
        <v>74</v>
      </c>
      <c r="Q997" t="s">
        <v>74</v>
      </c>
      <c r="R997" t="s">
        <v>74</v>
      </c>
      <c r="S997" t="s">
        <v>74</v>
      </c>
      <c r="T997" t="s">
        <v>74</v>
      </c>
      <c r="U997" t="s">
        <v>18407</v>
      </c>
      <c r="V997" t="s">
        <v>18408</v>
      </c>
      <c r="W997" t="s">
        <v>18409</v>
      </c>
      <c r="X997" t="s">
        <v>18410</v>
      </c>
      <c r="Y997" t="s">
        <v>18411</v>
      </c>
      <c r="Z997" t="s">
        <v>18412</v>
      </c>
      <c r="AA997" t="s">
        <v>18413</v>
      </c>
      <c r="AB997" t="s">
        <v>18414</v>
      </c>
      <c r="AC997" t="s">
        <v>74</v>
      </c>
      <c r="AD997" t="s">
        <v>74</v>
      </c>
      <c r="AE997" t="s">
        <v>74</v>
      </c>
      <c r="AF997" t="s">
        <v>74</v>
      </c>
      <c r="AG997">
        <v>29</v>
      </c>
      <c r="AH997">
        <v>0</v>
      </c>
      <c r="AI997">
        <v>0</v>
      </c>
      <c r="AJ997">
        <v>2</v>
      </c>
      <c r="AK997">
        <v>2</v>
      </c>
      <c r="AL997" t="s">
        <v>87</v>
      </c>
      <c r="AM997" t="s">
        <v>88</v>
      </c>
      <c r="AN997" t="s">
        <v>89</v>
      </c>
      <c r="AO997" t="s">
        <v>18415</v>
      </c>
      <c r="AP997" t="s">
        <v>18416</v>
      </c>
      <c r="AQ997" t="s">
        <v>74</v>
      </c>
      <c r="AR997" t="s">
        <v>18417</v>
      </c>
      <c r="AS997" t="s">
        <v>18418</v>
      </c>
      <c r="AT997" t="s">
        <v>18172</v>
      </c>
      <c r="AU997">
        <v>2023</v>
      </c>
      <c r="AV997" t="s">
        <v>74</v>
      </c>
      <c r="AW997" t="s">
        <v>74</v>
      </c>
      <c r="AX997" t="s">
        <v>74</v>
      </c>
      <c r="AY997" t="s">
        <v>74</v>
      </c>
      <c r="AZ997" t="s">
        <v>74</v>
      </c>
      <c r="BA997" t="s">
        <v>74</v>
      </c>
      <c r="BB997" t="s">
        <v>74</v>
      </c>
      <c r="BC997" t="s">
        <v>74</v>
      </c>
      <c r="BD997" t="s">
        <v>74</v>
      </c>
      <c r="BE997" t="s">
        <v>18419</v>
      </c>
      <c r="BF997" t="str">
        <f>HYPERLINK("http://dx.doi.org/10.1002/ajhb.23968","http://dx.doi.org/10.1002/ajhb.23968")</f>
        <v>http://dx.doi.org/10.1002/ajhb.23968</v>
      </c>
      <c r="BG997" t="s">
        <v>74</v>
      </c>
      <c r="BH997" t="s">
        <v>16585</v>
      </c>
      <c r="BI997">
        <v>13</v>
      </c>
      <c r="BJ997" t="s">
        <v>18420</v>
      </c>
      <c r="BK997" t="s">
        <v>409</v>
      </c>
      <c r="BL997" t="s">
        <v>18421</v>
      </c>
      <c r="BM997" t="s">
        <v>18422</v>
      </c>
      <c r="BN997">
        <v>37489725</v>
      </c>
      <c r="BO997" t="s">
        <v>74</v>
      </c>
      <c r="BP997" t="s">
        <v>74</v>
      </c>
      <c r="BQ997" t="s">
        <v>74</v>
      </c>
      <c r="BR997" t="s">
        <v>99</v>
      </c>
      <c r="BS997" t="s">
        <v>18423</v>
      </c>
      <c r="BT997" t="str">
        <f>HYPERLINK("https%3A%2F%2Fwww.webofscience.com%2Fwos%2Fwoscc%2Ffull-record%2FWOS:001032550400001","View Full Record in Web of Science")</f>
        <v>View Full Record in Web of Science</v>
      </c>
    </row>
    <row r="998" spans="1:72" x14ac:dyDescent="0.15">
      <c r="A998" t="s">
        <v>72</v>
      </c>
      <c r="B998" t="s">
        <v>18424</v>
      </c>
      <c r="C998" t="s">
        <v>74</v>
      </c>
      <c r="D998" t="s">
        <v>74</v>
      </c>
      <c r="E998" t="s">
        <v>74</v>
      </c>
      <c r="F998" t="s">
        <v>18425</v>
      </c>
      <c r="G998" t="s">
        <v>74</v>
      </c>
      <c r="H998" t="s">
        <v>74</v>
      </c>
      <c r="I998" t="s">
        <v>18426</v>
      </c>
      <c r="J998" t="s">
        <v>18427</v>
      </c>
      <c r="K998" t="s">
        <v>74</v>
      </c>
      <c r="L998" t="s">
        <v>74</v>
      </c>
      <c r="M998" t="s">
        <v>78</v>
      </c>
      <c r="N998" t="s">
        <v>338</v>
      </c>
      <c r="O998" t="s">
        <v>74</v>
      </c>
      <c r="P998" t="s">
        <v>74</v>
      </c>
      <c r="Q998" t="s">
        <v>74</v>
      </c>
      <c r="R998" t="s">
        <v>74</v>
      </c>
      <c r="S998" t="s">
        <v>74</v>
      </c>
      <c r="T998" t="s">
        <v>74</v>
      </c>
      <c r="U998" t="s">
        <v>74</v>
      </c>
      <c r="V998" t="s">
        <v>18428</v>
      </c>
      <c r="W998" t="s">
        <v>18429</v>
      </c>
      <c r="X998" t="s">
        <v>18430</v>
      </c>
      <c r="Y998" t="s">
        <v>18431</v>
      </c>
      <c r="Z998" t="s">
        <v>18432</v>
      </c>
      <c r="AA998" t="s">
        <v>74</v>
      </c>
      <c r="AB998" t="s">
        <v>18433</v>
      </c>
      <c r="AC998" t="s">
        <v>18434</v>
      </c>
      <c r="AD998" t="s">
        <v>18435</v>
      </c>
      <c r="AE998" t="s">
        <v>18436</v>
      </c>
      <c r="AF998" t="s">
        <v>74</v>
      </c>
      <c r="AG998">
        <v>0</v>
      </c>
      <c r="AH998">
        <v>0</v>
      </c>
      <c r="AI998">
        <v>0</v>
      </c>
      <c r="AJ998">
        <v>1</v>
      </c>
      <c r="AK998">
        <v>1</v>
      </c>
      <c r="AL998" t="s">
        <v>87</v>
      </c>
      <c r="AM998" t="s">
        <v>88</v>
      </c>
      <c r="AN998" t="s">
        <v>89</v>
      </c>
      <c r="AO998" t="s">
        <v>18437</v>
      </c>
      <c r="AP998" t="s">
        <v>18438</v>
      </c>
      <c r="AQ998" t="s">
        <v>74</v>
      </c>
      <c r="AR998" t="s">
        <v>18439</v>
      </c>
      <c r="AS998" t="s">
        <v>18440</v>
      </c>
      <c r="AT998" t="s">
        <v>18172</v>
      </c>
      <c r="AU998">
        <v>2023</v>
      </c>
      <c r="AV998" t="s">
        <v>74</v>
      </c>
      <c r="AW998" t="s">
        <v>74</v>
      </c>
      <c r="AX998" t="s">
        <v>74</v>
      </c>
      <c r="AY998" t="s">
        <v>74</v>
      </c>
      <c r="AZ998" t="s">
        <v>74</v>
      </c>
      <c r="BA998" t="s">
        <v>74</v>
      </c>
      <c r="BB998" t="s">
        <v>74</v>
      </c>
      <c r="BC998" t="s">
        <v>74</v>
      </c>
      <c r="BD998" t="s">
        <v>74</v>
      </c>
      <c r="BE998" t="s">
        <v>18441</v>
      </c>
      <c r="BF998" t="str">
        <f>HYPERLINK("http://dx.doi.org/10.1111/reel.12509","http://dx.doi.org/10.1111/reel.12509")</f>
        <v>http://dx.doi.org/10.1111/reel.12509</v>
      </c>
      <c r="BG998" t="s">
        <v>74</v>
      </c>
      <c r="BH998" t="s">
        <v>16585</v>
      </c>
      <c r="BI998">
        <v>16</v>
      </c>
      <c r="BJ998" t="s">
        <v>18442</v>
      </c>
      <c r="BK998" t="s">
        <v>546</v>
      </c>
      <c r="BL998" t="s">
        <v>18443</v>
      </c>
      <c r="BM998" t="s">
        <v>18444</v>
      </c>
      <c r="BN998" t="s">
        <v>74</v>
      </c>
      <c r="BO998" t="s">
        <v>74</v>
      </c>
      <c r="BP998" t="s">
        <v>74</v>
      </c>
      <c r="BQ998" t="s">
        <v>74</v>
      </c>
      <c r="BR998" t="s">
        <v>99</v>
      </c>
      <c r="BS998" t="s">
        <v>18445</v>
      </c>
      <c r="BT998" t="str">
        <f>HYPERLINK("https%3A%2F%2Fwww.webofscience.com%2Fwos%2Fwoscc%2Ffull-record%2FWOS:001032820700001","View Full Record in Web of Science")</f>
        <v>View Full Record in Web of Science</v>
      </c>
    </row>
    <row r="999" spans="1:72" x14ac:dyDescent="0.15">
      <c r="A999" t="s">
        <v>72</v>
      </c>
      <c r="B999" t="s">
        <v>18446</v>
      </c>
      <c r="C999" t="s">
        <v>74</v>
      </c>
      <c r="D999" t="s">
        <v>74</v>
      </c>
      <c r="E999" t="s">
        <v>74</v>
      </c>
      <c r="F999" t="s">
        <v>18447</v>
      </c>
      <c r="G999" t="s">
        <v>74</v>
      </c>
      <c r="H999" t="s">
        <v>74</v>
      </c>
      <c r="I999" t="s">
        <v>18448</v>
      </c>
      <c r="J999" t="s">
        <v>18449</v>
      </c>
      <c r="K999" t="s">
        <v>74</v>
      </c>
      <c r="L999" t="s">
        <v>74</v>
      </c>
      <c r="M999" t="s">
        <v>78</v>
      </c>
      <c r="N999" t="s">
        <v>338</v>
      </c>
      <c r="O999" t="s">
        <v>74</v>
      </c>
      <c r="P999" t="s">
        <v>74</v>
      </c>
      <c r="Q999" t="s">
        <v>74</v>
      </c>
      <c r="R999" t="s">
        <v>74</v>
      </c>
      <c r="S999" t="s">
        <v>74</v>
      </c>
      <c r="T999" t="s">
        <v>18450</v>
      </c>
      <c r="U999" t="s">
        <v>18451</v>
      </c>
      <c r="V999" t="s">
        <v>18452</v>
      </c>
      <c r="W999" t="s">
        <v>18453</v>
      </c>
      <c r="X999" t="s">
        <v>18454</v>
      </c>
      <c r="Y999" t="s">
        <v>18455</v>
      </c>
      <c r="Z999" t="s">
        <v>18456</v>
      </c>
      <c r="AA999" t="s">
        <v>74</v>
      </c>
      <c r="AB999" t="s">
        <v>74</v>
      </c>
      <c r="AC999" t="s">
        <v>18457</v>
      </c>
      <c r="AD999" t="s">
        <v>18458</v>
      </c>
      <c r="AE999" t="s">
        <v>18459</v>
      </c>
      <c r="AF999" t="s">
        <v>74</v>
      </c>
      <c r="AG999">
        <v>39</v>
      </c>
      <c r="AH999">
        <v>0</v>
      </c>
      <c r="AI999">
        <v>0</v>
      </c>
      <c r="AJ999">
        <v>0</v>
      </c>
      <c r="AK999">
        <v>0</v>
      </c>
      <c r="AL999" t="s">
        <v>87</v>
      </c>
      <c r="AM999" t="s">
        <v>88</v>
      </c>
      <c r="AN999" t="s">
        <v>89</v>
      </c>
      <c r="AO999" t="s">
        <v>18460</v>
      </c>
      <c r="AP999" t="s">
        <v>18461</v>
      </c>
      <c r="AQ999" t="s">
        <v>74</v>
      </c>
      <c r="AR999" t="s">
        <v>18462</v>
      </c>
      <c r="AS999" t="s">
        <v>18463</v>
      </c>
      <c r="AT999" t="s">
        <v>18172</v>
      </c>
      <c r="AU999">
        <v>2023</v>
      </c>
      <c r="AV999" t="s">
        <v>74</v>
      </c>
      <c r="AW999" t="s">
        <v>74</v>
      </c>
      <c r="AX999" t="s">
        <v>74</v>
      </c>
      <c r="AY999" t="s">
        <v>74</v>
      </c>
      <c r="AZ999" t="s">
        <v>74</v>
      </c>
      <c r="BA999" t="s">
        <v>74</v>
      </c>
      <c r="BB999" t="s">
        <v>74</v>
      </c>
      <c r="BC999" t="s">
        <v>74</v>
      </c>
      <c r="BD999" t="s">
        <v>74</v>
      </c>
      <c r="BE999" t="s">
        <v>18464</v>
      </c>
      <c r="BF999" t="str">
        <f>HYPERLINK("http://dx.doi.org/10.1111/fcp.12941","http://dx.doi.org/10.1111/fcp.12941")</f>
        <v>http://dx.doi.org/10.1111/fcp.12941</v>
      </c>
      <c r="BG999" t="s">
        <v>74</v>
      </c>
      <c r="BH999" t="s">
        <v>16585</v>
      </c>
      <c r="BI999">
        <v>13</v>
      </c>
      <c r="BJ999" t="s">
        <v>299</v>
      </c>
      <c r="BK999" t="s">
        <v>119</v>
      </c>
      <c r="BL999" t="s">
        <v>299</v>
      </c>
      <c r="BM999" t="s">
        <v>18465</v>
      </c>
      <c r="BN999">
        <v>37490927</v>
      </c>
      <c r="BO999" t="s">
        <v>74</v>
      </c>
      <c r="BP999" t="s">
        <v>74</v>
      </c>
      <c r="BQ999" t="s">
        <v>74</v>
      </c>
      <c r="BR999" t="s">
        <v>99</v>
      </c>
      <c r="BS999" t="s">
        <v>18466</v>
      </c>
      <c r="BT999" t="str">
        <f>HYPERLINK("https%3A%2F%2Fwww.webofscience.com%2Fwos%2Fwoscc%2Ffull-record%2FWOS:001036212000001","View Full Record in Web of Science")</f>
        <v>View Full Record in Web of Science</v>
      </c>
    </row>
    <row r="1000" spans="1:72" x14ac:dyDescent="0.15">
      <c r="A1000" t="s">
        <v>72</v>
      </c>
      <c r="B1000" t="s">
        <v>18467</v>
      </c>
      <c r="C1000" t="s">
        <v>74</v>
      </c>
      <c r="D1000" t="s">
        <v>74</v>
      </c>
      <c r="E1000" t="s">
        <v>74</v>
      </c>
      <c r="F1000" t="s">
        <v>18468</v>
      </c>
      <c r="G1000" t="s">
        <v>74</v>
      </c>
      <c r="H1000" t="s">
        <v>74</v>
      </c>
      <c r="I1000" t="s">
        <v>18469</v>
      </c>
      <c r="J1000" t="s">
        <v>18470</v>
      </c>
      <c r="K1000" t="s">
        <v>74</v>
      </c>
      <c r="L1000" t="s">
        <v>74</v>
      </c>
      <c r="M1000" t="s">
        <v>78</v>
      </c>
      <c r="N1000" t="s">
        <v>338</v>
      </c>
      <c r="O1000" t="s">
        <v>74</v>
      </c>
      <c r="P1000" t="s">
        <v>74</v>
      </c>
      <c r="Q1000" t="s">
        <v>74</v>
      </c>
      <c r="R1000" t="s">
        <v>74</v>
      </c>
      <c r="S1000" t="s">
        <v>74</v>
      </c>
      <c r="T1000" t="s">
        <v>74</v>
      </c>
      <c r="U1000" t="s">
        <v>18471</v>
      </c>
      <c r="V1000" t="s">
        <v>18472</v>
      </c>
      <c r="W1000" t="s">
        <v>18473</v>
      </c>
      <c r="X1000" t="s">
        <v>18474</v>
      </c>
      <c r="Y1000" t="s">
        <v>18475</v>
      </c>
      <c r="Z1000" t="s">
        <v>18476</v>
      </c>
      <c r="AA1000" t="s">
        <v>18477</v>
      </c>
      <c r="AB1000" t="s">
        <v>18478</v>
      </c>
      <c r="AC1000" t="s">
        <v>18479</v>
      </c>
      <c r="AD1000" t="s">
        <v>2201</v>
      </c>
      <c r="AE1000" t="s">
        <v>18480</v>
      </c>
      <c r="AF1000" t="s">
        <v>74</v>
      </c>
      <c r="AG1000">
        <v>39</v>
      </c>
      <c r="AH1000">
        <v>0</v>
      </c>
      <c r="AI1000">
        <v>0</v>
      </c>
      <c r="AJ1000">
        <v>1</v>
      </c>
      <c r="AK1000">
        <v>1</v>
      </c>
      <c r="AL1000" t="s">
        <v>87</v>
      </c>
      <c r="AM1000" t="s">
        <v>88</v>
      </c>
      <c r="AN1000" t="s">
        <v>89</v>
      </c>
      <c r="AO1000" t="s">
        <v>74</v>
      </c>
      <c r="AP1000" t="s">
        <v>18481</v>
      </c>
      <c r="AQ1000" t="s">
        <v>74</v>
      </c>
      <c r="AR1000" t="s">
        <v>18482</v>
      </c>
      <c r="AS1000" t="s">
        <v>18483</v>
      </c>
      <c r="AT1000" t="s">
        <v>18172</v>
      </c>
      <c r="AU1000">
        <v>2023</v>
      </c>
      <c r="AV1000" t="s">
        <v>74</v>
      </c>
      <c r="AW1000" t="s">
        <v>74</v>
      </c>
      <c r="AX1000" t="s">
        <v>74</v>
      </c>
      <c r="AY1000" t="s">
        <v>74</v>
      </c>
      <c r="AZ1000" t="s">
        <v>74</v>
      </c>
      <c r="BA1000" t="s">
        <v>74</v>
      </c>
      <c r="BB1000" t="s">
        <v>74</v>
      </c>
      <c r="BC1000" t="s">
        <v>74</v>
      </c>
      <c r="BD1000" t="s">
        <v>74</v>
      </c>
      <c r="BE1000" t="s">
        <v>18484</v>
      </c>
      <c r="BF1000" t="str">
        <f>HYPERLINK("http://dx.doi.org/10.1002/lol2.10339","http://dx.doi.org/10.1002/lol2.10339")</f>
        <v>http://dx.doi.org/10.1002/lol2.10339</v>
      </c>
      <c r="BG1000" t="s">
        <v>74</v>
      </c>
      <c r="BH1000" t="s">
        <v>16585</v>
      </c>
      <c r="BI1000">
        <v>8</v>
      </c>
      <c r="BJ1000" t="s">
        <v>18485</v>
      </c>
      <c r="BK1000" t="s">
        <v>119</v>
      </c>
      <c r="BL1000" t="s">
        <v>6188</v>
      </c>
      <c r="BM1000" t="s">
        <v>18486</v>
      </c>
      <c r="BN1000" t="s">
        <v>74</v>
      </c>
      <c r="BO1000" t="s">
        <v>234</v>
      </c>
      <c r="BP1000" t="s">
        <v>74</v>
      </c>
      <c r="BQ1000" t="s">
        <v>74</v>
      </c>
      <c r="BR1000" t="s">
        <v>99</v>
      </c>
      <c r="BS1000" t="s">
        <v>18487</v>
      </c>
      <c r="BT1000" t="str">
        <f>HYPERLINK("https%3A%2F%2Fwww.webofscience.com%2Fwos%2Fwoscc%2Ffull-record%2FWOS:001033655200001","View Full Record in Web of Science")</f>
        <v>View Full Record in Web of Science</v>
      </c>
    </row>
    <row r="1001" spans="1:72" x14ac:dyDescent="0.15">
      <c r="A1001" t="s">
        <v>72</v>
      </c>
      <c r="B1001" t="s">
        <v>18488</v>
      </c>
      <c r="C1001" t="s">
        <v>74</v>
      </c>
      <c r="D1001" t="s">
        <v>74</v>
      </c>
      <c r="E1001" t="s">
        <v>74</v>
      </c>
      <c r="F1001" t="s">
        <v>18489</v>
      </c>
      <c r="G1001" t="s">
        <v>74</v>
      </c>
      <c r="H1001" t="s">
        <v>74</v>
      </c>
      <c r="I1001" t="s">
        <v>18490</v>
      </c>
      <c r="J1001" t="s">
        <v>18491</v>
      </c>
      <c r="K1001" t="s">
        <v>74</v>
      </c>
      <c r="L1001" t="s">
        <v>74</v>
      </c>
      <c r="M1001" t="s">
        <v>78</v>
      </c>
      <c r="N1001" t="s">
        <v>338</v>
      </c>
      <c r="O1001" t="s">
        <v>74</v>
      </c>
      <c r="P1001" t="s">
        <v>74</v>
      </c>
      <c r="Q1001" t="s">
        <v>74</v>
      </c>
      <c r="R1001" t="s">
        <v>74</v>
      </c>
      <c r="S1001" t="s">
        <v>74</v>
      </c>
      <c r="T1001" t="s">
        <v>18492</v>
      </c>
      <c r="U1001" t="s">
        <v>18493</v>
      </c>
      <c r="V1001" t="s">
        <v>18494</v>
      </c>
      <c r="W1001" t="s">
        <v>18495</v>
      </c>
      <c r="X1001" t="s">
        <v>18496</v>
      </c>
      <c r="Y1001" t="s">
        <v>18497</v>
      </c>
      <c r="Z1001" t="s">
        <v>18498</v>
      </c>
      <c r="AA1001" t="s">
        <v>74</v>
      </c>
      <c r="AB1001" t="s">
        <v>74</v>
      </c>
      <c r="AC1001" t="s">
        <v>18499</v>
      </c>
      <c r="AD1001" t="s">
        <v>3742</v>
      </c>
      <c r="AE1001" t="s">
        <v>18500</v>
      </c>
      <c r="AF1001" t="s">
        <v>74</v>
      </c>
      <c r="AG1001">
        <v>39</v>
      </c>
      <c r="AH1001">
        <v>0</v>
      </c>
      <c r="AI1001">
        <v>0</v>
      </c>
      <c r="AJ1001">
        <v>1</v>
      </c>
      <c r="AK1001">
        <v>1</v>
      </c>
      <c r="AL1001" t="s">
        <v>426</v>
      </c>
      <c r="AM1001" t="s">
        <v>427</v>
      </c>
      <c r="AN1001" t="s">
        <v>428</v>
      </c>
      <c r="AO1001" t="s">
        <v>18501</v>
      </c>
      <c r="AP1001" t="s">
        <v>18502</v>
      </c>
      <c r="AQ1001" t="s">
        <v>74</v>
      </c>
      <c r="AR1001" t="s">
        <v>18503</v>
      </c>
      <c r="AS1001" t="s">
        <v>18504</v>
      </c>
      <c r="AT1001" t="s">
        <v>18172</v>
      </c>
      <c r="AU1001">
        <v>2023</v>
      </c>
      <c r="AV1001" t="s">
        <v>74</v>
      </c>
      <c r="AW1001" t="s">
        <v>74</v>
      </c>
      <c r="AX1001" t="s">
        <v>74</v>
      </c>
      <c r="AY1001" t="s">
        <v>74</v>
      </c>
      <c r="AZ1001" t="s">
        <v>74</v>
      </c>
      <c r="BA1001" t="s">
        <v>74</v>
      </c>
      <c r="BB1001" t="s">
        <v>74</v>
      </c>
      <c r="BC1001" t="s">
        <v>74</v>
      </c>
      <c r="BD1001" t="s">
        <v>74</v>
      </c>
      <c r="BE1001" t="s">
        <v>18505</v>
      </c>
      <c r="BF1001" t="str">
        <f>HYPERLINK("http://dx.doi.org/10.1002/pssb.202300256","http://dx.doi.org/10.1002/pssb.202300256")</f>
        <v>http://dx.doi.org/10.1002/pssb.202300256</v>
      </c>
      <c r="BG1001" t="s">
        <v>74</v>
      </c>
      <c r="BH1001" t="s">
        <v>16585</v>
      </c>
      <c r="BI1001">
        <v>6</v>
      </c>
      <c r="BJ1001" t="s">
        <v>18506</v>
      </c>
      <c r="BK1001" t="s">
        <v>119</v>
      </c>
      <c r="BL1001" t="s">
        <v>3788</v>
      </c>
      <c r="BM1001" t="s">
        <v>18507</v>
      </c>
      <c r="BN1001" t="s">
        <v>74</v>
      </c>
      <c r="BO1001" t="s">
        <v>301</v>
      </c>
      <c r="BP1001" t="s">
        <v>74</v>
      </c>
      <c r="BQ1001" t="s">
        <v>74</v>
      </c>
      <c r="BR1001" t="s">
        <v>99</v>
      </c>
      <c r="BS1001" t="s">
        <v>18508</v>
      </c>
      <c r="BT1001" t="str">
        <f>HYPERLINK("https%3A%2F%2Fwww.webofscience.com%2Fwos%2Fwoscc%2Ffull-record%2FWOS:001032819400001","View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Zubcic</cp:lastModifiedBy>
  <dcterms:created xsi:type="dcterms:W3CDTF">2023-10-10T16:26:43Z</dcterms:created>
  <dcterms:modified xsi:type="dcterms:W3CDTF">2023-10-10T16:26:44Z</dcterms:modified>
</cp:coreProperties>
</file>